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DMIN - Godburn\Nicole\WEBSITE\Nursing Homes\2021\"/>
    </mc:Choice>
  </mc:AlternateContent>
  <xr:revisionPtr revIDLastSave="0" documentId="13_ncr:1_{40C23AC1-3F1F-4F00-992A-2AE22F2DB181}" xr6:coauthVersionLast="45" xr6:coauthVersionMax="45" xr10:uidLastSave="{00000000-0000-0000-0000-000000000000}"/>
  <bookViews>
    <workbookView xWindow="19090" yWindow="-110" windowWidth="19420" windowHeight="11020" xr2:uid="{00000000-000D-0000-FFFF-FFFF00000000}"/>
  </bookViews>
  <sheets>
    <sheet name="Data" sheetId="2" r:id="rId1"/>
  </sheets>
  <definedNames>
    <definedName name="_xlnm._FilterDatabase" localSheetId="0" hidden="1">Data!$A$3:$M$3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1" i="2" l="1"/>
  <c r="G210" i="2" l="1"/>
  <c r="E210" i="2"/>
  <c r="G209" i="2"/>
  <c r="E209" i="2"/>
  <c r="G208" i="2"/>
  <c r="E208" i="2"/>
  <c r="G207" i="2"/>
  <c r="E207" i="2"/>
  <c r="G206" i="2"/>
  <c r="E206" i="2"/>
  <c r="G205" i="2"/>
  <c r="E205" i="2"/>
  <c r="G204" i="2"/>
  <c r="E204" i="2"/>
  <c r="G203" i="2"/>
  <c r="E203" i="2"/>
  <c r="G202" i="2"/>
  <c r="E202" i="2"/>
  <c r="G201" i="2"/>
  <c r="E201" i="2"/>
  <c r="G200" i="2"/>
  <c r="E200" i="2"/>
  <c r="G199" i="2"/>
  <c r="E199" i="2"/>
  <c r="G198" i="2"/>
  <c r="E198" i="2"/>
  <c r="G197" i="2"/>
  <c r="E197" i="2"/>
  <c r="G196" i="2"/>
  <c r="E196" i="2"/>
  <c r="G195" i="2"/>
  <c r="E195" i="2"/>
  <c r="G194" i="2"/>
  <c r="E194" i="2"/>
  <c r="G193" i="2"/>
  <c r="E193" i="2"/>
  <c r="G192" i="2"/>
  <c r="E192" i="2"/>
  <c r="G191" i="2"/>
  <c r="E191" i="2"/>
  <c r="G190" i="2"/>
  <c r="E190" i="2"/>
  <c r="G189" i="2"/>
  <c r="E189" i="2"/>
  <c r="G188" i="2"/>
  <c r="E188" i="2"/>
  <c r="G187" i="2"/>
  <c r="E187" i="2"/>
  <c r="G186" i="2"/>
  <c r="E186" i="2"/>
  <c r="G185" i="2"/>
  <c r="E185" i="2"/>
  <c r="G184" i="2"/>
  <c r="E184" i="2"/>
  <c r="G183" i="2"/>
  <c r="E183" i="2"/>
  <c r="G182" i="2"/>
  <c r="E182" i="2"/>
  <c r="G181" i="2"/>
  <c r="E181" i="2"/>
  <c r="G180" i="2"/>
  <c r="E180" i="2"/>
  <c r="G179" i="2"/>
  <c r="E179" i="2"/>
  <c r="G178" i="2"/>
  <c r="E178" i="2"/>
  <c r="G177" i="2"/>
  <c r="E177" i="2"/>
  <c r="G176" i="2"/>
  <c r="E176" i="2"/>
  <c r="G175" i="2"/>
  <c r="E175" i="2"/>
  <c r="G174" i="2"/>
  <c r="E174" i="2"/>
  <c r="G173" i="2"/>
  <c r="E173" i="2"/>
  <c r="G172" i="2"/>
  <c r="E172" i="2"/>
  <c r="G171" i="2"/>
  <c r="E171" i="2"/>
  <c r="G170" i="2"/>
  <c r="E170" i="2"/>
  <c r="G169" i="2"/>
  <c r="E169" i="2"/>
  <c r="G168" i="2"/>
  <c r="E168" i="2"/>
  <c r="G167" i="2"/>
  <c r="E167" i="2"/>
  <c r="G166" i="2"/>
  <c r="E166" i="2"/>
  <c r="G165" i="2"/>
  <c r="E165" i="2"/>
  <c r="G164" i="2"/>
  <c r="E164" i="2"/>
  <c r="G163" i="2"/>
  <c r="E163" i="2"/>
  <c r="G162" i="2"/>
  <c r="E162" i="2"/>
  <c r="G161" i="2"/>
  <c r="E161" i="2"/>
  <c r="G160" i="2"/>
  <c r="E160" i="2"/>
  <c r="G159" i="2"/>
  <c r="E159" i="2"/>
  <c r="G158" i="2"/>
  <c r="E158" i="2"/>
  <c r="G157" i="2"/>
  <c r="E157" i="2"/>
  <c r="G156" i="2"/>
  <c r="E156" i="2"/>
  <c r="G155" i="2"/>
  <c r="E155" i="2"/>
  <c r="G154" i="2"/>
  <c r="E154" i="2"/>
  <c r="G153" i="2"/>
  <c r="E153" i="2"/>
  <c r="G152" i="2"/>
  <c r="E152" i="2"/>
  <c r="G151" i="2"/>
  <c r="E151" i="2"/>
  <c r="G150" i="2"/>
  <c r="E150" i="2"/>
  <c r="G149" i="2"/>
  <c r="E149" i="2"/>
  <c r="G148" i="2"/>
  <c r="E148" i="2"/>
  <c r="G147" i="2"/>
  <c r="E147" i="2"/>
  <c r="G146" i="2"/>
  <c r="E146" i="2"/>
  <c r="G145" i="2"/>
  <c r="E145" i="2"/>
  <c r="G144" i="2"/>
  <c r="E144" i="2"/>
  <c r="G143" i="2"/>
  <c r="E143" i="2"/>
  <c r="G142" i="2"/>
  <c r="E142" i="2"/>
  <c r="G141" i="2"/>
  <c r="E141" i="2"/>
  <c r="G140" i="2"/>
  <c r="E140" i="2"/>
  <c r="G139" i="2"/>
  <c r="E139" i="2"/>
  <c r="G138" i="2"/>
  <c r="E138" i="2"/>
  <c r="G137" i="2"/>
  <c r="E137" i="2"/>
  <c r="G136" i="2"/>
  <c r="E136" i="2"/>
  <c r="G135" i="2"/>
  <c r="E135" i="2"/>
  <c r="G134" i="2"/>
  <c r="E134" i="2"/>
  <c r="G133" i="2"/>
  <c r="E133" i="2"/>
  <c r="G132" i="2"/>
  <c r="E132" i="2"/>
  <c r="G131" i="2"/>
  <c r="E131" i="2"/>
  <c r="G130" i="2"/>
  <c r="E130" i="2"/>
  <c r="G129" i="2"/>
  <c r="E129" i="2"/>
  <c r="G128" i="2"/>
  <c r="E128" i="2"/>
  <c r="G127" i="2"/>
  <c r="E127" i="2"/>
  <c r="G126" i="2"/>
  <c r="E126" i="2"/>
  <c r="G125" i="2"/>
  <c r="E125" i="2"/>
  <c r="G124" i="2"/>
  <c r="E124" i="2"/>
  <c r="G123" i="2"/>
  <c r="E123" i="2"/>
  <c r="G122" i="2"/>
  <c r="E122" i="2"/>
  <c r="G121" i="2"/>
  <c r="E121" i="2"/>
  <c r="G120" i="2"/>
  <c r="E120" i="2"/>
  <c r="G119" i="2"/>
  <c r="E119" i="2"/>
  <c r="G118" i="2"/>
  <c r="E118" i="2"/>
  <c r="G117" i="2"/>
  <c r="E117" i="2"/>
  <c r="G116" i="2"/>
  <c r="E116" i="2"/>
  <c r="G115" i="2"/>
  <c r="E115" i="2"/>
  <c r="G114" i="2"/>
  <c r="E114" i="2"/>
  <c r="G113" i="2"/>
  <c r="E113" i="2"/>
  <c r="G112" i="2"/>
  <c r="E112" i="2"/>
  <c r="G111" i="2"/>
  <c r="E111" i="2"/>
  <c r="G110" i="2"/>
  <c r="E110" i="2"/>
  <c r="G109" i="2"/>
  <c r="E109" i="2"/>
  <c r="G108" i="2"/>
  <c r="E108" i="2"/>
  <c r="G107" i="2"/>
  <c r="E107" i="2"/>
  <c r="G106" i="2"/>
  <c r="E106" i="2"/>
  <c r="G105" i="2"/>
  <c r="E105" i="2"/>
  <c r="G104" i="2"/>
  <c r="E104" i="2"/>
  <c r="G103" i="2"/>
  <c r="E103" i="2"/>
  <c r="G102" i="2"/>
  <c r="E102" i="2"/>
  <c r="G101" i="2"/>
  <c r="E101" i="2"/>
  <c r="G100" i="2"/>
  <c r="E100" i="2"/>
  <c r="G99" i="2"/>
  <c r="E99" i="2"/>
  <c r="G98" i="2"/>
  <c r="E98" i="2"/>
  <c r="G97" i="2"/>
  <c r="E97" i="2"/>
  <c r="G96" i="2"/>
  <c r="E96" i="2"/>
  <c r="G95" i="2"/>
  <c r="E95" i="2"/>
  <c r="G94" i="2"/>
  <c r="E94" i="2"/>
  <c r="G93" i="2"/>
  <c r="E93" i="2"/>
  <c r="G92" i="2"/>
  <c r="E92" i="2"/>
  <c r="G91" i="2"/>
  <c r="E91" i="2"/>
  <c r="G90" i="2"/>
  <c r="E90" i="2"/>
  <c r="G89" i="2"/>
  <c r="E89" i="2"/>
  <c r="G88" i="2"/>
  <c r="E88" i="2"/>
  <c r="G87" i="2"/>
  <c r="E87" i="2"/>
  <c r="G86" i="2"/>
  <c r="E86" i="2"/>
  <c r="G85" i="2"/>
  <c r="E85" i="2"/>
  <c r="G84" i="2"/>
  <c r="E84" i="2"/>
  <c r="G83" i="2"/>
  <c r="E83" i="2"/>
  <c r="G82" i="2"/>
  <c r="E82" i="2"/>
  <c r="G81" i="2"/>
  <c r="E81" i="2"/>
  <c r="G80" i="2"/>
  <c r="E80" i="2"/>
  <c r="G79" i="2"/>
  <c r="E79" i="2"/>
  <c r="G78" i="2"/>
  <c r="E78" i="2"/>
  <c r="G77" i="2"/>
  <c r="E77" i="2"/>
  <c r="G76" i="2"/>
  <c r="E76" i="2"/>
  <c r="G75" i="2"/>
  <c r="E75" i="2"/>
  <c r="G74" i="2"/>
  <c r="E74" i="2"/>
  <c r="G73" i="2"/>
  <c r="E73" i="2"/>
  <c r="G72" i="2"/>
  <c r="E72" i="2"/>
  <c r="G71" i="2"/>
  <c r="E71" i="2"/>
  <c r="G70" i="2"/>
  <c r="E70" i="2"/>
  <c r="G69" i="2"/>
  <c r="E69" i="2"/>
  <c r="G68" i="2"/>
  <c r="E68" i="2"/>
  <c r="G67" i="2"/>
  <c r="E67" i="2"/>
  <c r="G66" i="2"/>
  <c r="E66" i="2"/>
  <c r="G65" i="2"/>
  <c r="E65" i="2"/>
  <c r="G64" i="2"/>
  <c r="E64" i="2"/>
  <c r="G63" i="2"/>
  <c r="E63" i="2"/>
  <c r="G62" i="2"/>
  <c r="E62" i="2"/>
  <c r="G61" i="2"/>
  <c r="E61" i="2"/>
  <c r="G60" i="2"/>
  <c r="E60" i="2"/>
  <c r="G59" i="2"/>
  <c r="E59" i="2"/>
  <c r="G58" i="2"/>
  <c r="E58" i="2"/>
  <c r="G57" i="2"/>
  <c r="E57" i="2"/>
  <c r="G56" i="2"/>
  <c r="E56" i="2"/>
  <c r="G55" i="2"/>
  <c r="E55" i="2"/>
  <c r="G54" i="2"/>
  <c r="E54" i="2"/>
  <c r="G53" i="2"/>
  <c r="E53" i="2"/>
  <c r="G52" i="2"/>
  <c r="E52" i="2"/>
  <c r="G51" i="2"/>
  <c r="E51" i="2"/>
  <c r="G50" i="2"/>
  <c r="E50" i="2"/>
  <c r="G49" i="2"/>
  <c r="E49" i="2"/>
  <c r="G48" i="2"/>
  <c r="E48" i="2"/>
  <c r="G47" i="2"/>
  <c r="E47" i="2"/>
  <c r="G46" i="2"/>
  <c r="E46" i="2"/>
  <c r="G45" i="2"/>
  <c r="E45" i="2"/>
  <c r="G44" i="2"/>
  <c r="E44" i="2"/>
  <c r="G43" i="2"/>
  <c r="E43" i="2"/>
  <c r="G42" i="2"/>
  <c r="E42" i="2"/>
  <c r="G41" i="2"/>
  <c r="E41" i="2"/>
  <c r="G40" i="2"/>
  <c r="E40" i="2"/>
  <c r="G39" i="2"/>
  <c r="E39" i="2"/>
  <c r="G38" i="2"/>
  <c r="E38" i="2"/>
  <c r="G37" i="2"/>
  <c r="E37" i="2"/>
  <c r="G36" i="2"/>
  <c r="E36" i="2"/>
  <c r="G35" i="2"/>
  <c r="E35" i="2"/>
  <c r="G34" i="2"/>
  <c r="E34" i="2"/>
  <c r="G33" i="2"/>
  <c r="E33" i="2"/>
  <c r="G32" i="2"/>
  <c r="E32" i="2"/>
  <c r="G31" i="2"/>
  <c r="E31" i="2"/>
  <c r="G30" i="2"/>
  <c r="E30" i="2"/>
  <c r="G29" i="2"/>
  <c r="E29" i="2"/>
  <c r="G28" i="2"/>
  <c r="E28" i="2"/>
  <c r="G27" i="2"/>
  <c r="E27" i="2"/>
  <c r="G26" i="2"/>
  <c r="E26" i="2"/>
  <c r="G25" i="2"/>
  <c r="E25" i="2"/>
  <c r="G24" i="2"/>
  <c r="E24" i="2"/>
  <c r="G23" i="2"/>
  <c r="E23" i="2"/>
  <c r="G22" i="2"/>
  <c r="E22" i="2"/>
  <c r="G21" i="2"/>
  <c r="E21" i="2"/>
  <c r="G20" i="2"/>
  <c r="E20" i="2"/>
  <c r="G19" i="2"/>
  <c r="E19" i="2"/>
  <c r="G18" i="2"/>
  <c r="E18" i="2"/>
  <c r="G17" i="2"/>
  <c r="E17" i="2"/>
  <c r="G16" i="2"/>
  <c r="E16" i="2"/>
  <c r="G15" i="2"/>
  <c r="E15" i="2"/>
  <c r="G14" i="2"/>
  <c r="E14" i="2"/>
  <c r="G13" i="2"/>
  <c r="E13" i="2"/>
  <c r="G12" i="2"/>
  <c r="E12" i="2"/>
  <c r="G11" i="2"/>
  <c r="E11" i="2"/>
  <c r="G10" i="2"/>
  <c r="E10" i="2"/>
  <c r="G9" i="2"/>
  <c r="E9" i="2"/>
  <c r="G8" i="2"/>
  <c r="E8" i="2"/>
  <c r="G7" i="2"/>
  <c r="E7" i="2"/>
  <c r="G6" i="2"/>
  <c r="E6" i="2"/>
  <c r="G5" i="2"/>
  <c r="E5" i="2"/>
  <c r="G4" i="2"/>
  <c r="E4" i="2"/>
</calcChain>
</file>

<file path=xl/sharedStrings.xml><?xml version="1.0" encoding="utf-8"?>
<sst xmlns="http://schemas.openxmlformats.org/spreadsheetml/2006/main" count="1191" uniqueCount="542">
  <si>
    <t>Prior Year Rate Daily</t>
  </si>
  <si>
    <t>New Rate Daily</t>
  </si>
  <si>
    <t>Aaron Manor Nursing and Rehab. Ctr</t>
  </si>
  <si>
    <t>CCNH</t>
  </si>
  <si>
    <t>Abbott Terrace Health Center</t>
  </si>
  <si>
    <t>Advanced Nursing and Rehab</t>
  </si>
  <si>
    <t>Amberwoods of Farmington</t>
  </si>
  <si>
    <t>Apple Rehab Avon</t>
  </si>
  <si>
    <t>Apple Rehab Colchester</t>
  </si>
  <si>
    <t>Apple Rehab Cromwell</t>
  </si>
  <si>
    <t>Apple Rehab Farmington Valley</t>
  </si>
  <si>
    <t>Apple Rehab Guilford</t>
  </si>
  <si>
    <t>Apple Rehab Laurel Woods</t>
  </si>
  <si>
    <t>Apple Rehab Middletown</t>
  </si>
  <si>
    <t>Apple Rehab Mystic</t>
  </si>
  <si>
    <t>Apple Rehab of Rocky Hill</t>
  </si>
  <si>
    <t>Apple Rehab Shelton Lakes</t>
  </si>
  <si>
    <t>Apple Rehab Uncasville</t>
  </si>
  <si>
    <t>Apple Rehab West Haven</t>
  </si>
  <si>
    <t>Apple Rehabilitation Watertown</t>
  </si>
  <si>
    <t>Arden House</t>
  </si>
  <si>
    <t>Athena Meadowbrook LLC</t>
  </si>
  <si>
    <t>RHNS</t>
  </si>
  <si>
    <t>Autumn Lake Healthcare at Bucks Hill LLC</t>
  </si>
  <si>
    <t>Autumn Lake Healthcare at Cromwell LLC</t>
  </si>
  <si>
    <t>Autumn Lake Healthcare at New Britain LLC</t>
  </si>
  <si>
    <t>Autumn Lake Healthcare at Norwalk LLC</t>
  </si>
  <si>
    <t>Avery Nursing Home</t>
  </si>
  <si>
    <t>Avon Health Center</t>
  </si>
  <si>
    <t>Bayview Health Care Center</t>
  </si>
  <si>
    <t>Beacon Brook Health Center</t>
  </si>
  <si>
    <t>Beechwood</t>
  </si>
  <si>
    <t>Bel-Air Manor</t>
  </si>
  <si>
    <t>Bethel Health Care-The Cascades (RCH)</t>
  </si>
  <si>
    <t>Bickford Health Care Center</t>
  </si>
  <si>
    <t>Bishop Wicke Health &amp; Rehab. Ctr.</t>
  </si>
  <si>
    <t>Bloomfield Health Care Center, LLC</t>
  </si>
  <si>
    <t>Bradley Home &amp; Pavilion</t>
  </si>
  <si>
    <t>Branford Hills</t>
  </si>
  <si>
    <t>Bride Brook Health &amp; Rehab. Center</t>
  </si>
  <si>
    <t>Cambridge Health and Rehabilitation Center</t>
  </si>
  <si>
    <t>Carolton Chronic and Conv. Hospital</t>
  </si>
  <si>
    <t>Cassena Care at Norwalk</t>
  </si>
  <si>
    <t>Cassena Care of Stamford</t>
  </si>
  <si>
    <t>Chelsea Place Care Center</t>
  </si>
  <si>
    <t>Cherry Brook Health Care Center</t>
  </si>
  <si>
    <t>Cheshire House Health Care Fac &amp; Re</t>
  </si>
  <si>
    <t>Cheshire Regional Rehab Center</t>
  </si>
  <si>
    <t>Chestelm Health Care</t>
  </si>
  <si>
    <t>Chesterfields Health Care Center</t>
  </si>
  <si>
    <t>Cobalt Lodge Health Care &amp; Rehab. Ctr</t>
  </si>
  <si>
    <t>Coccomo Memorial Health Center</t>
  </si>
  <si>
    <t>Colonial Health &amp; Rehab Center of Plainfield, LLC</t>
  </si>
  <si>
    <t>Connecticut Baptist Homes</t>
  </si>
  <si>
    <t>Cook Willow Convalescent Hosp. Inc.</t>
  </si>
  <si>
    <t>Countryside Manor</t>
  </si>
  <si>
    <t>Crestfield Rehab Ctr &amp; Fenwood Manor</t>
  </si>
  <si>
    <t>Curtis Home-St. Elizabeth Center</t>
  </si>
  <si>
    <t>Douglas Manor</t>
  </si>
  <si>
    <t>Elim Park Baptist Home</t>
  </si>
  <si>
    <t>Evergreen Health Care Center</t>
  </si>
  <si>
    <t>Fairview, Inc.</t>
  </si>
  <si>
    <t>Farmington Care Center</t>
  </si>
  <si>
    <t>Filosa, For Nursing and Rehab.</t>
  </si>
  <si>
    <t>Fox Hill Center</t>
  </si>
  <si>
    <t>Frances Warde Towers</t>
  </si>
  <si>
    <t>Fresh River Healthcare</t>
  </si>
  <si>
    <t>Gardner Heights Health Care Center, Inc.</t>
  </si>
  <si>
    <t>Geer Nursing and Rehab. Center</t>
  </si>
  <si>
    <t>Gladeview Health Care Center</t>
  </si>
  <si>
    <t>Glastonbury Health Care Center</t>
  </si>
  <si>
    <t>Glen Hill Center</t>
  </si>
  <si>
    <t>Glendale Center</t>
  </si>
  <si>
    <t>Golden Hill Rehab Pavilion</t>
  </si>
  <si>
    <t>Grandview Rehabilitation and Healthcare Center</t>
  </si>
  <si>
    <t>Greentree Manor Nursing &amp; Rehab. Ctr</t>
  </si>
  <si>
    <t>Greenwich Woods Rehabilitation</t>
  </si>
  <si>
    <t>Grimes Center</t>
  </si>
  <si>
    <t>Groton Regency Center</t>
  </si>
  <si>
    <t>Grove Manor Nursing Home, Inc.</t>
  </si>
  <si>
    <t>Hamden Rehab. and Health Care Center</t>
  </si>
  <si>
    <t>Hancock Hall</t>
  </si>
  <si>
    <t>Harbor Village North Rehab and Nursing Center</t>
  </si>
  <si>
    <t>Harrington Court</t>
  </si>
  <si>
    <t>Hebrew Home</t>
  </si>
  <si>
    <t>Hewitt Health &amp; Rehabilitation Center, Inc.</t>
  </si>
  <si>
    <t>Hughes Health and Rehabilitation, Inc.</t>
  </si>
  <si>
    <t>Ingraham Manor</t>
  </si>
  <si>
    <t>JACC Healthcare Center of Danielson LLC</t>
  </si>
  <si>
    <t>JACC Healthcare Center of Norwich LLC</t>
  </si>
  <si>
    <t>JACC Healthcare Center of Windham LLC</t>
  </si>
  <si>
    <t>Jefferson House</t>
  </si>
  <si>
    <t>Jerome Home, The</t>
  </si>
  <si>
    <t>Jewish Senior Services</t>
  </si>
  <si>
    <t>Kimberly Hall North</t>
  </si>
  <si>
    <t>Kimberly Hall South Center</t>
  </si>
  <si>
    <t>Laurel Ridge Health Care Center</t>
  </si>
  <si>
    <t>Ledgecrest Health Care Center, Inc</t>
  </si>
  <si>
    <t>Leeway</t>
  </si>
  <si>
    <t>AIDSNF</t>
  </si>
  <si>
    <t>Litchfield Woods Health Care Ctr.</t>
  </si>
  <si>
    <t>LiveWell Connecticut</t>
  </si>
  <si>
    <t>Long Ridge Post-Acute Care</t>
  </si>
  <si>
    <t>Lord Chamberlain Nursing &amp; Rehabilitation  Ctr.</t>
  </si>
  <si>
    <t>Ludlowe Center</t>
  </si>
  <si>
    <t>Lutheran Home of Southbury, Inc.</t>
  </si>
  <si>
    <t>Madison House</t>
  </si>
  <si>
    <t>Maefair Health Care Center, Inc</t>
  </si>
  <si>
    <t>Manchester Manor, Inc.</t>
  </si>
  <si>
    <t>Mansfield Center for Nursing &amp; Rehab</t>
  </si>
  <si>
    <t>Maple View Center for Health and Rehabilitation</t>
  </si>
  <si>
    <t>Marlborough Health &amp; Rehab. Center</t>
  </si>
  <si>
    <t>Mary Wade Home, Inc., The</t>
  </si>
  <si>
    <t>Masonicare Health Center</t>
  </si>
  <si>
    <t>Mattatuck Health Care Facility, Inc.</t>
  </si>
  <si>
    <t>Matulaitis Nursing Home</t>
  </si>
  <si>
    <t>McLean Health Center</t>
  </si>
  <si>
    <t>Meriden Center</t>
  </si>
  <si>
    <t>Meridian Manor Corporation</t>
  </si>
  <si>
    <t>Middlebury Conv. Home, Inc.</t>
  </si>
  <si>
    <t>Middlesex Health Care Center</t>
  </si>
  <si>
    <t>Milford Health and Rehab. Center</t>
  </si>
  <si>
    <t>Miller Memorial Community, Inc.</t>
  </si>
  <si>
    <t>Monsignor Bojnowski Manor</t>
  </si>
  <si>
    <t>Montowese Health &amp; Rehab. Ctr., Inc.</t>
  </si>
  <si>
    <t>Mystic Manor, Inc.</t>
  </si>
  <si>
    <t>Nathaniel Witherell</t>
  </si>
  <si>
    <t>New London Sub Acute and Rehab</t>
  </si>
  <si>
    <t>New Milford Rehab LLC</t>
  </si>
  <si>
    <t>Newington Rapid Recovey Rehab Center</t>
  </si>
  <si>
    <t>Newtown Rehabilitation &amp; Health Care</t>
  </si>
  <si>
    <t>Noble Horizons</t>
  </si>
  <si>
    <t>Northbridge Health Care Center</t>
  </si>
  <si>
    <t>Norwich Sub-Acute and Nursing</t>
  </si>
  <si>
    <t>Notre Dame Conv. Home, Inc.</t>
  </si>
  <si>
    <t>Orange Health Care Center</t>
  </si>
  <si>
    <t>Park Place Health Center</t>
  </si>
  <si>
    <t>Pendleton Health &amp; Rehab. Center</t>
  </si>
  <si>
    <t>Pierce Memorial Baptist Home, Inc.</t>
  </si>
  <si>
    <t>Pilgrim Manor</t>
  </si>
  <si>
    <t>Portland Care and Rehab. Center, Inc.</t>
  </si>
  <si>
    <t>Quinnipiac Valley Center</t>
  </si>
  <si>
    <t>Regal Care at New Haven</t>
  </si>
  <si>
    <t>Regal Care at Torrington</t>
  </si>
  <si>
    <t>Regal Care at Waterbury</t>
  </si>
  <si>
    <t>Regal Care at West Haven</t>
  </si>
  <si>
    <t>RegalCare at Greenwich</t>
  </si>
  <si>
    <t>RegalCare at Southport</t>
  </si>
  <si>
    <t>Regency House Nursing and Rehabilitation Center</t>
  </si>
  <si>
    <t>River Glen Health Care Center</t>
  </si>
  <si>
    <t>Riverside Health and Rehabilitation Center</t>
  </si>
  <si>
    <t>Saint John Paul II Center</t>
  </si>
  <si>
    <t>Saint Joseph's Living Center</t>
  </si>
  <si>
    <t>Saint Joseph's Residence</t>
  </si>
  <si>
    <t>Salmon Brook Rehab and Nursing</t>
  </si>
  <si>
    <t>Saybrook Health Care Center</t>
  </si>
  <si>
    <t>Seabury Health Center</t>
  </si>
  <si>
    <t>SecureCare Options, LLC</t>
  </si>
  <si>
    <t>Shady Knoll Health Center, Inc</t>
  </si>
  <si>
    <t>Sharon Health Care Center</t>
  </si>
  <si>
    <t>Sheriden Woods Health Care Center</t>
  </si>
  <si>
    <t>Silver Springs Care Center</t>
  </si>
  <si>
    <t>Skyview Rehab and Nursing</t>
  </si>
  <si>
    <t>Southington Care Center</t>
  </si>
  <si>
    <t>St. Joseph's Center</t>
  </si>
  <si>
    <t>Suffield House, The</t>
  </si>
  <si>
    <t>The Guilford House, LLC</t>
  </si>
  <si>
    <t>The Pines at Bristol</t>
  </si>
  <si>
    <t>The Reservoir</t>
  </si>
  <si>
    <t>The Summit at Plantsville</t>
  </si>
  <si>
    <t>The Villa at Stamford</t>
  </si>
  <si>
    <t>The Willows</t>
  </si>
  <si>
    <t>Touchpoints at Bloomfield</t>
  </si>
  <si>
    <t>Touchpoints at Chestnut</t>
  </si>
  <si>
    <t>Touchpoints at Manchester</t>
  </si>
  <si>
    <t>Trinity Hill Care Center, LLC</t>
  </si>
  <si>
    <t>Twin Maples Healthcare, Inc.</t>
  </si>
  <si>
    <t>Valerie Manor</t>
  </si>
  <si>
    <t>Vernon Manor Health Care Center</t>
  </si>
  <si>
    <t>Villa Maria Nursing &amp; Rehabilitation Inc.</t>
  </si>
  <si>
    <t>Village Crest Center for Health &amp; Rehabilitation</t>
  </si>
  <si>
    <t>Village Green of Bristol Rehab. and Health Center</t>
  </si>
  <si>
    <t>SLTC</t>
  </si>
  <si>
    <t>Wadsworth Glen Health Care &amp; Rehab Ctr</t>
  </si>
  <si>
    <t>Waterbury Gardens Nursing and Rehab</t>
  </si>
  <si>
    <t>Water's Edge Center for Health &amp; Rehab.</t>
  </si>
  <si>
    <t>Watertown Convalarium</t>
  </si>
  <si>
    <t>Watrous Nursing Center</t>
  </si>
  <si>
    <t>Waveny Care Center</t>
  </si>
  <si>
    <t>West Hartford Health &amp; Rehab. Center</t>
  </si>
  <si>
    <t>West River Rehab Center</t>
  </si>
  <si>
    <t>Western Rehabilitation Care Center</t>
  </si>
  <si>
    <t>Westport Rehab Complex</t>
  </si>
  <si>
    <t>Westside Care Center</t>
  </si>
  <si>
    <t>Westview Nursing Care &amp; Rehab. Ctr</t>
  </si>
  <si>
    <t>Whispering Pines Rehabilitation and Nursing Center</t>
  </si>
  <si>
    <t>Whitney Center</t>
  </si>
  <si>
    <t>Whitney Rehabilitation Care Center</t>
  </si>
  <si>
    <t>Wilton Meadows Health Care Center</t>
  </si>
  <si>
    <t>Windsor Health and Rehab Center</t>
  </si>
  <si>
    <t>Wolcott Hall Nursing Center, Inc</t>
  </si>
  <si>
    <t>Wolcott View Manor</t>
  </si>
  <si>
    <t>Woodlake at Tolland</t>
  </si>
  <si>
    <t>WV-Parkway Pavilion</t>
  </si>
  <si>
    <t>Address</t>
  </si>
  <si>
    <t>City</t>
  </si>
  <si>
    <t>State</t>
  </si>
  <si>
    <t>Zip</t>
  </si>
  <si>
    <t>Provider Name</t>
  </si>
  <si>
    <t>Provider Number</t>
  </si>
  <si>
    <t>Provider Type</t>
  </si>
  <si>
    <t>Rate Start</t>
  </si>
  <si>
    <t>Rate End</t>
  </si>
  <si>
    <t>Ryder Health Management</t>
  </si>
  <si>
    <t>3 South Wig Hill Rd.</t>
  </si>
  <si>
    <t>Chester</t>
  </si>
  <si>
    <t>CT</t>
  </si>
  <si>
    <t>Athena Health Care Associates</t>
  </si>
  <si>
    <t>44 Abbott Terrace</t>
  </si>
  <si>
    <t>Waterbury</t>
  </si>
  <si>
    <t>169 Davenport Avenue</t>
  </si>
  <si>
    <t>New Haven</t>
  </si>
  <si>
    <t>416 Colt Highway</t>
  </si>
  <si>
    <t>Farmington</t>
  </si>
  <si>
    <t>Apple Health Care Inc. (Foley Group)</t>
  </si>
  <si>
    <t>220 Scoville Road</t>
  </si>
  <si>
    <t>Avon</t>
  </si>
  <si>
    <t>36 Broadway</t>
  </si>
  <si>
    <t>Colchester</t>
  </si>
  <si>
    <t>156 Berlin Road</t>
  </si>
  <si>
    <t>Cromwell</t>
  </si>
  <si>
    <t>269 Farmington Ave.</t>
  </si>
  <si>
    <t>Plainville</t>
  </si>
  <si>
    <t>10 Boston Post Road</t>
  </si>
  <si>
    <t>Guilford</t>
  </si>
  <si>
    <t>451 North High Street</t>
  </si>
  <si>
    <t>East Haven</t>
  </si>
  <si>
    <t>600 Highland Avenue</t>
  </si>
  <si>
    <t>Middletown</t>
  </si>
  <si>
    <t>28 Broadway</t>
  </si>
  <si>
    <t>Mystic</t>
  </si>
  <si>
    <t>45 Elm Street</t>
  </si>
  <si>
    <t>Rocky Hill</t>
  </si>
  <si>
    <t>5 Lake Road</t>
  </si>
  <si>
    <t>Shelton</t>
  </si>
  <si>
    <t>5 Richard Brown Road</t>
  </si>
  <si>
    <t>Uncasville</t>
  </si>
  <si>
    <t>308 Savin Avenue</t>
  </si>
  <si>
    <t>West Haven</t>
  </si>
  <si>
    <t>35 Bunker Hill Road</t>
  </si>
  <si>
    <t>Watertown</t>
  </si>
  <si>
    <t>Genesis Health Corp</t>
  </si>
  <si>
    <t>850 Mix Avenue</t>
  </si>
  <si>
    <t>Hamden</t>
  </si>
  <si>
    <t>350 Salmon Brook St.</t>
  </si>
  <si>
    <t>Granby</t>
  </si>
  <si>
    <t xml:space="preserve">Autum Lake Healthcare               </t>
  </si>
  <si>
    <t>2817 North Main Street</t>
  </si>
  <si>
    <t>385 Main Street</t>
  </si>
  <si>
    <t>400 Brittany Farms Road</t>
  </si>
  <si>
    <t>New Britain</t>
  </si>
  <si>
    <t>34 Midrocks Road</t>
  </si>
  <si>
    <t>Norwalk</t>
  </si>
  <si>
    <t>Church Homes, Inc. Congregational</t>
  </si>
  <si>
    <t>705  New Britain Avenue</t>
  </si>
  <si>
    <t>Hartford</t>
  </si>
  <si>
    <t>652 West Avon Road</t>
  </si>
  <si>
    <t>301 Rope Ferry Road</t>
  </si>
  <si>
    <t>Waterford</t>
  </si>
  <si>
    <t>89 Weid Drive</t>
  </si>
  <si>
    <t>Naugatuck</t>
  </si>
  <si>
    <t>31 Vauxhall Street</t>
  </si>
  <si>
    <t>New London</t>
  </si>
  <si>
    <t>256 New Britain Avenue</t>
  </si>
  <si>
    <t>Newington</t>
  </si>
  <si>
    <t>Bethel Health Management Assoc. Inc.</t>
  </si>
  <si>
    <t>13 Parklawn Drive</t>
  </si>
  <si>
    <t>Bethel</t>
  </si>
  <si>
    <t>Sommerset Health Care</t>
  </si>
  <si>
    <t>14 Main Street</t>
  </si>
  <si>
    <t>Windsor Locks</t>
  </si>
  <si>
    <t>584 Long Hill Avenue</t>
  </si>
  <si>
    <t>National Health Care, Inc.</t>
  </si>
  <si>
    <t>355 Park Ave.</t>
  </si>
  <si>
    <t>Bloomfield</t>
  </si>
  <si>
    <t>320 Colony Street</t>
  </si>
  <si>
    <t>Meriden</t>
  </si>
  <si>
    <t>189 Alps Road</t>
  </si>
  <si>
    <t>Branford</t>
  </si>
  <si>
    <t>SavaSeniorCare Administrative Sevice</t>
  </si>
  <si>
    <t>23 Liberty Way</t>
  </si>
  <si>
    <t>Niantic</t>
  </si>
  <si>
    <t>2428 Easton Turnpike</t>
  </si>
  <si>
    <t>Fairfield</t>
  </si>
  <si>
    <t>400 Mill Plain Road</t>
  </si>
  <si>
    <t xml:space="preserve">Cassena Care Consulting             </t>
  </si>
  <si>
    <t>23 Prospect Avenue</t>
  </si>
  <si>
    <t>53 Courtland Avenue</t>
  </si>
  <si>
    <t>Stamford</t>
  </si>
  <si>
    <t xml:space="preserve">iCare Health Network                </t>
  </si>
  <si>
    <t>25 Lorraine Street</t>
  </si>
  <si>
    <t>102 Dyer Avenue</t>
  </si>
  <si>
    <t>Canton</t>
  </si>
  <si>
    <t>3396 East Main Street</t>
  </si>
  <si>
    <t xml:space="preserve">Traditions Senior Management        </t>
  </si>
  <si>
    <t>745 Highland Avenue</t>
  </si>
  <si>
    <t>Cheshire</t>
  </si>
  <si>
    <t>534 Town Street</t>
  </si>
  <si>
    <t>Moodus</t>
  </si>
  <si>
    <t>132 Main Street</t>
  </si>
  <si>
    <t>RR 151</t>
  </si>
  <si>
    <t>Cobalt</t>
  </si>
  <si>
    <t>33 Cone Avenue</t>
  </si>
  <si>
    <t>16 Windsor Avenue</t>
  </si>
  <si>
    <t>Plainfield</t>
  </si>
  <si>
    <t>292 Thorpe Avenue</t>
  </si>
  <si>
    <t>81 Hillside Avenue</t>
  </si>
  <si>
    <t>Plymouth</t>
  </si>
  <si>
    <t>1660 Stafford Avenue</t>
  </si>
  <si>
    <t>Bristol</t>
  </si>
  <si>
    <t>565 Vernon Street</t>
  </si>
  <si>
    <t>Manchester</t>
  </si>
  <si>
    <t>380 Crown Street</t>
  </si>
  <si>
    <t>103 North Road</t>
  </si>
  <si>
    <t>Windham</t>
  </si>
  <si>
    <t>140 Cook Hill Rd</t>
  </si>
  <si>
    <t>205 Chestnut Hill Road</t>
  </si>
  <si>
    <t>Stafford Springs</t>
  </si>
  <si>
    <t>235 Lestertown Road</t>
  </si>
  <si>
    <t>Groton</t>
  </si>
  <si>
    <t>20 Scott Swamp Road</t>
  </si>
  <si>
    <t>13 Hakim Street</t>
  </si>
  <si>
    <t>Danbury</t>
  </si>
  <si>
    <t>1253 Hartford Turnpike</t>
  </si>
  <si>
    <t>Rockville</t>
  </si>
  <si>
    <t>Mercy Community Health</t>
  </si>
  <si>
    <t>2021 Albany Avenue</t>
  </si>
  <si>
    <t>West Hartford</t>
  </si>
  <si>
    <t>96 Prospect Hill Road</t>
  </si>
  <si>
    <t>East Windsor</t>
  </si>
  <si>
    <t>172 Rocky Rest Road</t>
  </si>
  <si>
    <t>99 South Canaan Road</t>
  </si>
  <si>
    <t>Canaan</t>
  </si>
  <si>
    <t>60 Boston Post Road</t>
  </si>
  <si>
    <t>Old Saybrook</t>
  </si>
  <si>
    <t>1175 Hebron Avenue</t>
  </si>
  <si>
    <t>Glastonbury</t>
  </si>
  <si>
    <t>1 Glen Hill Road</t>
  </si>
  <si>
    <t>4 Hazel Drive</t>
  </si>
  <si>
    <t>2028 Bridgeport Avenue</t>
  </si>
  <si>
    <t>Milford</t>
  </si>
  <si>
    <t>Simsbury</t>
  </si>
  <si>
    <t>55 Grand Street</t>
  </si>
  <si>
    <t>4 Greentree Drive</t>
  </si>
  <si>
    <t xml:space="preserve">Moshe Bernstein and Mordi Blass     </t>
  </si>
  <si>
    <t>1165 King Street</t>
  </si>
  <si>
    <t>Greenwich</t>
  </si>
  <si>
    <t>1354 Chapel Street</t>
  </si>
  <si>
    <t>1145 Poquonock Road</t>
  </si>
  <si>
    <t>145 Grove Street</t>
  </si>
  <si>
    <t>1270 Sherman Lane</t>
  </si>
  <si>
    <t>31 Staples Street</t>
  </si>
  <si>
    <t>78 Viets Street Extension</t>
  </si>
  <si>
    <t>59 Harrington Court</t>
  </si>
  <si>
    <t>1  Abrahms Boulevard</t>
  </si>
  <si>
    <t>45 Maltby Street</t>
  </si>
  <si>
    <t>29 Highland Street</t>
  </si>
  <si>
    <t>400 North Main Street</t>
  </si>
  <si>
    <t xml:space="preserve">JACC Healthcare Group LLC           </t>
  </si>
  <si>
    <t>111 Westcott Road</t>
  </si>
  <si>
    <t>Danielson</t>
  </si>
  <si>
    <t>50 Crouch Avenue</t>
  </si>
  <si>
    <t>Norwich</t>
  </si>
  <si>
    <t>595 Valley Street</t>
  </si>
  <si>
    <t>Willimantic</t>
  </si>
  <si>
    <t>1 John Stewart Drive</t>
  </si>
  <si>
    <t xml:space="preserve">Hartford HealthCare Senior Services </t>
  </si>
  <si>
    <t>975 Corbin Avenue</t>
  </si>
  <si>
    <t>4200 Park Avenue</t>
  </si>
  <si>
    <t>Bridgeport</t>
  </si>
  <si>
    <t>One Emerson Drive</t>
  </si>
  <si>
    <t>Windsor</t>
  </si>
  <si>
    <t>642 Danbury Road</t>
  </si>
  <si>
    <t>Ridgefield</t>
  </si>
  <si>
    <t>154 Kensington Road</t>
  </si>
  <si>
    <t>Kensington</t>
  </si>
  <si>
    <t>40 Albert Street</t>
  </si>
  <si>
    <t>255 Roberts Street</t>
  </si>
  <si>
    <t>Torrington</t>
  </si>
  <si>
    <t>1261 South Main Street</t>
  </si>
  <si>
    <t>Plantsvillle</t>
  </si>
  <si>
    <t>710 Long Ridge Road</t>
  </si>
  <si>
    <t>7003 Main Street</t>
  </si>
  <si>
    <t>Stratford</t>
  </si>
  <si>
    <t>118 Jefferson Street</t>
  </si>
  <si>
    <t xml:space="preserve">Sheehan Health Group, LLC           </t>
  </si>
  <si>
    <t>990 Main Street North</t>
  </si>
  <si>
    <t>Southbury</t>
  </si>
  <si>
    <t>34 Wildwood Avenue</t>
  </si>
  <si>
    <t>Madison</t>
  </si>
  <si>
    <t>21 Maefair Court</t>
  </si>
  <si>
    <t>Trumbull</t>
  </si>
  <si>
    <t>385 West Center Street</t>
  </si>
  <si>
    <t>100 Warren Circle</t>
  </si>
  <si>
    <t>Storrs</t>
  </si>
  <si>
    <t>856 Maple Street</t>
  </si>
  <si>
    <t>85 Stage Harbor Road</t>
  </si>
  <si>
    <t>Marlborough</t>
  </si>
  <si>
    <t>118 Clinton Avenue</t>
  </si>
  <si>
    <t>Masonicare</t>
  </si>
  <si>
    <t>22 Masonic Avenue</t>
  </si>
  <si>
    <t>Wallingford</t>
  </si>
  <si>
    <t>9 Cliff Street</t>
  </si>
  <si>
    <t>10 Thurber Rd.</t>
  </si>
  <si>
    <t>Putnam</t>
  </si>
  <si>
    <t>75 Great Pond Road</t>
  </si>
  <si>
    <t>845 Paddock Avenue</t>
  </si>
  <si>
    <t>1132 Meriden Road</t>
  </si>
  <si>
    <t>778 Middlebury Road</t>
  </si>
  <si>
    <t>Middlebury</t>
  </si>
  <si>
    <t>100 Randolph Rd.</t>
  </si>
  <si>
    <t>195 Platt Street</t>
  </si>
  <si>
    <t>360 Broad Street</t>
  </si>
  <si>
    <t>50 Pulaski Street</t>
  </si>
  <si>
    <t>163 Quinnipiac Avenue</t>
  </si>
  <si>
    <t>North Haven</t>
  </si>
  <si>
    <t>475 High Street</t>
  </si>
  <si>
    <t>Town of Greenwich</t>
  </si>
  <si>
    <t>70 Parsonage Road</t>
  </si>
  <si>
    <t>88 Clark Lane</t>
  </si>
  <si>
    <t>30 Park Lane East</t>
  </si>
  <si>
    <t>New Milford</t>
  </si>
  <si>
    <t>240 Church Street</t>
  </si>
  <si>
    <t>139 Toddy Hill Road</t>
  </si>
  <si>
    <t>Newtown</t>
  </si>
  <si>
    <t>17 Cobble Road</t>
  </si>
  <si>
    <t>Salisbury</t>
  </si>
  <si>
    <t>2875 Main Street</t>
  </si>
  <si>
    <t>93 West Town Street</t>
  </si>
  <si>
    <t>Norwichtown</t>
  </si>
  <si>
    <t>76 West Rocks Road</t>
  </si>
  <si>
    <t>225 Boston Post Rd.</t>
  </si>
  <si>
    <t>Orange</t>
  </si>
  <si>
    <t>5 Greenwood Street</t>
  </si>
  <si>
    <t>44 Maritime Drive</t>
  </si>
  <si>
    <t>44 Canterbury Rd.</t>
  </si>
  <si>
    <t>Brooklyn</t>
  </si>
  <si>
    <t>Covenant Retirement Communities</t>
  </si>
  <si>
    <t>52 Missionary Road</t>
  </si>
  <si>
    <t>333 Main Street</t>
  </si>
  <si>
    <t>Portland</t>
  </si>
  <si>
    <t>55 Kondracki Lane</t>
  </si>
  <si>
    <t xml:space="preserve">RegalCare Management Group          </t>
  </si>
  <si>
    <t>181 Clifton Street</t>
  </si>
  <si>
    <t>80 Fern Drive</t>
  </si>
  <si>
    <t>177 Whitewood Road</t>
  </si>
  <si>
    <t>310 Terrace Avenue</t>
  </si>
  <si>
    <t>1188 King Street</t>
  </si>
  <si>
    <t>930 Mill Hill Terrace</t>
  </si>
  <si>
    <t>Southport</t>
  </si>
  <si>
    <t>181 East Main Street</t>
  </si>
  <si>
    <t>HealthBridge Management Co</t>
  </si>
  <si>
    <t>162 South Britain Rd.</t>
  </si>
  <si>
    <t>745 Main Street</t>
  </si>
  <si>
    <t>East Hartford</t>
  </si>
  <si>
    <t>33 Lincoln Ave.</t>
  </si>
  <si>
    <t>14 Club Road</t>
  </si>
  <si>
    <t>1365 Enfield Street</t>
  </si>
  <si>
    <t>Enfield</t>
  </si>
  <si>
    <t>72 Salmon Brook Drive</t>
  </si>
  <si>
    <t>1775 Boston Post Road</t>
  </si>
  <si>
    <t>200 Seabury Drive</t>
  </si>
  <si>
    <t>60 West Street</t>
  </si>
  <si>
    <t>44 Skokorat Street</t>
  </si>
  <si>
    <t>Seymour</t>
  </si>
  <si>
    <t>27 Hospital Hill Road</t>
  </si>
  <si>
    <t>Sharon</t>
  </si>
  <si>
    <t>321 Stonecrest Drive</t>
  </si>
  <si>
    <t>33 Roy Street</t>
  </si>
  <si>
    <t>35 Marc Drive</t>
  </si>
  <si>
    <t>45 Meriden Avenue</t>
  </si>
  <si>
    <t>Southington</t>
  </si>
  <si>
    <t>6448 Main Street</t>
  </si>
  <si>
    <t>1 Canal Road</t>
  </si>
  <si>
    <t>Suffield</t>
  </si>
  <si>
    <t>109 West Lake Avenue</t>
  </si>
  <si>
    <t>61 Bellevue Avenue</t>
  </si>
  <si>
    <t>One Emily Way</t>
  </si>
  <si>
    <t>261 Summit Street</t>
  </si>
  <si>
    <t>Plantsville</t>
  </si>
  <si>
    <t>88 Rockrimmon Road</t>
  </si>
  <si>
    <t>225 Amity Road</t>
  </si>
  <si>
    <t>Woodbridge</t>
  </si>
  <si>
    <t>140 Park Avenue</t>
  </si>
  <si>
    <t>171 Main Street</t>
  </si>
  <si>
    <t>333 Bidwell Street</t>
  </si>
  <si>
    <t>151 Hillside Avenue</t>
  </si>
  <si>
    <t>809-R New Haven Road</t>
  </si>
  <si>
    <t>Durham</t>
  </si>
  <si>
    <t>1360 Torringford Road</t>
  </si>
  <si>
    <t>180 Regan Road.</t>
  </si>
  <si>
    <t>Vernon</t>
  </si>
  <si>
    <t>20 Babcock Avenue</t>
  </si>
  <si>
    <t>19 Poplar Street</t>
  </si>
  <si>
    <t>23 Fair Street</t>
  </si>
  <si>
    <t>Forestville</t>
  </si>
  <si>
    <t>30 Boston Road</t>
  </si>
  <si>
    <t xml:space="preserve">Priority HealthCare Group LLC       </t>
  </si>
  <si>
    <t>128 Cedar Avenue</t>
  </si>
  <si>
    <t>111 Church Street</t>
  </si>
  <si>
    <t>560 Woodbury Road</t>
  </si>
  <si>
    <t>9 Neck Road</t>
  </si>
  <si>
    <t>3 Farm Road</t>
  </si>
  <si>
    <t>New Canaan</t>
  </si>
  <si>
    <t>130 Loomis Drive</t>
  </si>
  <si>
    <t>245 Orange Avenue</t>
  </si>
  <si>
    <t>107 Osborne Street</t>
  </si>
  <si>
    <t>1 Burr Road</t>
  </si>
  <si>
    <t>Westport</t>
  </si>
  <si>
    <t>349 Bidwell Street</t>
  </si>
  <si>
    <t>150 Ware Road</t>
  </si>
  <si>
    <t>Dayville</t>
  </si>
  <si>
    <t xml:space="preserve">WP Management LLC                   </t>
  </si>
  <si>
    <t>38 Talmadge Ave</t>
  </si>
  <si>
    <t>200 Leeder Hill Drive</t>
  </si>
  <si>
    <t>2798 Whitney Avenue</t>
  </si>
  <si>
    <t>TransCon Builders, Inc.</t>
  </si>
  <si>
    <t>439 Danbury Road</t>
  </si>
  <si>
    <t>Wilton</t>
  </si>
  <si>
    <t>581 Poquonock Avenue</t>
  </si>
  <si>
    <t>215 Forest Street</t>
  </si>
  <si>
    <t>50 Beach Road</t>
  </si>
  <si>
    <t>Wolcott</t>
  </si>
  <si>
    <t xml:space="preserve">Prospect ECHN, Inc.                 </t>
  </si>
  <si>
    <t>26 Shenipsit Lake Road</t>
  </si>
  <si>
    <t>Tolland</t>
  </si>
  <si>
    <t xml:space="preserve">Wachusett Ventures, LLC             </t>
  </si>
  <si>
    <t>1157 Enfield Street</t>
  </si>
  <si>
    <t>Connecticut Nursing Facility</t>
  </si>
  <si>
    <t>Mgmt. Company</t>
  </si>
  <si>
    <t>$ Chg.</t>
  </si>
  <si>
    <t>Annual Rates Issued October 13,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</si>
</sst>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0"/>
      <name val="Calibri"/>
    </font>
    <font>
      <b/>
      <sz val="11"/>
      <name val="Calibri"/>
      <family val="2"/>
    </font>
    <font>
      <b/>
      <sz val="10"/>
      <name val="Calibri"/>
      <family val="2"/>
    </font>
    <font>
      <sz val="12"/>
      <color indexed="17"/>
      <name val="Marlett"/>
      <charset val="2"/>
    </font>
    <font>
      <b/>
      <sz val="10"/>
      <color indexed="4"/>
      <name val="Georgia"/>
      <family val="1"/>
    </font>
    <font>
      <b/>
      <sz val="10"/>
      <color indexed="16"/>
      <name val="Georgia"/>
      <family val="1"/>
    </font>
    <font>
      <b/>
      <sz val="10"/>
      <color indexed="2"/>
      <name val="Calibri"/>
      <family val="2"/>
    </font>
    <font>
      <sz val="10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 diagonalDown="1">
      <left/>
      <right/>
      <top/>
      <bottom style="thin">
        <color rgb="FFD9D9D9"/>
      </bottom>
      <diagonal/>
    </border>
  </borders>
  <cellStyleXfs count="7">
    <xf numFmtId="0" fontId="0" fillId="0" borderId="0"/>
    <xf numFmtId="0" fontId="2" fillId="2" borderId="0"/>
    <xf numFmtId="0" fontId="1" fillId="0" borderId="0"/>
    <xf numFmtId="0" fontId="3" fillId="0" borderId="1">
      <alignment horizontal="center"/>
    </xf>
    <xf numFmtId="0" fontId="4" fillId="0" borderId="1">
      <alignment horizontal="center"/>
    </xf>
    <xf numFmtId="0" fontId="5" fillId="0" borderId="1">
      <alignment horizontal="center"/>
    </xf>
    <xf numFmtId="0" fontId="6" fillId="0" borderId="1">
      <alignment vertical="center"/>
    </xf>
  </cellStyleXfs>
  <cellXfs count="7">
    <xf numFmtId="0" fontId="0" fillId="0" borderId="0" xfId="0"/>
    <xf numFmtId="0" fontId="2" fillId="2" borderId="0" xfId="1" applyFont="1" applyAlignment="1">
      <alignment wrapText="1"/>
    </xf>
    <xf numFmtId="0" fontId="2" fillId="2" borderId="0" xfId="1" applyFont="1" applyAlignment="1">
      <alignment horizontal="right" wrapText="1"/>
    </xf>
    <xf numFmtId="8" fontId="0" fillId="0" borderId="0" xfId="0" applyNumberFormat="1"/>
    <xf numFmtId="14" fontId="0" fillId="0" borderId="0" xfId="0" applyNumberFormat="1"/>
    <xf numFmtId="0" fontId="7" fillId="0" borderId="0" xfId="0" applyFont="1" applyAlignment="1">
      <alignment horizontal="left"/>
    </xf>
    <xf numFmtId="0" fontId="8" fillId="0" borderId="0" xfId="0" applyFont="1"/>
  </cellXfs>
  <cellStyles count="7">
    <cellStyle name="Blue_Question" xfId="4" xr:uid="{00000000-0005-0000-0000-000000000000}"/>
    <cellStyle name="Green_Checkmark" xfId="3" xr:uid="{00000000-0005-0000-0000-000001000000}"/>
    <cellStyle name="Header" xfId="1" xr:uid="{00000000-0005-0000-0000-000002000000}"/>
    <cellStyle name="Maroon_Bang" xfId="5" xr:uid="{00000000-0005-0000-0000-000003000000}"/>
    <cellStyle name="Normal" xfId="0" builtinId="0"/>
    <cellStyle name="Red_And_Bold" xfId="6" xr:uid="{00000000-0005-0000-0000-000005000000}"/>
    <cellStyle name="TotalsLine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1"/>
  <sheetViews>
    <sheetView tabSelected="1" workbookViewId="0">
      <pane ySplit="3" topLeftCell="A4" activePane="bottomLeft" state="frozen"/>
      <selection pane="bottomLeft" activeCell="B9" sqref="B9"/>
    </sheetView>
  </sheetViews>
  <sheetFormatPr defaultRowHeight="13" x14ac:dyDescent="0.3"/>
  <cols>
    <col min="1" max="1" width="38.59765625" bestFit="1" customWidth="1"/>
    <col min="2" max="2" width="22" bestFit="1" customWidth="1"/>
    <col min="3" max="3" width="14.19921875" bestFit="1" customWidth="1"/>
    <col min="4" max="4" width="5.19921875" bestFit="1" customWidth="1"/>
    <col min="5" max="5" width="10.5" bestFit="1" customWidth="1"/>
    <col min="6" max="6" width="45.19921875" bestFit="1" customWidth="1"/>
    <col min="7" max="7" width="9.8984375" bestFit="1" customWidth="1"/>
    <col min="8" max="8" width="8" bestFit="1" customWidth="1"/>
    <col min="9" max="9" width="9.19921875" bestFit="1" customWidth="1"/>
    <col min="10" max="10" width="9.5" bestFit="1" customWidth="1"/>
    <col min="11" max="11" width="9.3984375" bestFit="1" customWidth="1"/>
    <col min="12" max="12" width="9" bestFit="1" customWidth="1"/>
    <col min="13" max="13" width="6" bestFit="1" customWidth="1"/>
  </cols>
  <sheetData>
    <row r="1" spans="1:14" ht="15.5" x14ac:dyDescent="0.35">
      <c r="A1" s="6" t="s">
        <v>538</v>
      </c>
    </row>
    <row r="2" spans="1:14" ht="15.5" x14ac:dyDescent="0.35">
      <c r="A2" s="6" t="s">
        <v>541</v>
      </c>
    </row>
    <row r="3" spans="1:14" ht="38.4" customHeight="1" x14ac:dyDescent="0.3">
      <c r="A3" s="1" t="s">
        <v>539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  <c r="G3" s="2" t="s">
        <v>209</v>
      </c>
      <c r="H3" s="2" t="s">
        <v>210</v>
      </c>
      <c r="I3" s="2" t="s">
        <v>211</v>
      </c>
      <c r="J3" s="2" t="s">
        <v>212</v>
      </c>
      <c r="K3" s="2" t="s">
        <v>0</v>
      </c>
      <c r="L3" s="2" t="s">
        <v>1</v>
      </c>
      <c r="M3" s="2" t="s">
        <v>540</v>
      </c>
    </row>
    <row r="4" spans="1:14" x14ac:dyDescent="0.3">
      <c r="A4" t="s">
        <v>213</v>
      </c>
      <c r="B4" t="s">
        <v>214</v>
      </c>
      <c r="C4" t="s">
        <v>215</v>
      </c>
      <c r="D4" t="s">
        <v>216</v>
      </c>
      <c r="E4" t="str">
        <f>"06412"</f>
        <v>06412</v>
      </c>
      <c r="F4" t="s">
        <v>2</v>
      </c>
      <c r="G4" t="str">
        <f>"000021684"</f>
        <v>000021684</v>
      </c>
      <c r="H4" t="s">
        <v>3</v>
      </c>
      <c r="I4" s="4">
        <v>44197</v>
      </c>
      <c r="J4" s="4">
        <v>44377</v>
      </c>
      <c r="K4" s="3">
        <v>231.68</v>
      </c>
      <c r="L4" s="3">
        <v>234</v>
      </c>
      <c r="M4" s="3">
        <v>2.3199999999999998</v>
      </c>
      <c r="N4" s="3"/>
    </row>
    <row r="5" spans="1:14" x14ac:dyDescent="0.3">
      <c r="A5" t="s">
        <v>217</v>
      </c>
      <c r="B5" t="s">
        <v>218</v>
      </c>
      <c r="C5" t="s">
        <v>219</v>
      </c>
      <c r="D5" t="s">
        <v>216</v>
      </c>
      <c r="E5" t="str">
        <f>"06702"</f>
        <v>06702</v>
      </c>
      <c r="F5" t="s">
        <v>4</v>
      </c>
      <c r="G5" t="str">
        <f>"000010892"</f>
        <v>000010892</v>
      </c>
      <c r="H5" t="s">
        <v>3</v>
      </c>
      <c r="I5" s="4">
        <v>44197</v>
      </c>
      <c r="J5" s="4">
        <v>44377</v>
      </c>
      <c r="K5" s="3">
        <v>235.47</v>
      </c>
      <c r="L5" s="3">
        <v>237.82</v>
      </c>
      <c r="M5" s="3">
        <v>2.35</v>
      </c>
    </row>
    <row r="6" spans="1:14" x14ac:dyDescent="0.3">
      <c r="B6" t="s">
        <v>220</v>
      </c>
      <c r="C6" t="s">
        <v>221</v>
      </c>
      <c r="D6" t="s">
        <v>216</v>
      </c>
      <c r="E6" t="str">
        <f>"06519"</f>
        <v>06519</v>
      </c>
      <c r="F6" t="s">
        <v>5</v>
      </c>
      <c r="G6" t="str">
        <f>"000000323"</f>
        <v>000000323</v>
      </c>
      <c r="H6" t="s">
        <v>3</v>
      </c>
      <c r="I6" s="4">
        <v>44197</v>
      </c>
      <c r="J6" s="4">
        <v>44377</v>
      </c>
      <c r="K6" s="3">
        <v>285.48</v>
      </c>
      <c r="L6" s="3">
        <v>288.33</v>
      </c>
      <c r="M6" s="3">
        <v>2.85</v>
      </c>
    </row>
    <row r="7" spans="1:14" x14ac:dyDescent="0.3">
      <c r="B7" t="s">
        <v>222</v>
      </c>
      <c r="C7" t="s">
        <v>223</v>
      </c>
      <c r="D7" t="s">
        <v>216</v>
      </c>
      <c r="E7" t="str">
        <f>"06032"</f>
        <v>06032</v>
      </c>
      <c r="F7" t="s">
        <v>6</v>
      </c>
      <c r="G7" t="str">
        <f>"000009241"</f>
        <v>000009241</v>
      </c>
      <c r="H7" t="s">
        <v>3</v>
      </c>
      <c r="I7" s="4">
        <v>44197</v>
      </c>
      <c r="J7" s="4">
        <v>44377</v>
      </c>
      <c r="K7" s="3">
        <v>247.01</v>
      </c>
      <c r="L7" s="3">
        <v>249.48</v>
      </c>
      <c r="M7" s="3">
        <v>2.4700000000000002</v>
      </c>
    </row>
    <row r="8" spans="1:14" x14ac:dyDescent="0.3">
      <c r="A8" t="s">
        <v>224</v>
      </c>
      <c r="B8" t="s">
        <v>225</v>
      </c>
      <c r="C8" t="s">
        <v>226</v>
      </c>
      <c r="D8" t="s">
        <v>216</v>
      </c>
      <c r="E8" t="str">
        <f>"06001"</f>
        <v>06001</v>
      </c>
      <c r="F8" t="s">
        <v>7</v>
      </c>
      <c r="G8" t="str">
        <f>"000010356"</f>
        <v>000010356</v>
      </c>
      <c r="H8" t="s">
        <v>3</v>
      </c>
      <c r="I8" s="4">
        <v>44197</v>
      </c>
      <c r="J8" s="4">
        <v>44377</v>
      </c>
      <c r="K8" s="3">
        <v>221.05</v>
      </c>
      <c r="L8" s="3">
        <v>223.26</v>
      </c>
      <c r="M8" s="3">
        <v>2.21</v>
      </c>
    </row>
    <row r="9" spans="1:14" x14ac:dyDescent="0.3">
      <c r="A9" t="s">
        <v>224</v>
      </c>
      <c r="B9" t="s">
        <v>227</v>
      </c>
      <c r="C9" t="s">
        <v>228</v>
      </c>
      <c r="D9" t="s">
        <v>216</v>
      </c>
      <c r="E9" t="str">
        <f>"06415"</f>
        <v>06415</v>
      </c>
      <c r="F9" t="s">
        <v>8</v>
      </c>
      <c r="G9" t="str">
        <f>"000010900"</f>
        <v>000010900</v>
      </c>
      <c r="H9" t="s">
        <v>3</v>
      </c>
      <c r="I9" s="4">
        <v>44197</v>
      </c>
      <c r="J9" s="4">
        <v>44377</v>
      </c>
      <c r="K9" s="3">
        <v>229.18</v>
      </c>
      <c r="L9" s="3">
        <v>231.47</v>
      </c>
      <c r="M9" s="3">
        <v>2.29</v>
      </c>
    </row>
    <row r="10" spans="1:14" x14ac:dyDescent="0.3">
      <c r="A10" t="s">
        <v>224</v>
      </c>
      <c r="B10" t="s">
        <v>229</v>
      </c>
      <c r="C10" t="s">
        <v>230</v>
      </c>
      <c r="D10" t="s">
        <v>216</v>
      </c>
      <c r="E10" t="str">
        <f>"06416"</f>
        <v>06416</v>
      </c>
      <c r="F10" t="s">
        <v>9</v>
      </c>
      <c r="G10" t="str">
        <f>"000009333"</f>
        <v>000009333</v>
      </c>
      <c r="H10" t="s">
        <v>3</v>
      </c>
      <c r="I10" s="4">
        <v>44197</v>
      </c>
      <c r="J10" s="4">
        <v>44377</v>
      </c>
      <c r="K10" s="3">
        <v>215.9</v>
      </c>
      <c r="L10" s="3">
        <v>218.06</v>
      </c>
      <c r="M10" s="3">
        <v>2.16</v>
      </c>
    </row>
    <row r="11" spans="1:14" x14ac:dyDescent="0.3">
      <c r="A11" t="s">
        <v>224</v>
      </c>
      <c r="B11" t="s">
        <v>231</v>
      </c>
      <c r="C11" t="s">
        <v>232</v>
      </c>
      <c r="D11" t="s">
        <v>216</v>
      </c>
      <c r="E11" t="str">
        <f>"06062"</f>
        <v>06062</v>
      </c>
      <c r="F11" t="s">
        <v>10</v>
      </c>
      <c r="G11" t="str">
        <f>"000020298"</f>
        <v>000020298</v>
      </c>
      <c r="H11" t="s">
        <v>3</v>
      </c>
      <c r="I11" s="4">
        <v>44197</v>
      </c>
      <c r="J11" s="4">
        <v>44377</v>
      </c>
      <c r="K11" s="3">
        <v>223.12</v>
      </c>
      <c r="L11" s="3">
        <v>225.35</v>
      </c>
      <c r="M11" s="3">
        <v>2.23</v>
      </c>
    </row>
    <row r="12" spans="1:14" x14ac:dyDescent="0.3">
      <c r="A12" t="s">
        <v>224</v>
      </c>
      <c r="B12" t="s">
        <v>233</v>
      </c>
      <c r="C12" t="s">
        <v>234</v>
      </c>
      <c r="D12" t="s">
        <v>216</v>
      </c>
      <c r="E12" t="str">
        <f>"06437"</f>
        <v>06437</v>
      </c>
      <c r="F12" t="s">
        <v>11</v>
      </c>
      <c r="G12" t="str">
        <f>"000010686"</f>
        <v>000010686</v>
      </c>
      <c r="H12" t="s">
        <v>3</v>
      </c>
      <c r="I12" s="4">
        <v>44197</v>
      </c>
      <c r="J12" s="4">
        <v>44377</v>
      </c>
      <c r="K12" s="3">
        <v>215.29</v>
      </c>
      <c r="L12" s="3">
        <v>217.44</v>
      </c>
      <c r="M12" s="3">
        <v>2.15</v>
      </c>
    </row>
    <row r="13" spans="1:14" x14ac:dyDescent="0.3">
      <c r="A13" t="s">
        <v>224</v>
      </c>
      <c r="B13" t="s">
        <v>235</v>
      </c>
      <c r="C13" t="s">
        <v>236</v>
      </c>
      <c r="D13" t="s">
        <v>216</v>
      </c>
      <c r="E13" t="str">
        <f>"06512"</f>
        <v>06512</v>
      </c>
      <c r="F13" t="s">
        <v>12</v>
      </c>
      <c r="G13" t="str">
        <f>"000021212"</f>
        <v>000021212</v>
      </c>
      <c r="H13" t="s">
        <v>3</v>
      </c>
      <c r="I13" s="4">
        <v>44197</v>
      </c>
      <c r="J13" s="4">
        <v>44377</v>
      </c>
      <c r="K13" s="3">
        <v>254.54</v>
      </c>
      <c r="L13" s="3">
        <v>257.08999999999997</v>
      </c>
      <c r="M13" s="3">
        <v>2.5499999999999998</v>
      </c>
    </row>
    <row r="14" spans="1:14" x14ac:dyDescent="0.3">
      <c r="A14" t="s">
        <v>224</v>
      </c>
      <c r="B14" t="s">
        <v>237</v>
      </c>
      <c r="C14" t="s">
        <v>238</v>
      </c>
      <c r="D14" t="s">
        <v>216</v>
      </c>
      <c r="E14" t="str">
        <f>"06457"</f>
        <v>06457</v>
      </c>
      <c r="F14" t="s">
        <v>13</v>
      </c>
      <c r="G14" t="str">
        <f>"000020172"</f>
        <v>000020172</v>
      </c>
      <c r="H14" t="s">
        <v>3</v>
      </c>
      <c r="I14" s="4">
        <v>44197</v>
      </c>
      <c r="J14" s="4">
        <v>44377</v>
      </c>
      <c r="K14" s="3">
        <v>216.74</v>
      </c>
      <c r="L14" s="3">
        <v>218.91</v>
      </c>
      <c r="M14" s="3">
        <v>2.17</v>
      </c>
    </row>
    <row r="15" spans="1:14" x14ac:dyDescent="0.3">
      <c r="A15" t="s">
        <v>224</v>
      </c>
      <c r="B15" t="s">
        <v>239</v>
      </c>
      <c r="C15" t="s">
        <v>240</v>
      </c>
      <c r="D15" t="s">
        <v>216</v>
      </c>
      <c r="E15" t="str">
        <f>"06355"</f>
        <v>06355</v>
      </c>
      <c r="F15" t="s">
        <v>14</v>
      </c>
      <c r="G15" t="str">
        <f>"000010637"</f>
        <v>000010637</v>
      </c>
      <c r="H15" t="s">
        <v>3</v>
      </c>
      <c r="I15" s="4">
        <v>44197</v>
      </c>
      <c r="J15" s="4">
        <v>44377</v>
      </c>
      <c r="K15" s="3">
        <v>212.32</v>
      </c>
      <c r="L15" s="3">
        <v>214.44</v>
      </c>
      <c r="M15" s="3">
        <v>2.12</v>
      </c>
    </row>
    <row r="16" spans="1:14" x14ac:dyDescent="0.3">
      <c r="A16" t="s">
        <v>224</v>
      </c>
      <c r="B16" t="s">
        <v>241</v>
      </c>
      <c r="C16" t="s">
        <v>242</v>
      </c>
      <c r="D16" t="s">
        <v>216</v>
      </c>
      <c r="E16" t="str">
        <f>"06067"</f>
        <v>06067</v>
      </c>
      <c r="F16" t="s">
        <v>15</v>
      </c>
      <c r="G16" t="str">
        <f>"000020065"</f>
        <v>000020065</v>
      </c>
      <c r="H16" t="s">
        <v>3</v>
      </c>
      <c r="I16" s="4">
        <v>44197</v>
      </c>
      <c r="J16" s="4">
        <v>44377</v>
      </c>
      <c r="K16" s="3">
        <v>223.51</v>
      </c>
      <c r="L16" s="3">
        <v>225.75</v>
      </c>
      <c r="M16" s="3">
        <v>2.2400000000000002</v>
      </c>
    </row>
    <row r="17" spans="1:13" x14ac:dyDescent="0.3">
      <c r="A17" t="s">
        <v>224</v>
      </c>
      <c r="B17" t="s">
        <v>243</v>
      </c>
      <c r="C17" t="s">
        <v>244</v>
      </c>
      <c r="D17" t="s">
        <v>216</v>
      </c>
      <c r="E17" t="str">
        <f>"06484"</f>
        <v>06484</v>
      </c>
      <c r="F17" t="s">
        <v>16</v>
      </c>
      <c r="G17" t="str">
        <f>"000010173"</f>
        <v>000010173</v>
      </c>
      <c r="H17" t="s">
        <v>3</v>
      </c>
      <c r="I17" s="4">
        <v>44197</v>
      </c>
      <c r="J17" s="4">
        <v>44377</v>
      </c>
      <c r="K17" s="3">
        <v>234.94</v>
      </c>
      <c r="L17" s="3">
        <v>237.29</v>
      </c>
      <c r="M17" s="3">
        <v>2.35</v>
      </c>
    </row>
    <row r="18" spans="1:13" x14ac:dyDescent="0.3">
      <c r="A18" t="s">
        <v>224</v>
      </c>
      <c r="B18" t="s">
        <v>245</v>
      </c>
      <c r="C18" t="s">
        <v>246</v>
      </c>
      <c r="D18" t="s">
        <v>216</v>
      </c>
      <c r="E18" t="str">
        <f>"06382"</f>
        <v>06382</v>
      </c>
      <c r="F18" t="s">
        <v>17</v>
      </c>
      <c r="G18" t="str">
        <f>"000021064"</f>
        <v>000021064</v>
      </c>
      <c r="H18" t="s">
        <v>3</v>
      </c>
      <c r="I18" s="4">
        <v>44197</v>
      </c>
      <c r="J18" s="4">
        <v>44377</v>
      </c>
      <c r="K18" s="3">
        <v>236.86</v>
      </c>
      <c r="L18" s="3">
        <v>239.23</v>
      </c>
      <c r="M18" s="3">
        <v>2.37</v>
      </c>
    </row>
    <row r="19" spans="1:13" x14ac:dyDescent="0.3">
      <c r="A19" t="s">
        <v>224</v>
      </c>
      <c r="B19" t="s">
        <v>247</v>
      </c>
      <c r="C19" t="s">
        <v>248</v>
      </c>
      <c r="D19" t="s">
        <v>216</v>
      </c>
      <c r="E19" t="str">
        <f>"06516"</f>
        <v>06516</v>
      </c>
      <c r="F19" t="s">
        <v>18</v>
      </c>
      <c r="G19" t="str">
        <f>"000021361"</f>
        <v>000021361</v>
      </c>
      <c r="H19" t="s">
        <v>3</v>
      </c>
      <c r="I19" s="4">
        <v>44197</v>
      </c>
      <c r="J19" s="4">
        <v>44377</v>
      </c>
      <c r="K19" s="3">
        <v>227.27</v>
      </c>
      <c r="L19" s="3">
        <v>229.54</v>
      </c>
      <c r="M19" s="3">
        <v>2.27</v>
      </c>
    </row>
    <row r="20" spans="1:13" x14ac:dyDescent="0.3">
      <c r="A20" t="s">
        <v>224</v>
      </c>
      <c r="B20" t="s">
        <v>249</v>
      </c>
      <c r="C20" t="s">
        <v>250</v>
      </c>
      <c r="D20" t="s">
        <v>216</v>
      </c>
      <c r="E20" t="str">
        <f>"06795"</f>
        <v>06795</v>
      </c>
      <c r="F20" t="s">
        <v>19</v>
      </c>
      <c r="G20" t="str">
        <f>"000010827"</f>
        <v>000010827</v>
      </c>
      <c r="H20" t="s">
        <v>3</v>
      </c>
      <c r="I20" s="4">
        <v>44197</v>
      </c>
      <c r="J20" s="4">
        <v>44377</v>
      </c>
      <c r="K20" s="3">
        <v>222.28</v>
      </c>
      <c r="L20" s="3">
        <v>224.5</v>
      </c>
      <c r="M20" s="3">
        <v>2.2200000000000002</v>
      </c>
    </row>
    <row r="21" spans="1:13" x14ac:dyDescent="0.3">
      <c r="A21" t="s">
        <v>251</v>
      </c>
      <c r="B21" t="s">
        <v>252</v>
      </c>
      <c r="C21" t="s">
        <v>253</v>
      </c>
      <c r="D21" t="s">
        <v>216</v>
      </c>
      <c r="E21" t="str">
        <f>"06514"</f>
        <v>06514</v>
      </c>
      <c r="F21" t="s">
        <v>20</v>
      </c>
      <c r="G21" t="str">
        <f>"000020371"</f>
        <v>000020371</v>
      </c>
      <c r="H21" t="s">
        <v>3</v>
      </c>
      <c r="I21" s="4">
        <v>44197</v>
      </c>
      <c r="J21" s="4">
        <v>44377</v>
      </c>
      <c r="K21" s="3">
        <v>234.39</v>
      </c>
      <c r="L21" s="3">
        <v>236.73</v>
      </c>
      <c r="M21" s="3">
        <v>2.34</v>
      </c>
    </row>
    <row r="22" spans="1:13" x14ac:dyDescent="0.3">
      <c r="A22" t="s">
        <v>217</v>
      </c>
      <c r="B22" t="s">
        <v>254</v>
      </c>
      <c r="C22" t="s">
        <v>255</v>
      </c>
      <c r="D22" t="s">
        <v>216</v>
      </c>
      <c r="E22" t="str">
        <f>"06035"</f>
        <v>06035</v>
      </c>
      <c r="F22" t="s">
        <v>21</v>
      </c>
      <c r="G22" t="str">
        <f>"000020800"</f>
        <v>000020800</v>
      </c>
      <c r="H22" t="s">
        <v>3</v>
      </c>
      <c r="I22" s="4">
        <v>44197</v>
      </c>
      <c r="J22" s="4">
        <v>44377</v>
      </c>
      <c r="K22" s="3">
        <v>261.02999999999997</v>
      </c>
      <c r="L22" s="3">
        <v>263.64</v>
      </c>
      <c r="M22" s="3">
        <v>2.61</v>
      </c>
    </row>
    <row r="23" spans="1:13" x14ac:dyDescent="0.3">
      <c r="A23" t="s">
        <v>217</v>
      </c>
      <c r="B23" t="s">
        <v>254</v>
      </c>
      <c r="C23" t="s">
        <v>255</v>
      </c>
      <c r="D23" t="s">
        <v>216</v>
      </c>
      <c r="E23" t="str">
        <f>"06035"</f>
        <v>06035</v>
      </c>
      <c r="F23" t="s">
        <v>21</v>
      </c>
      <c r="G23" t="str">
        <f>"000095225"</f>
        <v>000095225</v>
      </c>
      <c r="H23" t="s">
        <v>22</v>
      </c>
      <c r="I23" s="4">
        <v>44197</v>
      </c>
      <c r="J23" s="4">
        <v>44377</v>
      </c>
      <c r="K23" s="3">
        <v>206.88</v>
      </c>
      <c r="L23" s="3">
        <v>208.95</v>
      </c>
      <c r="M23" s="3">
        <v>2.0699999999999998</v>
      </c>
    </row>
    <row r="24" spans="1:13" x14ac:dyDescent="0.3">
      <c r="A24" t="s">
        <v>256</v>
      </c>
      <c r="B24" t="s">
        <v>257</v>
      </c>
      <c r="C24" t="s">
        <v>219</v>
      </c>
      <c r="D24" t="s">
        <v>216</v>
      </c>
      <c r="E24" t="str">
        <f>"06704"</f>
        <v>06704</v>
      </c>
      <c r="F24" t="s">
        <v>23</v>
      </c>
      <c r="G24" t="str">
        <f>"000007724"</f>
        <v>000007724</v>
      </c>
      <c r="H24" t="s">
        <v>3</v>
      </c>
      <c r="I24" s="4">
        <v>44197</v>
      </c>
      <c r="J24" s="4">
        <v>44377</v>
      </c>
      <c r="K24" s="3">
        <v>246.91</v>
      </c>
      <c r="L24" s="3">
        <v>249.38</v>
      </c>
      <c r="M24" s="3">
        <v>2.4700000000000002</v>
      </c>
    </row>
    <row r="25" spans="1:13" x14ac:dyDescent="0.3">
      <c r="A25" t="s">
        <v>256</v>
      </c>
      <c r="B25" t="s">
        <v>258</v>
      </c>
      <c r="C25" t="s">
        <v>230</v>
      </c>
      <c r="D25" t="s">
        <v>216</v>
      </c>
      <c r="E25" t="str">
        <f>"06416"</f>
        <v>06416</v>
      </c>
      <c r="F25" t="s">
        <v>24</v>
      </c>
      <c r="G25" t="str">
        <f>"000010256"</f>
        <v>000010256</v>
      </c>
      <c r="H25" t="s">
        <v>3</v>
      </c>
      <c r="I25" s="4">
        <v>44197</v>
      </c>
      <c r="J25" s="4">
        <v>44377</v>
      </c>
      <c r="K25" s="3">
        <v>236.18</v>
      </c>
      <c r="L25" s="3">
        <v>238.54</v>
      </c>
      <c r="M25" s="3">
        <v>2.36</v>
      </c>
    </row>
    <row r="26" spans="1:13" x14ac:dyDescent="0.3">
      <c r="A26" t="s">
        <v>256</v>
      </c>
      <c r="B26" t="s">
        <v>259</v>
      </c>
      <c r="C26" t="s">
        <v>260</v>
      </c>
      <c r="D26" t="s">
        <v>216</v>
      </c>
      <c r="E26" t="str">
        <f>"06053"</f>
        <v>06053</v>
      </c>
      <c r="F26" t="s">
        <v>25</v>
      </c>
      <c r="G26" t="str">
        <f>"000010520"</f>
        <v>000010520</v>
      </c>
      <c r="H26" t="s">
        <v>3</v>
      </c>
      <c r="I26" s="4">
        <v>44197</v>
      </c>
      <c r="J26" s="4">
        <v>44377</v>
      </c>
      <c r="K26" s="3">
        <v>254.63</v>
      </c>
      <c r="L26" s="3">
        <v>257.18</v>
      </c>
      <c r="M26" s="3">
        <v>2.5499999999999998</v>
      </c>
    </row>
    <row r="27" spans="1:13" x14ac:dyDescent="0.3">
      <c r="A27" t="s">
        <v>256</v>
      </c>
      <c r="B27" t="s">
        <v>261</v>
      </c>
      <c r="C27" t="s">
        <v>262</v>
      </c>
      <c r="D27" t="s">
        <v>216</v>
      </c>
      <c r="E27" t="str">
        <f>"06851"</f>
        <v>06851</v>
      </c>
      <c r="F27" t="s">
        <v>26</v>
      </c>
      <c r="G27" t="str">
        <f>"000021163"</f>
        <v>000021163</v>
      </c>
      <c r="H27" t="s">
        <v>3</v>
      </c>
      <c r="I27" s="4">
        <v>44197</v>
      </c>
      <c r="J27" s="4">
        <v>44377</v>
      </c>
      <c r="K27" s="3">
        <v>279.05</v>
      </c>
      <c r="L27" s="3">
        <v>281.83999999999997</v>
      </c>
      <c r="M27" s="3">
        <v>2.79</v>
      </c>
    </row>
    <row r="28" spans="1:13" x14ac:dyDescent="0.3">
      <c r="A28" t="s">
        <v>263</v>
      </c>
      <c r="B28" t="s">
        <v>264</v>
      </c>
      <c r="C28" t="s">
        <v>265</v>
      </c>
      <c r="D28" t="s">
        <v>216</v>
      </c>
      <c r="E28" t="str">
        <f>"06106"</f>
        <v>06106</v>
      </c>
      <c r="F28" t="s">
        <v>27</v>
      </c>
      <c r="G28" t="str">
        <f>"000007500"</f>
        <v>000007500</v>
      </c>
      <c r="H28" t="s">
        <v>3</v>
      </c>
      <c r="I28" s="4">
        <v>44197</v>
      </c>
      <c r="J28" s="4">
        <v>44377</v>
      </c>
      <c r="K28" s="3">
        <v>262.31</v>
      </c>
      <c r="L28" s="3">
        <v>264.93</v>
      </c>
      <c r="M28" s="3">
        <v>2.62</v>
      </c>
    </row>
    <row r="29" spans="1:13" x14ac:dyDescent="0.3">
      <c r="A29" t="s">
        <v>263</v>
      </c>
      <c r="B29" t="s">
        <v>264</v>
      </c>
      <c r="C29" t="s">
        <v>265</v>
      </c>
      <c r="D29" t="s">
        <v>216</v>
      </c>
      <c r="E29" t="str">
        <f>"06106"</f>
        <v>06106</v>
      </c>
      <c r="F29" t="s">
        <v>27</v>
      </c>
      <c r="G29" t="str">
        <f>"000090795"</f>
        <v>000090795</v>
      </c>
      <c r="H29" t="s">
        <v>22</v>
      </c>
      <c r="I29" s="4">
        <v>44197</v>
      </c>
      <c r="J29" s="4">
        <v>44377</v>
      </c>
      <c r="K29" s="3">
        <v>201.34</v>
      </c>
      <c r="L29" s="3">
        <v>203.35</v>
      </c>
      <c r="M29" s="3">
        <v>2.0099999999999998</v>
      </c>
    </row>
    <row r="30" spans="1:13" x14ac:dyDescent="0.3">
      <c r="B30" t="s">
        <v>266</v>
      </c>
      <c r="C30" t="s">
        <v>226</v>
      </c>
      <c r="D30" t="s">
        <v>216</v>
      </c>
      <c r="E30" t="str">
        <f>"06001"</f>
        <v>06001</v>
      </c>
      <c r="F30" t="s">
        <v>28</v>
      </c>
      <c r="G30" t="str">
        <f>"000009381"</f>
        <v>000009381</v>
      </c>
      <c r="H30" t="s">
        <v>3</v>
      </c>
      <c r="I30" s="4">
        <v>44197</v>
      </c>
      <c r="J30" s="4">
        <v>44377</v>
      </c>
      <c r="K30" s="3">
        <v>246.22</v>
      </c>
      <c r="L30" s="3">
        <v>248.68</v>
      </c>
      <c r="M30" s="3">
        <v>2.46</v>
      </c>
    </row>
    <row r="31" spans="1:13" x14ac:dyDescent="0.3">
      <c r="A31" t="s">
        <v>217</v>
      </c>
      <c r="B31" t="s">
        <v>267</v>
      </c>
      <c r="C31" t="s">
        <v>268</v>
      </c>
      <c r="D31" t="s">
        <v>216</v>
      </c>
      <c r="E31" t="str">
        <f>"06385"</f>
        <v>06385</v>
      </c>
      <c r="F31" t="s">
        <v>29</v>
      </c>
      <c r="G31" t="str">
        <f>"000020503"</f>
        <v>000020503</v>
      </c>
      <c r="H31" t="s">
        <v>3</v>
      </c>
      <c r="I31" s="4">
        <v>44197</v>
      </c>
      <c r="J31" s="4">
        <v>44377</v>
      </c>
      <c r="K31" s="3">
        <v>253.53</v>
      </c>
      <c r="L31" s="3">
        <v>256.07</v>
      </c>
      <c r="M31" s="3">
        <v>2.54</v>
      </c>
    </row>
    <row r="32" spans="1:13" x14ac:dyDescent="0.3">
      <c r="A32" t="s">
        <v>217</v>
      </c>
      <c r="B32" t="s">
        <v>269</v>
      </c>
      <c r="C32" t="s">
        <v>270</v>
      </c>
      <c r="D32" t="s">
        <v>216</v>
      </c>
      <c r="E32" t="str">
        <f>"06770"</f>
        <v>06770</v>
      </c>
      <c r="F32" t="s">
        <v>30</v>
      </c>
      <c r="G32" t="str">
        <f>"000021238"</f>
        <v>000021238</v>
      </c>
      <c r="H32" t="s">
        <v>3</v>
      </c>
      <c r="I32" s="4">
        <v>44197</v>
      </c>
      <c r="J32" s="4">
        <v>44377</v>
      </c>
      <c r="K32" s="3">
        <v>242.47</v>
      </c>
      <c r="L32" s="3">
        <v>244.89</v>
      </c>
      <c r="M32" s="3">
        <v>2.42</v>
      </c>
    </row>
    <row r="33" spans="1:13" x14ac:dyDescent="0.3">
      <c r="B33" t="s">
        <v>271</v>
      </c>
      <c r="C33" t="s">
        <v>272</v>
      </c>
      <c r="D33" t="s">
        <v>216</v>
      </c>
      <c r="E33" t="str">
        <f>"06320"</f>
        <v>06320</v>
      </c>
      <c r="F33" t="s">
        <v>31</v>
      </c>
      <c r="G33" t="str">
        <f>"000006221"</f>
        <v>000006221</v>
      </c>
      <c r="H33" t="s">
        <v>3</v>
      </c>
      <c r="I33" s="4">
        <v>44197</v>
      </c>
      <c r="J33" s="4">
        <v>44377</v>
      </c>
      <c r="K33" s="3">
        <v>252.62</v>
      </c>
      <c r="L33" s="3">
        <v>255.15</v>
      </c>
      <c r="M33" s="3">
        <v>2.5299999999999998</v>
      </c>
    </row>
    <row r="34" spans="1:13" x14ac:dyDescent="0.3">
      <c r="A34" t="s">
        <v>213</v>
      </c>
      <c r="B34" t="s">
        <v>273</v>
      </c>
      <c r="C34" t="s">
        <v>274</v>
      </c>
      <c r="D34" t="s">
        <v>216</v>
      </c>
      <c r="E34" t="str">
        <f>"06111"</f>
        <v>06111</v>
      </c>
      <c r="F34" t="s">
        <v>32</v>
      </c>
      <c r="G34" t="str">
        <f>"000021080"</f>
        <v>000021080</v>
      </c>
      <c r="H34" t="s">
        <v>3</v>
      </c>
      <c r="I34" s="4">
        <v>44197</v>
      </c>
      <c r="J34" s="4">
        <v>44377</v>
      </c>
      <c r="K34" s="3">
        <v>256.01</v>
      </c>
      <c r="L34" s="3">
        <v>258.57</v>
      </c>
      <c r="M34" s="3">
        <v>2.56</v>
      </c>
    </row>
    <row r="35" spans="1:13" x14ac:dyDescent="0.3">
      <c r="A35" t="s">
        <v>275</v>
      </c>
      <c r="B35" t="s">
        <v>276</v>
      </c>
      <c r="C35" t="s">
        <v>277</v>
      </c>
      <c r="D35" t="s">
        <v>216</v>
      </c>
      <c r="E35" t="str">
        <f>"06801"</f>
        <v>06801</v>
      </c>
      <c r="F35" t="s">
        <v>33</v>
      </c>
      <c r="G35" t="str">
        <f>"000021387"</f>
        <v>000021387</v>
      </c>
      <c r="H35" t="s">
        <v>3</v>
      </c>
      <c r="I35" s="4">
        <v>44197</v>
      </c>
      <c r="J35" s="4">
        <v>44377</v>
      </c>
      <c r="K35" s="3">
        <v>281.06</v>
      </c>
      <c r="L35" s="3">
        <v>283.87</v>
      </c>
      <c r="M35" s="3">
        <v>2.81</v>
      </c>
    </row>
    <row r="36" spans="1:13" x14ac:dyDescent="0.3">
      <c r="A36" t="s">
        <v>278</v>
      </c>
      <c r="B36" t="s">
        <v>279</v>
      </c>
      <c r="C36" t="s">
        <v>280</v>
      </c>
      <c r="D36" t="s">
        <v>216</v>
      </c>
      <c r="E36" t="str">
        <f>"06096"</f>
        <v>06096</v>
      </c>
      <c r="F36" t="s">
        <v>34</v>
      </c>
      <c r="G36" t="str">
        <f>"000010074"</f>
        <v>000010074</v>
      </c>
      <c r="H36" t="s">
        <v>3</v>
      </c>
      <c r="I36" s="4">
        <v>44197</v>
      </c>
      <c r="J36" s="4">
        <v>44377</v>
      </c>
      <c r="K36" s="3">
        <v>195.08</v>
      </c>
      <c r="L36" s="3">
        <v>197.03</v>
      </c>
      <c r="M36" s="3">
        <v>1.95</v>
      </c>
    </row>
    <row r="37" spans="1:13" x14ac:dyDescent="0.3">
      <c r="B37" t="s">
        <v>281</v>
      </c>
      <c r="C37" t="s">
        <v>244</v>
      </c>
      <c r="D37" t="s">
        <v>216</v>
      </c>
      <c r="E37" t="str">
        <f>"06484"</f>
        <v>06484</v>
      </c>
      <c r="F37" t="s">
        <v>35</v>
      </c>
      <c r="G37" t="str">
        <f>"000008128"</f>
        <v>000008128</v>
      </c>
      <c r="H37" t="s">
        <v>3</v>
      </c>
      <c r="I37" s="4">
        <v>44197</v>
      </c>
      <c r="J37" s="4">
        <v>44377</v>
      </c>
      <c r="K37" s="3">
        <v>232.26</v>
      </c>
      <c r="L37" s="3">
        <v>234.58</v>
      </c>
      <c r="M37" s="3">
        <v>2.3199999999999998</v>
      </c>
    </row>
    <row r="38" spans="1:13" x14ac:dyDescent="0.3">
      <c r="A38" t="s">
        <v>282</v>
      </c>
      <c r="B38" t="s">
        <v>283</v>
      </c>
      <c r="C38" t="s">
        <v>284</v>
      </c>
      <c r="D38" t="s">
        <v>216</v>
      </c>
      <c r="E38" t="str">
        <f>"06002"</f>
        <v>06002</v>
      </c>
      <c r="F38" t="s">
        <v>36</v>
      </c>
      <c r="G38" t="str">
        <f>"000009134"</f>
        <v>000009134</v>
      </c>
      <c r="H38" t="s">
        <v>3</v>
      </c>
      <c r="I38" s="4">
        <v>44197</v>
      </c>
      <c r="J38" s="4">
        <v>44377</v>
      </c>
      <c r="K38" s="3">
        <v>254.98</v>
      </c>
      <c r="L38" s="3">
        <v>257.52999999999997</v>
      </c>
      <c r="M38" s="3">
        <v>2.5499999999999998</v>
      </c>
    </row>
    <row r="39" spans="1:13" x14ac:dyDescent="0.3">
      <c r="B39" t="s">
        <v>285</v>
      </c>
      <c r="C39" t="s">
        <v>286</v>
      </c>
      <c r="D39" t="s">
        <v>216</v>
      </c>
      <c r="E39" t="str">
        <f>"06450"</f>
        <v>06450</v>
      </c>
      <c r="F39" t="s">
        <v>37</v>
      </c>
      <c r="G39" t="str">
        <f>"000021577"</f>
        <v>000021577</v>
      </c>
      <c r="H39" t="s">
        <v>3</v>
      </c>
      <c r="I39" s="4">
        <v>44197</v>
      </c>
      <c r="J39" s="4">
        <v>44377</v>
      </c>
      <c r="K39" s="3">
        <v>239.22</v>
      </c>
      <c r="L39" s="3">
        <v>241.61</v>
      </c>
      <c r="M39" s="3">
        <v>2.39</v>
      </c>
    </row>
    <row r="40" spans="1:13" x14ac:dyDescent="0.3">
      <c r="B40" t="s">
        <v>287</v>
      </c>
      <c r="C40" t="s">
        <v>288</v>
      </c>
      <c r="D40" t="s">
        <v>216</v>
      </c>
      <c r="E40" t="str">
        <f>"06405"</f>
        <v>06405</v>
      </c>
      <c r="F40" t="s">
        <v>38</v>
      </c>
      <c r="G40" t="str">
        <f>"000009977"</f>
        <v>000009977</v>
      </c>
      <c r="H40" t="s">
        <v>3</v>
      </c>
      <c r="I40" s="4">
        <v>44197</v>
      </c>
      <c r="J40" s="4">
        <v>44377</v>
      </c>
      <c r="K40" s="3">
        <v>253.11</v>
      </c>
      <c r="L40" s="3">
        <v>255.64</v>
      </c>
      <c r="M40" s="3">
        <v>2.5299999999999998</v>
      </c>
    </row>
    <row r="41" spans="1:13" x14ac:dyDescent="0.3">
      <c r="A41" t="s">
        <v>289</v>
      </c>
      <c r="B41" t="s">
        <v>290</v>
      </c>
      <c r="C41" t="s">
        <v>291</v>
      </c>
      <c r="D41" t="s">
        <v>216</v>
      </c>
      <c r="E41" t="str">
        <f>"06357"</f>
        <v>06357</v>
      </c>
      <c r="F41" t="s">
        <v>39</v>
      </c>
      <c r="G41" t="str">
        <f>"000020826"</f>
        <v>000020826</v>
      </c>
      <c r="H41" t="s">
        <v>3</v>
      </c>
      <c r="I41" s="4">
        <v>44197</v>
      </c>
      <c r="J41" s="4">
        <v>44377</v>
      </c>
      <c r="K41" s="3">
        <v>249.05</v>
      </c>
      <c r="L41" s="3">
        <v>251.54</v>
      </c>
      <c r="M41" s="3">
        <v>2.4900000000000002</v>
      </c>
    </row>
    <row r="42" spans="1:13" x14ac:dyDescent="0.3">
      <c r="A42" t="s">
        <v>282</v>
      </c>
      <c r="B42" t="s">
        <v>292</v>
      </c>
      <c r="C42" t="s">
        <v>293</v>
      </c>
      <c r="D42" t="s">
        <v>216</v>
      </c>
      <c r="E42" t="str">
        <f>"06825"</f>
        <v>06825</v>
      </c>
      <c r="F42" t="s">
        <v>40</v>
      </c>
      <c r="G42" t="str">
        <f>"000020488"</f>
        <v>000020488</v>
      </c>
      <c r="H42" t="s">
        <v>3</v>
      </c>
      <c r="I42" s="4">
        <v>44197</v>
      </c>
      <c r="J42" s="4">
        <v>44377</v>
      </c>
      <c r="K42" s="3">
        <v>268.89</v>
      </c>
      <c r="L42" s="3">
        <v>271.58</v>
      </c>
      <c r="M42" s="3">
        <v>2.69</v>
      </c>
    </row>
    <row r="43" spans="1:13" x14ac:dyDescent="0.3">
      <c r="B43" t="s">
        <v>294</v>
      </c>
      <c r="C43" t="s">
        <v>293</v>
      </c>
      <c r="D43" t="s">
        <v>216</v>
      </c>
      <c r="E43" t="str">
        <f>"06824"</f>
        <v>06824</v>
      </c>
      <c r="F43" t="s">
        <v>41</v>
      </c>
      <c r="G43" t="str">
        <f>"000006064"</f>
        <v>000006064</v>
      </c>
      <c r="H43" t="s">
        <v>3</v>
      </c>
      <c r="I43" s="4">
        <v>44197</v>
      </c>
      <c r="J43" s="4">
        <v>44377</v>
      </c>
      <c r="K43" s="3">
        <v>259.69</v>
      </c>
      <c r="L43" s="3">
        <v>262.29000000000002</v>
      </c>
      <c r="M43" s="3">
        <v>2.6</v>
      </c>
    </row>
    <row r="44" spans="1:13" x14ac:dyDescent="0.3">
      <c r="A44" t="s">
        <v>295</v>
      </c>
      <c r="B44" t="s">
        <v>296</v>
      </c>
      <c r="C44" t="s">
        <v>262</v>
      </c>
      <c r="D44" t="s">
        <v>216</v>
      </c>
      <c r="E44" t="str">
        <f>"06850"</f>
        <v>06850</v>
      </c>
      <c r="F44" t="s">
        <v>42</v>
      </c>
      <c r="G44" t="str">
        <f>"000020016"</f>
        <v>000020016</v>
      </c>
      <c r="H44" t="s">
        <v>3</v>
      </c>
      <c r="I44" s="4">
        <v>44197</v>
      </c>
      <c r="J44" s="4">
        <v>44377</v>
      </c>
      <c r="K44" s="3">
        <v>285.26</v>
      </c>
      <c r="L44" s="3">
        <v>288.11</v>
      </c>
      <c r="M44" s="3">
        <v>2.85</v>
      </c>
    </row>
    <row r="45" spans="1:13" x14ac:dyDescent="0.3">
      <c r="A45" t="s">
        <v>295</v>
      </c>
      <c r="B45" t="s">
        <v>297</v>
      </c>
      <c r="C45" t="s">
        <v>298</v>
      </c>
      <c r="D45" t="s">
        <v>216</v>
      </c>
      <c r="E45" t="str">
        <f>"06902"</f>
        <v>06902</v>
      </c>
      <c r="F45" t="s">
        <v>43</v>
      </c>
      <c r="G45" t="str">
        <f>"000010843"</f>
        <v>000010843</v>
      </c>
      <c r="H45" t="s">
        <v>3</v>
      </c>
      <c r="I45" s="4">
        <v>44197</v>
      </c>
      <c r="J45" s="4">
        <v>44377</v>
      </c>
      <c r="K45" s="3">
        <v>274.39</v>
      </c>
      <c r="L45" s="3">
        <v>277.13</v>
      </c>
      <c r="M45" s="3">
        <v>2.74</v>
      </c>
    </row>
    <row r="46" spans="1:13" x14ac:dyDescent="0.3">
      <c r="A46" t="s">
        <v>299</v>
      </c>
      <c r="B46" t="s">
        <v>300</v>
      </c>
      <c r="C46" t="s">
        <v>265</v>
      </c>
      <c r="D46" t="s">
        <v>216</v>
      </c>
      <c r="E46" t="str">
        <f>"06105"</f>
        <v>06105</v>
      </c>
      <c r="F46" t="s">
        <v>44</v>
      </c>
      <c r="G46" t="str">
        <f>"000009761"</f>
        <v>000009761</v>
      </c>
      <c r="H46" t="s">
        <v>3</v>
      </c>
      <c r="I46" s="4">
        <v>44197</v>
      </c>
      <c r="J46" s="4">
        <v>44377</v>
      </c>
      <c r="K46" s="3">
        <v>262.02999999999997</v>
      </c>
      <c r="L46" s="3">
        <v>264.64999999999998</v>
      </c>
      <c r="M46" s="3">
        <v>2.62</v>
      </c>
    </row>
    <row r="47" spans="1:13" x14ac:dyDescent="0.3">
      <c r="A47" t="s">
        <v>217</v>
      </c>
      <c r="B47" t="s">
        <v>301</v>
      </c>
      <c r="C47" t="s">
        <v>302</v>
      </c>
      <c r="D47" t="s">
        <v>216</v>
      </c>
      <c r="E47" t="str">
        <f>"06019"</f>
        <v>06019</v>
      </c>
      <c r="F47" t="s">
        <v>45</v>
      </c>
      <c r="G47" t="str">
        <f>"000021254"</f>
        <v>000021254</v>
      </c>
      <c r="H47" t="s">
        <v>3</v>
      </c>
      <c r="I47" s="4">
        <v>44197</v>
      </c>
      <c r="J47" s="4">
        <v>44377</v>
      </c>
      <c r="K47" s="3">
        <v>258.7</v>
      </c>
      <c r="L47" s="3">
        <v>261.29000000000002</v>
      </c>
      <c r="M47" s="3">
        <v>2.59</v>
      </c>
    </row>
    <row r="48" spans="1:13" x14ac:dyDescent="0.3">
      <c r="A48" t="s">
        <v>213</v>
      </c>
      <c r="B48" t="s">
        <v>303</v>
      </c>
      <c r="C48" t="s">
        <v>219</v>
      </c>
      <c r="D48" t="s">
        <v>216</v>
      </c>
      <c r="E48" t="str">
        <f>"06705"</f>
        <v>06705</v>
      </c>
      <c r="F48" t="s">
        <v>46</v>
      </c>
      <c r="G48" t="str">
        <f>"000006577"</f>
        <v>000006577</v>
      </c>
      <c r="H48" t="s">
        <v>3</v>
      </c>
      <c r="I48" s="4">
        <v>44197</v>
      </c>
      <c r="J48" s="4">
        <v>44377</v>
      </c>
      <c r="K48" s="3">
        <v>262.73</v>
      </c>
      <c r="L48" s="3">
        <v>265.36</v>
      </c>
      <c r="M48" s="3">
        <v>2.63</v>
      </c>
    </row>
    <row r="49" spans="1:13" x14ac:dyDescent="0.3">
      <c r="A49" t="s">
        <v>304</v>
      </c>
      <c r="B49" t="s">
        <v>305</v>
      </c>
      <c r="C49" t="s">
        <v>306</v>
      </c>
      <c r="D49" t="s">
        <v>216</v>
      </c>
      <c r="E49" t="str">
        <f>"06410"</f>
        <v>06410</v>
      </c>
      <c r="F49" t="s">
        <v>47</v>
      </c>
      <c r="G49" t="str">
        <f>"000010454"</f>
        <v>000010454</v>
      </c>
      <c r="H49" t="s">
        <v>3</v>
      </c>
      <c r="I49" s="4">
        <v>44197</v>
      </c>
      <c r="J49" s="4">
        <v>44377</v>
      </c>
      <c r="K49" s="3">
        <v>263.19</v>
      </c>
      <c r="L49" s="3">
        <v>265.82</v>
      </c>
      <c r="M49" s="3">
        <v>2.63</v>
      </c>
    </row>
    <row r="50" spans="1:13" x14ac:dyDescent="0.3">
      <c r="B50" t="s">
        <v>307</v>
      </c>
      <c r="C50" t="s">
        <v>308</v>
      </c>
      <c r="D50" t="s">
        <v>216</v>
      </c>
      <c r="E50" t="str">
        <f>"06469"</f>
        <v>06469</v>
      </c>
      <c r="F50" t="s">
        <v>48</v>
      </c>
      <c r="G50" t="str">
        <f>"000010298"</f>
        <v>000010298</v>
      </c>
      <c r="H50" t="s">
        <v>3</v>
      </c>
      <c r="I50" s="4">
        <v>44197</v>
      </c>
      <c r="J50" s="4">
        <v>44377</v>
      </c>
      <c r="K50" s="3">
        <v>242.56</v>
      </c>
      <c r="L50" s="3">
        <v>244.99</v>
      </c>
      <c r="M50" s="3">
        <v>2.4300000000000002</v>
      </c>
    </row>
    <row r="51" spans="1:13" x14ac:dyDescent="0.3">
      <c r="B51" t="s">
        <v>307</v>
      </c>
      <c r="C51" t="s">
        <v>308</v>
      </c>
      <c r="D51" t="s">
        <v>216</v>
      </c>
      <c r="E51" t="str">
        <f>"06469"</f>
        <v>06469</v>
      </c>
      <c r="F51" t="s">
        <v>48</v>
      </c>
      <c r="G51" t="str">
        <f>"000091793"</f>
        <v>000091793</v>
      </c>
      <c r="H51" t="s">
        <v>22</v>
      </c>
      <c r="I51" s="4">
        <v>44197</v>
      </c>
      <c r="J51" s="4">
        <v>44377</v>
      </c>
      <c r="K51" s="3">
        <v>183.63</v>
      </c>
      <c r="L51" s="3">
        <v>185.47</v>
      </c>
      <c r="M51" s="3">
        <v>1.84</v>
      </c>
    </row>
    <row r="52" spans="1:13" x14ac:dyDescent="0.3">
      <c r="A52" t="s">
        <v>224</v>
      </c>
      <c r="B52" t="s">
        <v>309</v>
      </c>
      <c r="C52" t="s">
        <v>215</v>
      </c>
      <c r="D52" t="s">
        <v>216</v>
      </c>
      <c r="E52" t="str">
        <f>"06412"</f>
        <v>06412</v>
      </c>
      <c r="F52" t="s">
        <v>49</v>
      </c>
      <c r="G52" t="str">
        <f>"000006338"</f>
        <v>000006338</v>
      </c>
      <c r="H52" t="s">
        <v>3</v>
      </c>
      <c r="I52" s="4">
        <v>44197</v>
      </c>
      <c r="J52" s="4">
        <v>44377</v>
      </c>
      <c r="K52" s="3">
        <v>208.96</v>
      </c>
      <c r="L52" s="3">
        <v>211.05</v>
      </c>
      <c r="M52" s="3">
        <v>2.09</v>
      </c>
    </row>
    <row r="53" spans="1:13" x14ac:dyDescent="0.3">
      <c r="B53" t="s">
        <v>310</v>
      </c>
      <c r="C53" t="s">
        <v>311</v>
      </c>
      <c r="D53" t="s">
        <v>216</v>
      </c>
      <c r="E53" t="str">
        <f>"06414"</f>
        <v>06414</v>
      </c>
      <c r="F53" t="s">
        <v>50</v>
      </c>
      <c r="G53" t="str">
        <f>"000008136"</f>
        <v>000008136</v>
      </c>
      <c r="H53" t="s">
        <v>3</v>
      </c>
      <c r="I53" s="4">
        <v>44197</v>
      </c>
      <c r="J53" s="4">
        <v>44377</v>
      </c>
      <c r="K53" s="3">
        <v>212.23</v>
      </c>
      <c r="L53" s="3">
        <v>214.35</v>
      </c>
      <c r="M53" s="3">
        <v>2.12</v>
      </c>
    </row>
    <row r="54" spans="1:13" x14ac:dyDescent="0.3">
      <c r="A54" t="s">
        <v>224</v>
      </c>
      <c r="B54" t="s">
        <v>312</v>
      </c>
      <c r="C54" t="s">
        <v>286</v>
      </c>
      <c r="D54" t="s">
        <v>216</v>
      </c>
      <c r="E54" t="str">
        <f>"06450"</f>
        <v>06450</v>
      </c>
      <c r="F54" t="s">
        <v>51</v>
      </c>
      <c r="G54" t="str">
        <f>"000020743"</f>
        <v>000020743</v>
      </c>
      <c r="H54" t="s">
        <v>3</v>
      </c>
      <c r="I54" s="4">
        <v>44197</v>
      </c>
      <c r="J54" s="4">
        <v>44377</v>
      </c>
      <c r="K54" s="3">
        <v>206.5</v>
      </c>
      <c r="L54" s="3">
        <v>208.57</v>
      </c>
      <c r="M54" s="3">
        <v>2.0699999999999998</v>
      </c>
    </row>
    <row r="55" spans="1:13" x14ac:dyDescent="0.3">
      <c r="B55" t="s">
        <v>313</v>
      </c>
      <c r="C55" t="s">
        <v>314</v>
      </c>
      <c r="D55" t="s">
        <v>216</v>
      </c>
      <c r="E55" t="str">
        <f>"06374"</f>
        <v>06374</v>
      </c>
      <c r="F55" t="s">
        <v>52</v>
      </c>
      <c r="G55" t="str">
        <f>"000020032"</f>
        <v>000020032</v>
      </c>
      <c r="H55" t="s">
        <v>3</v>
      </c>
      <c r="I55" s="4">
        <v>44197</v>
      </c>
      <c r="J55" s="4">
        <v>44377</v>
      </c>
      <c r="K55" s="3">
        <v>250.5</v>
      </c>
      <c r="L55" s="3">
        <v>253.01</v>
      </c>
      <c r="M55" s="3">
        <v>2.5099999999999998</v>
      </c>
    </row>
    <row r="56" spans="1:13" x14ac:dyDescent="0.3">
      <c r="B56" t="s">
        <v>315</v>
      </c>
      <c r="C56" t="s">
        <v>286</v>
      </c>
      <c r="D56" t="s">
        <v>216</v>
      </c>
      <c r="E56" t="str">
        <f>"06450"</f>
        <v>06450</v>
      </c>
      <c r="F56" t="s">
        <v>53</v>
      </c>
      <c r="G56" t="str">
        <f>"000010231"</f>
        <v>000010231</v>
      </c>
      <c r="H56" t="s">
        <v>3</v>
      </c>
      <c r="I56" s="4">
        <v>44197</v>
      </c>
      <c r="J56" s="4">
        <v>44377</v>
      </c>
      <c r="K56" s="3">
        <v>217.69</v>
      </c>
      <c r="L56" s="3">
        <v>219.87</v>
      </c>
      <c r="M56" s="3">
        <v>2.1800000000000002</v>
      </c>
    </row>
    <row r="57" spans="1:13" x14ac:dyDescent="0.3">
      <c r="B57" t="s">
        <v>315</v>
      </c>
      <c r="C57" t="s">
        <v>286</v>
      </c>
      <c r="D57" t="s">
        <v>216</v>
      </c>
      <c r="E57" t="str">
        <f>"06450"</f>
        <v>06450</v>
      </c>
      <c r="F57" t="s">
        <v>53</v>
      </c>
      <c r="G57" t="str">
        <f>"000095283"</f>
        <v>000095283</v>
      </c>
      <c r="H57" t="s">
        <v>22</v>
      </c>
      <c r="I57" s="4">
        <v>44197</v>
      </c>
      <c r="J57" s="4">
        <v>44377</v>
      </c>
      <c r="K57" s="3">
        <v>172.65</v>
      </c>
      <c r="L57" s="3">
        <v>174.38</v>
      </c>
      <c r="M57" s="3">
        <v>1.73</v>
      </c>
    </row>
    <row r="58" spans="1:13" x14ac:dyDescent="0.3">
      <c r="B58" t="s">
        <v>316</v>
      </c>
      <c r="C58" t="s">
        <v>317</v>
      </c>
      <c r="D58" t="s">
        <v>216</v>
      </c>
      <c r="E58" t="str">
        <f>"06782"</f>
        <v>06782</v>
      </c>
      <c r="F58" t="s">
        <v>54</v>
      </c>
      <c r="G58" t="str">
        <f>"000009324"</f>
        <v>000009324</v>
      </c>
      <c r="H58" t="s">
        <v>3</v>
      </c>
      <c r="I58" s="4">
        <v>44197</v>
      </c>
      <c r="J58" s="4">
        <v>44377</v>
      </c>
      <c r="K58" s="3">
        <v>241.7</v>
      </c>
      <c r="L58" s="3">
        <v>244.12</v>
      </c>
      <c r="M58" s="3">
        <v>2.42</v>
      </c>
    </row>
    <row r="59" spans="1:13" x14ac:dyDescent="0.3">
      <c r="A59" t="s">
        <v>217</v>
      </c>
      <c r="B59" t="s">
        <v>318</v>
      </c>
      <c r="C59" t="s">
        <v>319</v>
      </c>
      <c r="D59" t="s">
        <v>216</v>
      </c>
      <c r="E59" t="str">
        <f>"06010"</f>
        <v>06010</v>
      </c>
      <c r="F59" t="s">
        <v>55</v>
      </c>
      <c r="G59" t="str">
        <f>"000021303"</f>
        <v>000021303</v>
      </c>
      <c r="H59" t="s">
        <v>3</v>
      </c>
      <c r="I59" s="4">
        <v>44197</v>
      </c>
      <c r="J59" s="4">
        <v>44377</v>
      </c>
      <c r="K59" s="3">
        <v>244.53</v>
      </c>
      <c r="L59" s="3">
        <v>246.98</v>
      </c>
      <c r="M59" s="3">
        <v>2.4500000000000002</v>
      </c>
    </row>
    <row r="60" spans="1:13" x14ac:dyDescent="0.3">
      <c r="A60" t="s">
        <v>217</v>
      </c>
      <c r="B60" t="s">
        <v>320</v>
      </c>
      <c r="C60" t="s">
        <v>321</v>
      </c>
      <c r="D60" t="s">
        <v>216</v>
      </c>
      <c r="E60" t="str">
        <f>"06042"</f>
        <v>06042</v>
      </c>
      <c r="F60" t="s">
        <v>56</v>
      </c>
      <c r="G60" t="str">
        <f>"000010140"</f>
        <v>000010140</v>
      </c>
      <c r="H60" t="s">
        <v>3</v>
      </c>
      <c r="I60" s="4">
        <v>44197</v>
      </c>
      <c r="J60" s="4">
        <v>44377</v>
      </c>
      <c r="K60" s="3">
        <v>252.3</v>
      </c>
      <c r="L60" s="3">
        <v>254.82</v>
      </c>
      <c r="M60" s="3">
        <v>2.52</v>
      </c>
    </row>
    <row r="61" spans="1:13" x14ac:dyDescent="0.3">
      <c r="B61" t="s">
        <v>322</v>
      </c>
      <c r="C61" t="s">
        <v>286</v>
      </c>
      <c r="D61" t="s">
        <v>216</v>
      </c>
      <c r="E61" t="str">
        <f>"06450"</f>
        <v>06450</v>
      </c>
      <c r="F61" t="s">
        <v>57</v>
      </c>
      <c r="G61" t="str">
        <f>"000005413"</f>
        <v>000005413</v>
      </c>
      <c r="H61" t="s">
        <v>3</v>
      </c>
      <c r="I61" s="4">
        <v>44197</v>
      </c>
      <c r="J61" s="4">
        <v>44377</v>
      </c>
      <c r="K61" s="3">
        <v>250.69</v>
      </c>
      <c r="L61" s="3">
        <v>253.2</v>
      </c>
      <c r="M61" s="3">
        <v>2.5099999999999998</v>
      </c>
    </row>
    <row r="62" spans="1:13" x14ac:dyDescent="0.3">
      <c r="A62" t="s">
        <v>213</v>
      </c>
      <c r="B62" t="s">
        <v>323</v>
      </c>
      <c r="C62" t="s">
        <v>324</v>
      </c>
      <c r="D62" t="s">
        <v>216</v>
      </c>
      <c r="E62" t="str">
        <f>"06280"</f>
        <v>06280</v>
      </c>
      <c r="F62" t="s">
        <v>58</v>
      </c>
      <c r="G62" t="str">
        <f>"000006932"</f>
        <v>000006932</v>
      </c>
      <c r="H62" t="s">
        <v>3</v>
      </c>
      <c r="I62" s="4">
        <v>44197</v>
      </c>
      <c r="J62" s="4">
        <v>44377</v>
      </c>
      <c r="K62" s="3">
        <v>265.3</v>
      </c>
      <c r="L62" s="3">
        <v>267.95</v>
      </c>
      <c r="M62" s="3">
        <v>2.65</v>
      </c>
    </row>
    <row r="63" spans="1:13" x14ac:dyDescent="0.3">
      <c r="B63" t="s">
        <v>325</v>
      </c>
      <c r="C63" t="s">
        <v>306</v>
      </c>
      <c r="D63" t="s">
        <v>216</v>
      </c>
      <c r="E63" t="str">
        <f>"06410"</f>
        <v>06410</v>
      </c>
      <c r="F63" t="s">
        <v>59</v>
      </c>
      <c r="G63" t="str">
        <f>"000006668"</f>
        <v>000006668</v>
      </c>
      <c r="H63" t="s">
        <v>3</v>
      </c>
      <c r="I63" s="4">
        <v>44197</v>
      </c>
      <c r="J63" s="4">
        <v>44377</v>
      </c>
      <c r="K63" s="3">
        <v>267.8</v>
      </c>
      <c r="L63" s="3">
        <v>270.48</v>
      </c>
      <c r="M63" s="3">
        <v>2.68</v>
      </c>
    </row>
    <row r="64" spans="1:13" x14ac:dyDescent="0.3">
      <c r="A64" t="s">
        <v>217</v>
      </c>
      <c r="B64" t="s">
        <v>326</v>
      </c>
      <c r="C64" t="s">
        <v>327</v>
      </c>
      <c r="D64" t="s">
        <v>216</v>
      </c>
      <c r="E64" t="str">
        <f>"06076"</f>
        <v>06076</v>
      </c>
      <c r="F64" t="s">
        <v>60</v>
      </c>
      <c r="G64" t="str">
        <f>"000020529"</f>
        <v>000020529</v>
      </c>
      <c r="H64" t="s">
        <v>3</v>
      </c>
      <c r="I64" s="4">
        <v>44197</v>
      </c>
      <c r="J64" s="4">
        <v>44377</v>
      </c>
      <c r="K64" s="3">
        <v>259.86</v>
      </c>
      <c r="L64" s="3">
        <v>262.45999999999998</v>
      </c>
      <c r="M64" s="3">
        <v>2.6</v>
      </c>
    </row>
    <row r="65" spans="1:13" x14ac:dyDescent="0.3">
      <c r="B65" t="s">
        <v>328</v>
      </c>
      <c r="C65" t="s">
        <v>329</v>
      </c>
      <c r="D65" t="s">
        <v>216</v>
      </c>
      <c r="E65" t="str">
        <f>"06340"</f>
        <v>06340</v>
      </c>
      <c r="F65" t="s">
        <v>61</v>
      </c>
      <c r="G65" t="str">
        <f>"000002584"</f>
        <v>000002584</v>
      </c>
      <c r="H65" t="s">
        <v>3</v>
      </c>
      <c r="I65" s="4">
        <v>44197</v>
      </c>
      <c r="J65" s="4">
        <v>44377</v>
      </c>
      <c r="K65" s="3">
        <v>239.3</v>
      </c>
      <c r="L65" s="3">
        <v>241.69</v>
      </c>
      <c r="M65" s="3">
        <v>2.39</v>
      </c>
    </row>
    <row r="66" spans="1:13" x14ac:dyDescent="0.3">
      <c r="A66" t="s">
        <v>299</v>
      </c>
      <c r="B66" t="s">
        <v>330</v>
      </c>
      <c r="C66" t="s">
        <v>223</v>
      </c>
      <c r="D66" t="s">
        <v>216</v>
      </c>
      <c r="E66" t="str">
        <f>"06032"</f>
        <v>06032</v>
      </c>
      <c r="F66" t="s">
        <v>62</v>
      </c>
      <c r="G66" t="str">
        <f>"000010447"</f>
        <v>000010447</v>
      </c>
      <c r="H66" t="s">
        <v>3</v>
      </c>
      <c r="I66" s="4">
        <v>44197</v>
      </c>
      <c r="J66" s="4">
        <v>44377</v>
      </c>
      <c r="K66" s="3">
        <v>252.74</v>
      </c>
      <c r="L66" s="3">
        <v>255.27</v>
      </c>
      <c r="M66" s="3">
        <v>2.5299999999999998</v>
      </c>
    </row>
    <row r="67" spans="1:13" x14ac:dyDescent="0.3">
      <c r="B67" t="s">
        <v>331</v>
      </c>
      <c r="C67" t="s">
        <v>332</v>
      </c>
      <c r="D67" t="s">
        <v>216</v>
      </c>
      <c r="E67" t="str">
        <f>"06810"</f>
        <v>06810</v>
      </c>
      <c r="F67" t="s">
        <v>63</v>
      </c>
      <c r="G67" t="str">
        <f>"000004614"</f>
        <v>000004614</v>
      </c>
      <c r="H67" t="s">
        <v>3</v>
      </c>
      <c r="I67" s="4">
        <v>44197</v>
      </c>
      <c r="J67" s="4">
        <v>44377</v>
      </c>
      <c r="K67" s="3">
        <v>264.58</v>
      </c>
      <c r="L67" s="3">
        <v>267.23</v>
      </c>
      <c r="M67" s="3">
        <v>2.65</v>
      </c>
    </row>
    <row r="68" spans="1:13" x14ac:dyDescent="0.3">
      <c r="A68" t="s">
        <v>251</v>
      </c>
      <c r="B68" t="s">
        <v>333</v>
      </c>
      <c r="C68" t="s">
        <v>334</v>
      </c>
      <c r="D68" t="s">
        <v>216</v>
      </c>
      <c r="E68" t="str">
        <f>"06066"</f>
        <v>06066</v>
      </c>
      <c r="F68" t="s">
        <v>64</v>
      </c>
      <c r="G68" t="str">
        <f>"000008029"</f>
        <v>000008029</v>
      </c>
      <c r="H68" t="s">
        <v>3</v>
      </c>
      <c r="I68" s="4">
        <v>44197</v>
      </c>
      <c r="J68" s="4">
        <v>44377</v>
      </c>
      <c r="K68" s="3">
        <v>204.85</v>
      </c>
      <c r="L68" s="3">
        <v>206.9</v>
      </c>
      <c r="M68" s="3">
        <v>2.0499999999999998</v>
      </c>
    </row>
    <row r="69" spans="1:13" x14ac:dyDescent="0.3">
      <c r="A69" t="s">
        <v>335</v>
      </c>
      <c r="B69" t="s">
        <v>336</v>
      </c>
      <c r="C69" t="s">
        <v>337</v>
      </c>
      <c r="D69" t="s">
        <v>216</v>
      </c>
      <c r="E69" t="str">
        <f>"06117"</f>
        <v>06117</v>
      </c>
      <c r="F69" t="s">
        <v>65</v>
      </c>
      <c r="G69" t="str">
        <f>"000006809"</f>
        <v>000006809</v>
      </c>
      <c r="H69" t="s">
        <v>3</v>
      </c>
      <c r="I69" s="4">
        <v>44197</v>
      </c>
      <c r="J69" s="4">
        <v>44377</v>
      </c>
      <c r="K69" s="3">
        <v>257.10000000000002</v>
      </c>
      <c r="L69" s="3">
        <v>259.67</v>
      </c>
      <c r="M69" s="3">
        <v>2.57</v>
      </c>
    </row>
    <row r="70" spans="1:13" x14ac:dyDescent="0.3">
      <c r="A70" t="s">
        <v>299</v>
      </c>
      <c r="B70" t="s">
        <v>338</v>
      </c>
      <c r="C70" t="s">
        <v>339</v>
      </c>
      <c r="D70" t="s">
        <v>216</v>
      </c>
      <c r="E70" t="str">
        <f>"06088"</f>
        <v>06088</v>
      </c>
      <c r="F70" t="s">
        <v>66</v>
      </c>
      <c r="G70" t="str">
        <f>"000009530"</f>
        <v>000009530</v>
      </c>
      <c r="H70" t="s">
        <v>3</v>
      </c>
      <c r="I70" s="4">
        <v>44197</v>
      </c>
      <c r="J70" s="4">
        <v>44377</v>
      </c>
      <c r="K70" s="3">
        <v>251.11</v>
      </c>
      <c r="L70" s="3">
        <v>253.62</v>
      </c>
      <c r="M70" s="3">
        <v>2.5099999999999998</v>
      </c>
    </row>
    <row r="71" spans="1:13" x14ac:dyDescent="0.3">
      <c r="A71" t="s">
        <v>224</v>
      </c>
      <c r="B71" t="s">
        <v>340</v>
      </c>
      <c r="C71" t="s">
        <v>244</v>
      </c>
      <c r="D71" t="s">
        <v>216</v>
      </c>
      <c r="E71" t="str">
        <f>"06484"</f>
        <v>06484</v>
      </c>
      <c r="F71" t="s">
        <v>67</v>
      </c>
      <c r="G71" t="str">
        <f>"000009969"</f>
        <v>000009969</v>
      </c>
      <c r="H71" t="s">
        <v>3</v>
      </c>
      <c r="I71" s="4">
        <v>44197</v>
      </c>
      <c r="J71" s="4">
        <v>44377</v>
      </c>
      <c r="K71" s="3">
        <v>227.12</v>
      </c>
      <c r="L71" s="3">
        <v>229.39</v>
      </c>
      <c r="M71" s="3">
        <v>2.27</v>
      </c>
    </row>
    <row r="72" spans="1:13" x14ac:dyDescent="0.3">
      <c r="B72" t="s">
        <v>341</v>
      </c>
      <c r="C72" t="s">
        <v>342</v>
      </c>
      <c r="D72" t="s">
        <v>216</v>
      </c>
      <c r="E72" t="str">
        <f>"06018"</f>
        <v>06018</v>
      </c>
      <c r="F72" t="s">
        <v>68</v>
      </c>
      <c r="G72" t="str">
        <f>"000008433"</f>
        <v>000008433</v>
      </c>
      <c r="H72" t="s">
        <v>3</v>
      </c>
      <c r="I72" s="4">
        <v>44197</v>
      </c>
      <c r="J72" s="4">
        <v>44377</v>
      </c>
      <c r="K72" s="3">
        <v>252.22</v>
      </c>
      <c r="L72" s="3">
        <v>254.74</v>
      </c>
      <c r="M72" s="3">
        <v>2.52</v>
      </c>
    </row>
    <row r="73" spans="1:13" x14ac:dyDescent="0.3">
      <c r="B73" t="s">
        <v>343</v>
      </c>
      <c r="C73" t="s">
        <v>344</v>
      </c>
      <c r="D73" t="s">
        <v>216</v>
      </c>
      <c r="E73" t="str">
        <f>"06475"</f>
        <v>06475</v>
      </c>
      <c r="F73" t="s">
        <v>69</v>
      </c>
      <c r="G73" t="str">
        <f>"000020248"</f>
        <v>000020248</v>
      </c>
      <c r="H73" t="s">
        <v>3</v>
      </c>
      <c r="I73" s="4">
        <v>44197</v>
      </c>
      <c r="J73" s="4">
        <v>44377</v>
      </c>
      <c r="K73" s="3">
        <v>251.23</v>
      </c>
      <c r="L73" s="3">
        <v>253.74</v>
      </c>
      <c r="M73" s="3">
        <v>2.5099999999999998</v>
      </c>
    </row>
    <row r="74" spans="1:13" x14ac:dyDescent="0.3">
      <c r="A74" t="s">
        <v>217</v>
      </c>
      <c r="B74" t="s">
        <v>345</v>
      </c>
      <c r="C74" t="s">
        <v>346</v>
      </c>
      <c r="D74" t="s">
        <v>216</v>
      </c>
      <c r="E74" t="str">
        <f>"06033"</f>
        <v>06033</v>
      </c>
      <c r="F74" t="s">
        <v>70</v>
      </c>
      <c r="G74" t="str">
        <f>"000020280"</f>
        <v>000020280</v>
      </c>
      <c r="H74" t="s">
        <v>3</v>
      </c>
      <c r="I74" s="4">
        <v>44197</v>
      </c>
      <c r="J74" s="4">
        <v>44377</v>
      </c>
      <c r="K74" s="3">
        <v>248.64</v>
      </c>
      <c r="L74" s="3">
        <v>251.13</v>
      </c>
      <c r="M74" s="3">
        <v>2.4900000000000002</v>
      </c>
    </row>
    <row r="75" spans="1:13" x14ac:dyDescent="0.3">
      <c r="A75" t="s">
        <v>251</v>
      </c>
      <c r="B75" t="s">
        <v>347</v>
      </c>
      <c r="C75" t="s">
        <v>332</v>
      </c>
      <c r="D75" t="s">
        <v>216</v>
      </c>
      <c r="E75" t="str">
        <f>"06810"</f>
        <v>06810</v>
      </c>
      <c r="F75" t="s">
        <v>71</v>
      </c>
      <c r="G75" t="str">
        <f>"00007153"</f>
        <v>00007153</v>
      </c>
      <c r="H75" t="s">
        <v>3</v>
      </c>
      <c r="I75" s="4">
        <v>44197</v>
      </c>
      <c r="J75" s="4">
        <v>44377</v>
      </c>
      <c r="K75" s="3">
        <v>220.57</v>
      </c>
      <c r="L75" s="3">
        <v>222.78</v>
      </c>
      <c r="M75" s="3">
        <v>2.21</v>
      </c>
    </row>
    <row r="76" spans="1:13" x14ac:dyDescent="0.3">
      <c r="A76" t="s">
        <v>251</v>
      </c>
      <c r="B76" t="s">
        <v>348</v>
      </c>
      <c r="C76" t="s">
        <v>270</v>
      </c>
      <c r="D76" t="s">
        <v>216</v>
      </c>
      <c r="E76" t="str">
        <f>"06770"</f>
        <v>06770</v>
      </c>
      <c r="F76" t="s">
        <v>72</v>
      </c>
      <c r="G76" t="str">
        <f>"000010975"</f>
        <v>000010975</v>
      </c>
      <c r="H76" t="s">
        <v>3</v>
      </c>
      <c r="I76" s="4">
        <v>44197</v>
      </c>
      <c r="J76" s="4">
        <v>44377</v>
      </c>
      <c r="K76" s="3">
        <v>219.43</v>
      </c>
      <c r="L76" s="3">
        <v>221.62</v>
      </c>
      <c r="M76" s="3">
        <v>2.19</v>
      </c>
    </row>
    <row r="77" spans="1:13" x14ac:dyDescent="0.3">
      <c r="A77" t="s">
        <v>304</v>
      </c>
      <c r="B77" t="s">
        <v>349</v>
      </c>
      <c r="C77" t="s">
        <v>350</v>
      </c>
      <c r="D77" t="s">
        <v>216</v>
      </c>
      <c r="E77" t="str">
        <f>"06460"</f>
        <v>06460</v>
      </c>
      <c r="F77" t="s">
        <v>73</v>
      </c>
      <c r="G77" t="str">
        <f>"000008896"</f>
        <v>000008896</v>
      </c>
      <c r="H77" t="s">
        <v>3</v>
      </c>
      <c r="I77" s="4">
        <v>44197</v>
      </c>
      <c r="J77" s="4">
        <v>44377</v>
      </c>
      <c r="K77" s="3">
        <v>255.98</v>
      </c>
      <c r="L77" s="3">
        <v>258.54000000000002</v>
      </c>
      <c r="M77" s="3">
        <v>2.56</v>
      </c>
    </row>
    <row r="78" spans="1:13" x14ac:dyDescent="0.3">
      <c r="B78" t="s">
        <v>352</v>
      </c>
      <c r="C78" t="s">
        <v>260</v>
      </c>
      <c r="D78" t="s">
        <v>216</v>
      </c>
      <c r="E78" t="str">
        <f>"06052"</f>
        <v>06052</v>
      </c>
      <c r="F78" t="s">
        <v>74</v>
      </c>
      <c r="G78" t="str">
        <f>"000010439"</f>
        <v>000010439</v>
      </c>
      <c r="H78" t="s">
        <v>3</v>
      </c>
      <c r="I78" s="4">
        <v>44197</v>
      </c>
      <c r="J78" s="4">
        <v>44377</v>
      </c>
      <c r="K78" s="3">
        <v>217.81</v>
      </c>
      <c r="L78" s="3">
        <v>219.99</v>
      </c>
      <c r="M78" s="3">
        <v>2.1800000000000002</v>
      </c>
    </row>
    <row r="79" spans="1:13" x14ac:dyDescent="0.3">
      <c r="A79" t="s">
        <v>213</v>
      </c>
      <c r="B79" t="s">
        <v>353</v>
      </c>
      <c r="C79" t="s">
        <v>268</v>
      </c>
      <c r="D79" t="s">
        <v>216</v>
      </c>
      <c r="E79" t="str">
        <f>"06385"</f>
        <v>06385</v>
      </c>
      <c r="F79" t="s">
        <v>75</v>
      </c>
      <c r="G79" t="str">
        <f>"000008425"</f>
        <v>000008425</v>
      </c>
      <c r="H79" t="s">
        <v>3</v>
      </c>
      <c r="I79" s="4">
        <v>44197</v>
      </c>
      <c r="J79" s="4">
        <v>44377</v>
      </c>
      <c r="K79" s="3">
        <v>236.76</v>
      </c>
      <c r="L79" s="3">
        <v>239.13</v>
      </c>
      <c r="M79" s="3">
        <v>2.37</v>
      </c>
    </row>
    <row r="80" spans="1:13" x14ac:dyDescent="0.3">
      <c r="A80" t="s">
        <v>354</v>
      </c>
      <c r="B80" t="s">
        <v>355</v>
      </c>
      <c r="C80" t="s">
        <v>356</v>
      </c>
      <c r="D80" t="s">
        <v>216</v>
      </c>
      <c r="E80" t="str">
        <f>"06831"</f>
        <v>06831</v>
      </c>
      <c r="F80" t="s">
        <v>76</v>
      </c>
      <c r="G80" t="str">
        <f>"000010934"</f>
        <v>000010934</v>
      </c>
      <c r="H80" t="s">
        <v>3</v>
      </c>
      <c r="I80" s="4">
        <v>44197</v>
      </c>
      <c r="J80" s="4">
        <v>44377</v>
      </c>
      <c r="K80" s="3">
        <v>235.24</v>
      </c>
      <c r="L80" s="3">
        <v>237.59</v>
      </c>
      <c r="M80" s="3">
        <v>2.35</v>
      </c>
    </row>
    <row r="81" spans="1:13" x14ac:dyDescent="0.3">
      <c r="B81" t="s">
        <v>357</v>
      </c>
      <c r="C81" t="s">
        <v>221</v>
      </c>
      <c r="D81" t="s">
        <v>216</v>
      </c>
      <c r="E81" t="str">
        <f>"06511"</f>
        <v>06511</v>
      </c>
      <c r="F81" t="s">
        <v>77</v>
      </c>
      <c r="G81" t="str">
        <f>"000020272"</f>
        <v>000020272</v>
      </c>
      <c r="H81" t="s">
        <v>3</v>
      </c>
      <c r="I81" s="4">
        <v>44197</v>
      </c>
      <c r="J81" s="4">
        <v>44377</v>
      </c>
      <c r="K81" s="3">
        <v>277.39</v>
      </c>
      <c r="L81" s="3">
        <v>280.16000000000003</v>
      </c>
      <c r="M81" s="3">
        <v>2.77</v>
      </c>
    </row>
    <row r="82" spans="1:13" x14ac:dyDescent="0.3">
      <c r="A82" t="s">
        <v>251</v>
      </c>
      <c r="B82" t="s">
        <v>358</v>
      </c>
      <c r="C82" t="s">
        <v>329</v>
      </c>
      <c r="D82" t="s">
        <v>216</v>
      </c>
      <c r="E82" t="str">
        <f>"06340"</f>
        <v>06340</v>
      </c>
      <c r="F82" t="s">
        <v>78</v>
      </c>
      <c r="G82" t="str">
        <f>"000020355"</f>
        <v>000020355</v>
      </c>
      <c r="H82" t="s">
        <v>3</v>
      </c>
      <c r="I82" s="4">
        <v>44197</v>
      </c>
      <c r="J82" s="4">
        <v>44377</v>
      </c>
      <c r="K82" s="3">
        <v>219</v>
      </c>
      <c r="L82" s="3">
        <v>221.19</v>
      </c>
      <c r="M82" s="3">
        <v>2.19</v>
      </c>
    </row>
    <row r="83" spans="1:13" x14ac:dyDescent="0.3">
      <c r="B83" t="s">
        <v>359</v>
      </c>
      <c r="C83" t="s">
        <v>219</v>
      </c>
      <c r="D83" t="s">
        <v>216</v>
      </c>
      <c r="E83" t="str">
        <f>"06710"</f>
        <v>06710</v>
      </c>
      <c r="F83" t="s">
        <v>79</v>
      </c>
      <c r="G83" t="str">
        <f>"000004945"</f>
        <v>000004945</v>
      </c>
      <c r="H83" t="s">
        <v>3</v>
      </c>
      <c r="I83" s="4">
        <v>44197</v>
      </c>
      <c r="J83" s="4">
        <v>44377</v>
      </c>
      <c r="K83" s="3">
        <v>206.2</v>
      </c>
      <c r="L83" s="3">
        <v>208.26</v>
      </c>
      <c r="M83" s="3">
        <v>2.06</v>
      </c>
    </row>
    <row r="84" spans="1:13" x14ac:dyDescent="0.3">
      <c r="A84" t="s">
        <v>354</v>
      </c>
      <c r="B84" t="s">
        <v>360</v>
      </c>
      <c r="C84" t="s">
        <v>253</v>
      </c>
      <c r="D84" t="s">
        <v>216</v>
      </c>
      <c r="E84" t="str">
        <f>"06514"</f>
        <v>06514</v>
      </c>
      <c r="F84" t="s">
        <v>80</v>
      </c>
      <c r="G84" t="str">
        <f>"000009902"</f>
        <v>000009902</v>
      </c>
      <c r="H84" t="s">
        <v>3</v>
      </c>
      <c r="I84" s="4">
        <v>44197</v>
      </c>
      <c r="J84" s="4">
        <v>44377</v>
      </c>
      <c r="K84" s="3">
        <v>229.63</v>
      </c>
      <c r="L84" s="3">
        <v>231.93</v>
      </c>
      <c r="M84" s="3">
        <v>2.2999999999999998</v>
      </c>
    </row>
    <row r="85" spans="1:13" x14ac:dyDescent="0.3">
      <c r="B85" t="s">
        <v>361</v>
      </c>
      <c r="C85" t="s">
        <v>332</v>
      </c>
      <c r="D85" t="s">
        <v>216</v>
      </c>
      <c r="E85" t="str">
        <f>"06810"</f>
        <v>06810</v>
      </c>
      <c r="F85" t="s">
        <v>81</v>
      </c>
      <c r="G85" t="str">
        <f>"000021858"</f>
        <v>000021858</v>
      </c>
      <c r="H85" t="s">
        <v>3</v>
      </c>
      <c r="I85" s="4">
        <v>44197</v>
      </c>
      <c r="J85" s="4">
        <v>44377</v>
      </c>
      <c r="K85" s="3">
        <v>258.35000000000002</v>
      </c>
      <c r="L85" s="3">
        <v>260.93</v>
      </c>
      <c r="M85" s="3">
        <v>2.58</v>
      </c>
    </row>
    <row r="86" spans="1:13" x14ac:dyDescent="0.3">
      <c r="B86" t="s">
        <v>362</v>
      </c>
      <c r="C86" t="s">
        <v>272</v>
      </c>
      <c r="D86" t="s">
        <v>216</v>
      </c>
      <c r="E86" t="str">
        <f>"06320"</f>
        <v>06320</v>
      </c>
      <c r="F86" t="s">
        <v>82</v>
      </c>
      <c r="G86" t="str">
        <f>"000009647"</f>
        <v>000009647</v>
      </c>
      <c r="H86" t="s">
        <v>3</v>
      </c>
      <c r="I86" s="4">
        <v>44197</v>
      </c>
      <c r="J86" s="4">
        <v>44377</v>
      </c>
      <c r="K86" s="3">
        <v>203.37</v>
      </c>
      <c r="L86" s="3">
        <v>205.4</v>
      </c>
      <c r="M86" s="3">
        <v>2.0299999999999998</v>
      </c>
    </row>
    <row r="87" spans="1:13" x14ac:dyDescent="0.3">
      <c r="A87" t="s">
        <v>251</v>
      </c>
      <c r="B87" t="s">
        <v>363</v>
      </c>
      <c r="C87" t="s">
        <v>228</v>
      </c>
      <c r="D87" t="s">
        <v>216</v>
      </c>
      <c r="E87" t="str">
        <f>"06415"</f>
        <v>06415</v>
      </c>
      <c r="F87" t="s">
        <v>83</v>
      </c>
      <c r="G87" t="str">
        <f>"000008961"</f>
        <v>000008961</v>
      </c>
      <c r="H87" t="s">
        <v>3</v>
      </c>
      <c r="I87" s="4">
        <v>44197</v>
      </c>
      <c r="J87" s="4">
        <v>44377</v>
      </c>
      <c r="K87" s="3">
        <v>243.99</v>
      </c>
      <c r="L87" s="3">
        <v>246.43</v>
      </c>
      <c r="M87" s="3">
        <v>2.44</v>
      </c>
    </row>
    <row r="88" spans="1:13" x14ac:dyDescent="0.3">
      <c r="A88" t="s">
        <v>282</v>
      </c>
      <c r="B88" t="s">
        <v>364</v>
      </c>
      <c r="C88" t="s">
        <v>337</v>
      </c>
      <c r="D88" t="s">
        <v>216</v>
      </c>
      <c r="E88" t="str">
        <f>"06117"</f>
        <v>06117</v>
      </c>
      <c r="F88" t="s">
        <v>84</v>
      </c>
      <c r="G88" t="str">
        <f>"000000927"</f>
        <v>000000927</v>
      </c>
      <c r="H88" t="s">
        <v>3</v>
      </c>
      <c r="I88" s="4">
        <v>44197</v>
      </c>
      <c r="J88" s="4">
        <v>44377</v>
      </c>
      <c r="K88" s="3">
        <v>281.48</v>
      </c>
      <c r="L88" s="3">
        <v>284.29000000000002</v>
      </c>
      <c r="M88" s="3">
        <v>2.81</v>
      </c>
    </row>
    <row r="89" spans="1:13" x14ac:dyDescent="0.3">
      <c r="A89" t="s">
        <v>224</v>
      </c>
      <c r="B89" t="s">
        <v>365</v>
      </c>
      <c r="C89" t="s">
        <v>244</v>
      </c>
      <c r="D89" t="s">
        <v>216</v>
      </c>
      <c r="E89" t="str">
        <f>"06484"</f>
        <v>06484</v>
      </c>
      <c r="F89" t="s">
        <v>85</v>
      </c>
      <c r="G89" t="str">
        <f>"000005876"</f>
        <v>000005876</v>
      </c>
      <c r="H89" t="s">
        <v>3</v>
      </c>
      <c r="I89" s="4">
        <v>44197</v>
      </c>
      <c r="J89" s="4">
        <v>44377</v>
      </c>
      <c r="K89" s="3">
        <v>239.53</v>
      </c>
      <c r="L89" s="3">
        <v>241.93</v>
      </c>
      <c r="M89" s="3">
        <v>2.4</v>
      </c>
    </row>
    <row r="90" spans="1:13" x14ac:dyDescent="0.3">
      <c r="B90" t="s">
        <v>366</v>
      </c>
      <c r="C90" t="s">
        <v>337</v>
      </c>
      <c r="D90" t="s">
        <v>216</v>
      </c>
      <c r="E90" t="str">
        <f>"06119"</f>
        <v>06119</v>
      </c>
      <c r="F90" t="s">
        <v>86</v>
      </c>
      <c r="G90" t="str">
        <f>"000002089"</f>
        <v>000002089</v>
      </c>
      <c r="H90" t="s">
        <v>3</v>
      </c>
      <c r="I90" s="4">
        <v>44197</v>
      </c>
      <c r="J90" s="4">
        <v>44377</v>
      </c>
      <c r="K90" s="3">
        <v>253.5</v>
      </c>
      <c r="L90" s="3">
        <v>256.04000000000002</v>
      </c>
      <c r="M90" s="3">
        <v>2.54</v>
      </c>
    </row>
    <row r="91" spans="1:13" x14ac:dyDescent="0.3">
      <c r="B91" t="s">
        <v>367</v>
      </c>
      <c r="C91" t="s">
        <v>319</v>
      </c>
      <c r="D91" t="s">
        <v>216</v>
      </c>
      <c r="E91" t="str">
        <f>"06010"</f>
        <v>06010</v>
      </c>
      <c r="F91" t="s">
        <v>87</v>
      </c>
      <c r="G91" t="str">
        <f>"000020561"</f>
        <v>000020561</v>
      </c>
      <c r="H91" t="s">
        <v>3</v>
      </c>
      <c r="I91" s="4">
        <v>44197</v>
      </c>
      <c r="J91" s="4">
        <v>44377</v>
      </c>
      <c r="K91" s="3">
        <v>249.32</v>
      </c>
      <c r="L91" s="3">
        <v>251.81</v>
      </c>
      <c r="M91" s="3">
        <v>2.4900000000000002</v>
      </c>
    </row>
    <row r="92" spans="1:13" x14ac:dyDescent="0.3">
      <c r="A92" t="s">
        <v>368</v>
      </c>
      <c r="B92" t="s">
        <v>369</v>
      </c>
      <c r="C92" t="s">
        <v>370</v>
      </c>
      <c r="D92" t="s">
        <v>216</v>
      </c>
      <c r="E92" t="str">
        <f>"06239"</f>
        <v>06239</v>
      </c>
      <c r="F92" t="s">
        <v>88</v>
      </c>
      <c r="G92" t="str">
        <f>"000020454"</f>
        <v>000020454</v>
      </c>
      <c r="H92" t="s">
        <v>3</v>
      </c>
      <c r="I92" s="4">
        <v>44197</v>
      </c>
      <c r="J92" s="4">
        <v>44377</v>
      </c>
      <c r="K92" s="3">
        <v>257.10000000000002</v>
      </c>
      <c r="L92" s="3">
        <v>259.67</v>
      </c>
      <c r="M92" s="3">
        <v>2.57</v>
      </c>
    </row>
    <row r="93" spans="1:13" x14ac:dyDescent="0.3">
      <c r="A93" t="s">
        <v>368</v>
      </c>
      <c r="B93" t="s">
        <v>371</v>
      </c>
      <c r="C93" t="s">
        <v>372</v>
      </c>
      <c r="D93" t="s">
        <v>216</v>
      </c>
      <c r="E93" t="str">
        <f>"06360"</f>
        <v>06360</v>
      </c>
      <c r="F93" t="s">
        <v>89</v>
      </c>
      <c r="G93" t="str">
        <f>"000010413"</f>
        <v>000010413</v>
      </c>
      <c r="H93" t="s">
        <v>3</v>
      </c>
      <c r="I93" s="4">
        <v>44197</v>
      </c>
      <c r="J93" s="4">
        <v>44377</v>
      </c>
      <c r="K93" s="3">
        <v>259.02999999999997</v>
      </c>
      <c r="L93" s="3">
        <v>261.62</v>
      </c>
      <c r="M93" s="3">
        <v>2.59</v>
      </c>
    </row>
    <row r="94" spans="1:13" x14ac:dyDescent="0.3">
      <c r="A94" t="s">
        <v>368</v>
      </c>
      <c r="B94" t="s">
        <v>373</v>
      </c>
      <c r="C94" t="s">
        <v>374</v>
      </c>
      <c r="D94" t="s">
        <v>216</v>
      </c>
      <c r="E94" t="str">
        <f>"06226"</f>
        <v>06226</v>
      </c>
      <c r="F94" t="s">
        <v>90</v>
      </c>
      <c r="G94" t="str">
        <f>"000020438"</f>
        <v>000020438</v>
      </c>
      <c r="H94" t="s">
        <v>3</v>
      </c>
      <c r="I94" s="4">
        <v>44197</v>
      </c>
      <c r="J94" s="4">
        <v>44377</v>
      </c>
      <c r="K94" s="3">
        <v>245.63</v>
      </c>
      <c r="L94" s="3">
        <v>248.09</v>
      </c>
      <c r="M94" s="3">
        <v>2.46</v>
      </c>
    </row>
    <row r="95" spans="1:13" x14ac:dyDescent="0.3">
      <c r="B95" t="s">
        <v>375</v>
      </c>
      <c r="C95" t="s">
        <v>274</v>
      </c>
      <c r="D95" t="s">
        <v>216</v>
      </c>
      <c r="E95" t="str">
        <f>"06111"</f>
        <v>06111</v>
      </c>
      <c r="F95" t="s">
        <v>91</v>
      </c>
      <c r="G95" t="str">
        <f>"000009936"</f>
        <v>000009936</v>
      </c>
      <c r="H95" t="s">
        <v>3</v>
      </c>
      <c r="I95" s="4">
        <v>44197</v>
      </c>
      <c r="J95" s="4">
        <v>44377</v>
      </c>
      <c r="K95" s="3">
        <v>265.5</v>
      </c>
      <c r="L95" s="3">
        <v>268.16000000000003</v>
      </c>
      <c r="M95" s="3">
        <v>2.66</v>
      </c>
    </row>
    <row r="96" spans="1:13" x14ac:dyDescent="0.3">
      <c r="A96" t="s">
        <v>376</v>
      </c>
      <c r="B96" t="s">
        <v>377</v>
      </c>
      <c r="C96" t="s">
        <v>260</v>
      </c>
      <c r="D96" t="s">
        <v>216</v>
      </c>
      <c r="E96" t="str">
        <f>"06052"</f>
        <v>06052</v>
      </c>
      <c r="F96" t="s">
        <v>92</v>
      </c>
      <c r="G96" t="str">
        <f>"000020652"</f>
        <v>000020652</v>
      </c>
      <c r="H96" t="s">
        <v>3</v>
      </c>
      <c r="I96" s="4">
        <v>44197</v>
      </c>
      <c r="J96" s="4">
        <v>44377</v>
      </c>
      <c r="K96" s="3">
        <v>255.14</v>
      </c>
      <c r="L96" s="3">
        <v>257.69</v>
      </c>
      <c r="M96" s="3">
        <v>2.5499999999999998</v>
      </c>
    </row>
    <row r="97" spans="1:13" x14ac:dyDescent="0.3">
      <c r="B97" t="s">
        <v>378</v>
      </c>
      <c r="C97" t="s">
        <v>379</v>
      </c>
      <c r="D97" t="s">
        <v>216</v>
      </c>
      <c r="E97" t="str">
        <f>"06604"</f>
        <v>06604</v>
      </c>
      <c r="F97" t="s">
        <v>93</v>
      </c>
      <c r="G97" t="str">
        <f>"000009233"</f>
        <v>000009233</v>
      </c>
      <c r="H97" t="s">
        <v>3</v>
      </c>
      <c r="I97" s="4">
        <v>44197</v>
      </c>
      <c r="J97" s="4">
        <v>44377</v>
      </c>
      <c r="K97" s="3">
        <v>312.81</v>
      </c>
      <c r="L97" s="3">
        <v>315.94</v>
      </c>
      <c r="M97" s="3">
        <v>3.13</v>
      </c>
    </row>
    <row r="98" spans="1:13" x14ac:dyDescent="0.3">
      <c r="A98" t="s">
        <v>251</v>
      </c>
      <c r="B98" t="s">
        <v>380</v>
      </c>
      <c r="C98" t="s">
        <v>381</v>
      </c>
      <c r="D98" t="s">
        <v>216</v>
      </c>
      <c r="E98" t="str">
        <f>"06095"</f>
        <v>06095</v>
      </c>
      <c r="F98" t="s">
        <v>94</v>
      </c>
      <c r="G98" t="str">
        <f>"000010769"</f>
        <v>000010769</v>
      </c>
      <c r="H98" t="s">
        <v>3</v>
      </c>
      <c r="I98" s="4">
        <v>44197</v>
      </c>
      <c r="J98" s="4">
        <v>44377</v>
      </c>
      <c r="K98" s="3">
        <v>218.91</v>
      </c>
      <c r="L98" s="3">
        <v>221.1</v>
      </c>
      <c r="M98" s="3">
        <v>2.19</v>
      </c>
    </row>
    <row r="99" spans="1:13" x14ac:dyDescent="0.3">
      <c r="A99" t="s">
        <v>251</v>
      </c>
      <c r="B99" t="s">
        <v>380</v>
      </c>
      <c r="C99" t="s">
        <v>381</v>
      </c>
      <c r="D99" t="s">
        <v>216</v>
      </c>
      <c r="E99" t="str">
        <f>"06095"</f>
        <v>06095</v>
      </c>
      <c r="F99" t="s">
        <v>95</v>
      </c>
      <c r="G99" t="str">
        <f>"000010751"</f>
        <v>000010751</v>
      </c>
      <c r="H99" t="s">
        <v>3</v>
      </c>
      <c r="I99" s="4">
        <v>44197</v>
      </c>
      <c r="J99" s="4">
        <v>44377</v>
      </c>
      <c r="K99" s="3">
        <v>220.86</v>
      </c>
      <c r="L99" s="3">
        <v>223.07</v>
      </c>
      <c r="M99" s="3">
        <v>2.21</v>
      </c>
    </row>
    <row r="100" spans="1:13" x14ac:dyDescent="0.3">
      <c r="A100" t="s">
        <v>217</v>
      </c>
      <c r="B100" t="s">
        <v>382</v>
      </c>
      <c r="C100" t="s">
        <v>383</v>
      </c>
      <c r="D100" t="s">
        <v>216</v>
      </c>
      <c r="E100" t="str">
        <f>"06877"</f>
        <v>06877</v>
      </c>
      <c r="F100" t="s">
        <v>96</v>
      </c>
      <c r="G100" t="str">
        <f>"000021262"</f>
        <v>000021262</v>
      </c>
      <c r="H100" t="s">
        <v>3</v>
      </c>
      <c r="I100" s="4">
        <v>44197</v>
      </c>
      <c r="J100" s="4">
        <v>44377</v>
      </c>
      <c r="K100" s="3">
        <v>283.14999999999998</v>
      </c>
      <c r="L100" s="3">
        <v>285.98</v>
      </c>
      <c r="M100" s="3">
        <v>2.83</v>
      </c>
    </row>
    <row r="101" spans="1:13" x14ac:dyDescent="0.3">
      <c r="A101" t="s">
        <v>224</v>
      </c>
      <c r="B101" t="s">
        <v>384</v>
      </c>
      <c r="C101" t="s">
        <v>385</v>
      </c>
      <c r="D101" t="s">
        <v>216</v>
      </c>
      <c r="E101" t="str">
        <f>"06037"</f>
        <v>06037</v>
      </c>
      <c r="F101" t="s">
        <v>97</v>
      </c>
      <c r="G101" t="str">
        <f>"000020462"</f>
        <v>000020462</v>
      </c>
      <c r="H101" t="s">
        <v>3</v>
      </c>
      <c r="I101" s="4">
        <v>44197</v>
      </c>
      <c r="J101" s="4">
        <v>44377</v>
      </c>
      <c r="K101" s="3">
        <v>214.46</v>
      </c>
      <c r="L101" s="3">
        <v>216.6</v>
      </c>
      <c r="M101" s="3">
        <v>2.14</v>
      </c>
    </row>
    <row r="102" spans="1:13" x14ac:dyDescent="0.3">
      <c r="B102" t="s">
        <v>386</v>
      </c>
      <c r="C102" t="s">
        <v>221</v>
      </c>
      <c r="D102" t="s">
        <v>216</v>
      </c>
      <c r="E102" t="str">
        <f>"06511"</f>
        <v>06511</v>
      </c>
      <c r="F102" t="s">
        <v>98</v>
      </c>
      <c r="G102" t="str">
        <f>"000042169"</f>
        <v>000042169</v>
      </c>
      <c r="H102" t="s">
        <v>99</v>
      </c>
      <c r="I102" s="4">
        <v>44197</v>
      </c>
      <c r="J102" s="4">
        <v>44377</v>
      </c>
      <c r="K102" s="3">
        <v>429.11</v>
      </c>
      <c r="L102" s="3">
        <v>433.4</v>
      </c>
      <c r="M102" s="3">
        <v>4.29</v>
      </c>
    </row>
    <row r="103" spans="1:13" x14ac:dyDescent="0.3">
      <c r="A103" t="s">
        <v>217</v>
      </c>
      <c r="B103" t="s">
        <v>387</v>
      </c>
      <c r="C103" t="s">
        <v>388</v>
      </c>
      <c r="D103" t="s">
        <v>216</v>
      </c>
      <c r="E103" t="str">
        <f>"06790"</f>
        <v>06790</v>
      </c>
      <c r="F103" t="s">
        <v>100</v>
      </c>
      <c r="G103" t="str">
        <f>"000020347"</f>
        <v>000020347</v>
      </c>
      <c r="H103" t="s">
        <v>3</v>
      </c>
      <c r="I103" s="4">
        <v>44197</v>
      </c>
      <c r="J103" s="4">
        <v>44377</v>
      </c>
      <c r="K103" s="3">
        <v>244.59</v>
      </c>
      <c r="L103" s="3">
        <v>247.04</v>
      </c>
      <c r="M103" s="3">
        <v>2.4500000000000002</v>
      </c>
    </row>
    <row r="104" spans="1:13" x14ac:dyDescent="0.3">
      <c r="A104" t="s">
        <v>217</v>
      </c>
      <c r="B104" t="s">
        <v>387</v>
      </c>
      <c r="C104" t="s">
        <v>388</v>
      </c>
      <c r="D104" t="s">
        <v>216</v>
      </c>
      <c r="E104" t="str">
        <f>"06790"</f>
        <v>06790</v>
      </c>
      <c r="F104" t="s">
        <v>100</v>
      </c>
      <c r="G104" t="str">
        <f>"000095077"</f>
        <v>000095077</v>
      </c>
      <c r="H104" t="s">
        <v>22</v>
      </c>
      <c r="I104" s="4">
        <v>44197</v>
      </c>
      <c r="J104" s="4">
        <v>44377</v>
      </c>
      <c r="K104" s="3">
        <v>184.22</v>
      </c>
      <c r="L104" s="3">
        <v>186.06</v>
      </c>
      <c r="M104" s="3">
        <v>1.84</v>
      </c>
    </row>
    <row r="105" spans="1:13" x14ac:dyDescent="0.3">
      <c r="B105" t="s">
        <v>389</v>
      </c>
      <c r="C105" t="s">
        <v>390</v>
      </c>
      <c r="D105" t="s">
        <v>216</v>
      </c>
      <c r="E105" t="str">
        <f>"06479"</f>
        <v>06479</v>
      </c>
      <c r="F105" t="s">
        <v>101</v>
      </c>
      <c r="G105" t="str">
        <f>"000020933"</f>
        <v>000020933</v>
      </c>
      <c r="H105" t="s">
        <v>3</v>
      </c>
      <c r="I105" s="4">
        <v>44197</v>
      </c>
      <c r="J105" s="4">
        <v>44377</v>
      </c>
      <c r="K105" s="3">
        <v>272.79000000000002</v>
      </c>
      <c r="L105" s="3">
        <v>275.52</v>
      </c>
      <c r="M105" s="3">
        <v>2.73</v>
      </c>
    </row>
    <row r="106" spans="1:13" x14ac:dyDescent="0.3">
      <c r="A106" t="s">
        <v>304</v>
      </c>
      <c r="B106" t="s">
        <v>391</v>
      </c>
      <c r="C106" t="s">
        <v>298</v>
      </c>
      <c r="D106" t="s">
        <v>216</v>
      </c>
      <c r="E106" t="str">
        <f>"06902"</f>
        <v>06902</v>
      </c>
      <c r="F106" t="s">
        <v>102</v>
      </c>
      <c r="G106" t="str">
        <f>"000021197"</f>
        <v>000021197</v>
      </c>
      <c r="H106" t="s">
        <v>3</v>
      </c>
      <c r="I106" s="4">
        <v>44197</v>
      </c>
      <c r="J106" s="4">
        <v>44377</v>
      </c>
      <c r="K106" s="3">
        <v>305.29000000000002</v>
      </c>
      <c r="L106" s="3">
        <v>308.33999999999997</v>
      </c>
      <c r="M106" s="3">
        <v>3.05</v>
      </c>
    </row>
    <row r="107" spans="1:13" x14ac:dyDescent="0.3">
      <c r="A107" t="s">
        <v>213</v>
      </c>
      <c r="B107" t="s">
        <v>392</v>
      </c>
      <c r="C107" t="s">
        <v>393</v>
      </c>
      <c r="D107" t="s">
        <v>216</v>
      </c>
      <c r="E107" t="str">
        <f>"06614"</f>
        <v>06614</v>
      </c>
      <c r="F107" t="s">
        <v>103</v>
      </c>
      <c r="G107" t="str">
        <f>"000009688"</f>
        <v>000009688</v>
      </c>
      <c r="H107" t="s">
        <v>3</v>
      </c>
      <c r="I107" s="4">
        <v>44197</v>
      </c>
      <c r="J107" s="4">
        <v>44377</v>
      </c>
      <c r="K107" s="3">
        <v>241.96</v>
      </c>
      <c r="L107" s="3">
        <v>244.38</v>
      </c>
      <c r="M107" s="3">
        <v>2.42</v>
      </c>
    </row>
    <row r="108" spans="1:13" x14ac:dyDescent="0.3">
      <c r="A108" t="s">
        <v>282</v>
      </c>
      <c r="B108" t="s">
        <v>394</v>
      </c>
      <c r="C108" t="s">
        <v>293</v>
      </c>
      <c r="D108" t="s">
        <v>216</v>
      </c>
      <c r="E108" t="str">
        <f>"06432"</f>
        <v>06432</v>
      </c>
      <c r="F108" t="s">
        <v>104</v>
      </c>
      <c r="G108" t="str">
        <f>"000006080"</f>
        <v>000006080</v>
      </c>
      <c r="H108" t="s">
        <v>3</v>
      </c>
      <c r="I108" s="4">
        <v>44197</v>
      </c>
      <c r="J108" s="4">
        <v>44377</v>
      </c>
      <c r="K108" s="3">
        <v>288.14</v>
      </c>
      <c r="L108" s="3">
        <v>291.02</v>
      </c>
      <c r="M108" s="3">
        <v>2.88</v>
      </c>
    </row>
    <row r="109" spans="1:13" x14ac:dyDescent="0.3">
      <c r="A109" t="s">
        <v>395</v>
      </c>
      <c r="B109" t="s">
        <v>396</v>
      </c>
      <c r="C109" t="s">
        <v>397</v>
      </c>
      <c r="D109" t="s">
        <v>216</v>
      </c>
      <c r="E109" t="str">
        <f>"06488"</f>
        <v>06488</v>
      </c>
      <c r="F109" t="s">
        <v>105</v>
      </c>
      <c r="G109" t="str">
        <f>"000006999"</f>
        <v>000006999</v>
      </c>
      <c r="H109" t="s">
        <v>3</v>
      </c>
      <c r="I109" s="4">
        <v>44197</v>
      </c>
      <c r="J109" s="4">
        <v>44377</v>
      </c>
      <c r="K109" s="3">
        <v>241.04</v>
      </c>
      <c r="L109" s="3">
        <v>243.45</v>
      </c>
      <c r="M109" s="3">
        <v>2.41</v>
      </c>
    </row>
    <row r="110" spans="1:13" x14ac:dyDescent="0.3">
      <c r="A110" t="s">
        <v>251</v>
      </c>
      <c r="B110" t="s">
        <v>398</v>
      </c>
      <c r="C110" t="s">
        <v>399</v>
      </c>
      <c r="D110" t="s">
        <v>216</v>
      </c>
      <c r="E110" t="str">
        <f>"06443"</f>
        <v>06443</v>
      </c>
      <c r="F110" t="s">
        <v>106</v>
      </c>
      <c r="G110" t="str">
        <f>"000021444"</f>
        <v>000021444</v>
      </c>
      <c r="H110" t="s">
        <v>3</v>
      </c>
      <c r="I110" s="4">
        <v>44197</v>
      </c>
      <c r="J110" s="4">
        <v>44377</v>
      </c>
      <c r="K110" s="3">
        <v>252.49</v>
      </c>
      <c r="L110" s="3">
        <v>255.01</v>
      </c>
      <c r="M110" s="3">
        <v>2.52</v>
      </c>
    </row>
    <row r="111" spans="1:13" x14ac:dyDescent="0.3">
      <c r="A111" t="s">
        <v>217</v>
      </c>
      <c r="B111" t="s">
        <v>400</v>
      </c>
      <c r="C111" t="s">
        <v>401</v>
      </c>
      <c r="D111" t="s">
        <v>216</v>
      </c>
      <c r="E111" t="str">
        <f>"06611"</f>
        <v>06611</v>
      </c>
      <c r="F111" t="s">
        <v>107</v>
      </c>
      <c r="G111" t="str">
        <f>"000021428"</f>
        <v>000021428</v>
      </c>
      <c r="H111" t="s">
        <v>3</v>
      </c>
      <c r="I111" s="4">
        <v>44197</v>
      </c>
      <c r="J111" s="4">
        <v>44377</v>
      </c>
      <c r="K111" s="3">
        <v>257.39999999999998</v>
      </c>
      <c r="L111" s="3">
        <v>259.97000000000003</v>
      </c>
      <c r="M111" s="3">
        <v>2.57</v>
      </c>
    </row>
    <row r="112" spans="1:13" x14ac:dyDescent="0.3">
      <c r="B112" t="s">
        <v>402</v>
      </c>
      <c r="C112" t="s">
        <v>321</v>
      </c>
      <c r="D112" t="s">
        <v>216</v>
      </c>
      <c r="E112" t="str">
        <f>"06040"</f>
        <v>06040</v>
      </c>
      <c r="F112" t="s">
        <v>108</v>
      </c>
      <c r="G112" t="str">
        <f>"000008417"</f>
        <v>000008417</v>
      </c>
      <c r="H112" t="s">
        <v>3</v>
      </c>
      <c r="I112" s="4">
        <v>44197</v>
      </c>
      <c r="J112" s="4">
        <v>44377</v>
      </c>
      <c r="K112" s="3">
        <v>220.58</v>
      </c>
      <c r="L112" s="3">
        <v>222.79</v>
      </c>
      <c r="M112" s="3">
        <v>2.21</v>
      </c>
    </row>
    <row r="113" spans="1:13" x14ac:dyDescent="0.3">
      <c r="B113" t="s">
        <v>403</v>
      </c>
      <c r="C113" t="s">
        <v>404</v>
      </c>
      <c r="D113" t="s">
        <v>216</v>
      </c>
      <c r="E113" t="str">
        <f>"06268"</f>
        <v>06268</v>
      </c>
      <c r="F113" t="s">
        <v>109</v>
      </c>
      <c r="G113" t="str">
        <f>"000021329"</f>
        <v>000021329</v>
      </c>
      <c r="H113" t="s">
        <v>3</v>
      </c>
      <c r="I113" s="4">
        <v>44197</v>
      </c>
      <c r="J113" s="4">
        <v>44377</v>
      </c>
      <c r="K113" s="3">
        <v>241.57</v>
      </c>
      <c r="L113" s="3">
        <v>243.99</v>
      </c>
      <c r="M113" s="3">
        <v>2.42</v>
      </c>
    </row>
    <row r="114" spans="1:13" x14ac:dyDescent="0.3">
      <c r="A114" t="s">
        <v>282</v>
      </c>
      <c r="B114" t="s">
        <v>405</v>
      </c>
      <c r="C114" t="s">
        <v>242</v>
      </c>
      <c r="D114" t="s">
        <v>216</v>
      </c>
      <c r="E114" t="str">
        <f>"06067"</f>
        <v>06067</v>
      </c>
      <c r="F114" t="s">
        <v>110</v>
      </c>
      <c r="G114" t="str">
        <f>"000009407"</f>
        <v>000009407</v>
      </c>
      <c r="H114" t="s">
        <v>3</v>
      </c>
      <c r="I114" s="4">
        <v>44197</v>
      </c>
      <c r="J114" s="4">
        <v>44377</v>
      </c>
      <c r="K114" s="3">
        <v>234.5</v>
      </c>
      <c r="L114" s="3">
        <v>236.85</v>
      </c>
      <c r="M114" s="3">
        <v>2.35</v>
      </c>
    </row>
    <row r="115" spans="1:13" x14ac:dyDescent="0.3">
      <c r="A115" t="s">
        <v>282</v>
      </c>
      <c r="B115" t="s">
        <v>406</v>
      </c>
      <c r="C115" t="s">
        <v>407</v>
      </c>
      <c r="D115" t="s">
        <v>216</v>
      </c>
      <c r="E115" t="str">
        <f>"06447"</f>
        <v>06447</v>
      </c>
      <c r="F115" t="s">
        <v>111</v>
      </c>
      <c r="G115" t="str">
        <f>"000021056"</f>
        <v>000021056</v>
      </c>
      <c r="H115" t="s">
        <v>3</v>
      </c>
      <c r="I115" s="4">
        <v>44197</v>
      </c>
      <c r="J115" s="4">
        <v>44377</v>
      </c>
      <c r="K115" s="3">
        <v>233.29</v>
      </c>
      <c r="L115" s="3">
        <v>235.62</v>
      </c>
      <c r="M115" s="3">
        <v>2.33</v>
      </c>
    </row>
    <row r="116" spans="1:13" x14ac:dyDescent="0.3">
      <c r="B116" t="s">
        <v>408</v>
      </c>
      <c r="C116" t="s">
        <v>221</v>
      </c>
      <c r="D116" t="s">
        <v>216</v>
      </c>
      <c r="E116" t="str">
        <f>"06513"</f>
        <v>06513</v>
      </c>
      <c r="F116" t="s">
        <v>112</v>
      </c>
      <c r="G116" t="str">
        <f>"000020511"</f>
        <v>000020511</v>
      </c>
      <c r="H116" t="s">
        <v>3</v>
      </c>
      <c r="I116" s="4">
        <v>44197</v>
      </c>
      <c r="J116" s="4">
        <v>44377</v>
      </c>
      <c r="K116" s="3">
        <v>267.60000000000002</v>
      </c>
      <c r="L116" s="3">
        <v>270.27999999999997</v>
      </c>
      <c r="M116" s="3">
        <v>2.68</v>
      </c>
    </row>
    <row r="117" spans="1:13" x14ac:dyDescent="0.3">
      <c r="A117" t="s">
        <v>409</v>
      </c>
      <c r="B117" t="s">
        <v>410</v>
      </c>
      <c r="C117" t="s">
        <v>411</v>
      </c>
      <c r="D117" t="s">
        <v>216</v>
      </c>
      <c r="E117" t="str">
        <f>"06492"</f>
        <v>06492</v>
      </c>
      <c r="F117" t="s">
        <v>113</v>
      </c>
      <c r="G117" t="str">
        <f>"000001198"</f>
        <v>000001198</v>
      </c>
      <c r="H117" t="s">
        <v>3</v>
      </c>
      <c r="I117" s="4">
        <v>44197</v>
      </c>
      <c r="J117" s="4">
        <v>44377</v>
      </c>
      <c r="K117" s="3">
        <v>251.15</v>
      </c>
      <c r="L117" s="3">
        <v>253.66</v>
      </c>
      <c r="M117" s="3">
        <v>2.5099999999999998</v>
      </c>
    </row>
    <row r="118" spans="1:13" x14ac:dyDescent="0.3">
      <c r="B118" t="s">
        <v>412</v>
      </c>
      <c r="C118" t="s">
        <v>219</v>
      </c>
      <c r="D118" t="s">
        <v>216</v>
      </c>
      <c r="E118" t="str">
        <f>"06710"</f>
        <v>06710</v>
      </c>
      <c r="F118" t="s">
        <v>114</v>
      </c>
      <c r="G118" t="str">
        <f>"000091447"</f>
        <v>000091447</v>
      </c>
      <c r="H118" t="s">
        <v>22</v>
      </c>
      <c r="I118" s="4">
        <v>44197</v>
      </c>
      <c r="J118" s="4">
        <v>44377</v>
      </c>
      <c r="K118" s="3">
        <v>132.33000000000001</v>
      </c>
      <c r="L118" s="3">
        <v>133.65</v>
      </c>
      <c r="M118" s="3">
        <v>1.32</v>
      </c>
    </row>
    <row r="119" spans="1:13" x14ac:dyDescent="0.3">
      <c r="B119" t="s">
        <v>413</v>
      </c>
      <c r="C119" t="s">
        <v>414</v>
      </c>
      <c r="D119" t="s">
        <v>216</v>
      </c>
      <c r="E119" t="str">
        <f>"06260"</f>
        <v>06260</v>
      </c>
      <c r="F119" t="s">
        <v>115</v>
      </c>
      <c r="G119" t="str">
        <f>"000009894"</f>
        <v>000009894</v>
      </c>
      <c r="H119" t="s">
        <v>3</v>
      </c>
      <c r="I119" s="4">
        <v>44197</v>
      </c>
      <c r="J119" s="4">
        <v>44377</v>
      </c>
      <c r="K119" s="3">
        <v>223.51</v>
      </c>
      <c r="L119" s="3">
        <v>225.75</v>
      </c>
      <c r="M119" s="3">
        <v>2.2400000000000002</v>
      </c>
    </row>
    <row r="120" spans="1:13" x14ac:dyDescent="0.3">
      <c r="B120" t="s">
        <v>415</v>
      </c>
      <c r="C120" t="s">
        <v>351</v>
      </c>
      <c r="D120" t="s">
        <v>216</v>
      </c>
      <c r="E120" t="str">
        <f>"06070"</f>
        <v>06070</v>
      </c>
      <c r="F120" t="s">
        <v>116</v>
      </c>
      <c r="G120" t="str">
        <f>"000008847"</f>
        <v>000008847</v>
      </c>
      <c r="H120" t="s">
        <v>3</v>
      </c>
      <c r="I120" s="4">
        <v>44197</v>
      </c>
      <c r="J120" s="4">
        <v>44377</v>
      </c>
      <c r="K120" s="3">
        <v>274.76</v>
      </c>
      <c r="L120" s="3">
        <v>277.51</v>
      </c>
      <c r="M120" s="3">
        <v>2.75</v>
      </c>
    </row>
    <row r="121" spans="1:13" x14ac:dyDescent="0.3">
      <c r="A121" t="s">
        <v>251</v>
      </c>
      <c r="B121" t="s">
        <v>416</v>
      </c>
      <c r="C121" t="s">
        <v>286</v>
      </c>
      <c r="D121" t="s">
        <v>216</v>
      </c>
      <c r="E121" t="str">
        <f>"06450"</f>
        <v>06450</v>
      </c>
      <c r="F121" t="s">
        <v>117</v>
      </c>
      <c r="G121" t="str">
        <f>"000008995"</f>
        <v>000008995</v>
      </c>
      <c r="H121" t="s">
        <v>3</v>
      </c>
      <c r="I121" s="4">
        <v>44197</v>
      </c>
      <c r="J121" s="4">
        <v>44377</v>
      </c>
      <c r="K121" s="3">
        <v>218.49</v>
      </c>
      <c r="L121" s="3">
        <v>220.67</v>
      </c>
      <c r="M121" s="3">
        <v>2.1800000000000002</v>
      </c>
    </row>
    <row r="122" spans="1:13" x14ac:dyDescent="0.3">
      <c r="B122" t="s">
        <v>417</v>
      </c>
      <c r="C122" t="s">
        <v>219</v>
      </c>
      <c r="D122" t="s">
        <v>216</v>
      </c>
      <c r="E122" t="str">
        <f>"06705"</f>
        <v>06705</v>
      </c>
      <c r="F122" t="s">
        <v>118</v>
      </c>
      <c r="G122" t="str">
        <f>"000007781"</f>
        <v>000007781</v>
      </c>
      <c r="H122" t="s">
        <v>3</v>
      </c>
      <c r="I122" s="4">
        <v>44197</v>
      </c>
      <c r="J122" s="4">
        <v>44377</v>
      </c>
      <c r="K122" s="3">
        <v>205.78</v>
      </c>
      <c r="L122" s="3">
        <v>207.84</v>
      </c>
      <c r="M122" s="3">
        <v>2.06</v>
      </c>
    </row>
    <row r="123" spans="1:13" x14ac:dyDescent="0.3">
      <c r="B123" t="s">
        <v>418</v>
      </c>
      <c r="C123" t="s">
        <v>419</v>
      </c>
      <c r="D123" t="s">
        <v>216</v>
      </c>
      <c r="E123" t="str">
        <f>"06762"</f>
        <v>06762</v>
      </c>
      <c r="F123" t="s">
        <v>119</v>
      </c>
      <c r="G123" t="str">
        <f>"000007047"</f>
        <v>000007047</v>
      </c>
      <c r="H123" t="s">
        <v>3</v>
      </c>
      <c r="I123" s="4">
        <v>44197</v>
      </c>
      <c r="J123" s="4">
        <v>44377</v>
      </c>
      <c r="K123" s="3">
        <v>230.44</v>
      </c>
      <c r="L123" s="3">
        <v>232.74</v>
      </c>
      <c r="M123" s="3">
        <v>2.2999999999999998</v>
      </c>
    </row>
    <row r="124" spans="1:13" x14ac:dyDescent="0.3">
      <c r="A124" t="s">
        <v>217</v>
      </c>
      <c r="B124" t="s">
        <v>420</v>
      </c>
      <c r="C124" t="s">
        <v>238</v>
      </c>
      <c r="D124" t="s">
        <v>216</v>
      </c>
      <c r="E124" t="str">
        <f>"06457"</f>
        <v>06457</v>
      </c>
      <c r="F124" t="s">
        <v>120</v>
      </c>
      <c r="G124" t="str">
        <f>"000009472"</f>
        <v>000009472</v>
      </c>
      <c r="H124" t="s">
        <v>3</v>
      </c>
      <c r="I124" s="4">
        <v>44197</v>
      </c>
      <c r="J124" s="4">
        <v>44377</v>
      </c>
      <c r="K124" s="3">
        <v>224.55</v>
      </c>
      <c r="L124" s="3">
        <v>226.8</v>
      </c>
      <c r="M124" s="3">
        <v>2.25</v>
      </c>
    </row>
    <row r="125" spans="1:13" x14ac:dyDescent="0.3">
      <c r="A125" t="s">
        <v>282</v>
      </c>
      <c r="B125" t="s">
        <v>421</v>
      </c>
      <c r="C125" t="s">
        <v>350</v>
      </c>
      <c r="D125" t="s">
        <v>216</v>
      </c>
      <c r="E125" t="str">
        <f>"06460"</f>
        <v>06460</v>
      </c>
      <c r="F125" t="s">
        <v>121</v>
      </c>
      <c r="G125" t="str">
        <f>"000010561"</f>
        <v>000010561</v>
      </c>
      <c r="H125" t="s">
        <v>3</v>
      </c>
      <c r="I125" s="4">
        <v>44197</v>
      </c>
      <c r="J125" s="4">
        <v>44377</v>
      </c>
      <c r="K125" s="3">
        <v>261.05</v>
      </c>
      <c r="L125" s="3">
        <v>263.66000000000003</v>
      </c>
      <c r="M125" s="3">
        <v>2.61</v>
      </c>
    </row>
    <row r="126" spans="1:13" x14ac:dyDescent="0.3">
      <c r="B126" t="s">
        <v>422</v>
      </c>
      <c r="C126" t="s">
        <v>286</v>
      </c>
      <c r="D126" t="s">
        <v>216</v>
      </c>
      <c r="E126" t="str">
        <f>"06450"</f>
        <v>06450</v>
      </c>
      <c r="F126" t="s">
        <v>122</v>
      </c>
      <c r="G126" t="str">
        <f>"000009928"</f>
        <v>000009928</v>
      </c>
      <c r="H126" t="s">
        <v>3</v>
      </c>
      <c r="I126" s="4">
        <v>44197</v>
      </c>
      <c r="J126" s="4">
        <v>44377</v>
      </c>
      <c r="K126" s="3">
        <v>256.64999999999998</v>
      </c>
      <c r="L126" s="3">
        <v>259.22000000000003</v>
      </c>
      <c r="M126" s="3">
        <v>2.57</v>
      </c>
    </row>
    <row r="127" spans="1:13" x14ac:dyDescent="0.3">
      <c r="B127" t="s">
        <v>423</v>
      </c>
      <c r="C127" t="s">
        <v>260</v>
      </c>
      <c r="D127" t="s">
        <v>216</v>
      </c>
      <c r="E127" t="str">
        <f>"06053"</f>
        <v>06053</v>
      </c>
      <c r="F127" t="s">
        <v>123</v>
      </c>
      <c r="G127" t="str">
        <f>"000009332"</f>
        <v>000009332</v>
      </c>
      <c r="H127" t="s">
        <v>3</v>
      </c>
      <c r="I127" s="4">
        <v>44197</v>
      </c>
      <c r="J127" s="4">
        <v>44377</v>
      </c>
      <c r="K127" s="3">
        <v>257.11</v>
      </c>
      <c r="L127" s="3">
        <v>259.68</v>
      </c>
      <c r="M127" s="3">
        <v>2.57</v>
      </c>
    </row>
    <row r="128" spans="1:13" x14ac:dyDescent="0.3">
      <c r="A128" t="s">
        <v>217</v>
      </c>
      <c r="B128" t="s">
        <v>424</v>
      </c>
      <c r="C128" t="s">
        <v>425</v>
      </c>
      <c r="D128" t="s">
        <v>216</v>
      </c>
      <c r="E128" t="str">
        <f>"06473"</f>
        <v>06473</v>
      </c>
      <c r="F128" t="s">
        <v>124</v>
      </c>
      <c r="G128" t="str">
        <f>"000010157"</f>
        <v>000010157</v>
      </c>
      <c r="H128" t="s">
        <v>3</v>
      </c>
      <c r="I128" s="4">
        <v>44197</v>
      </c>
      <c r="J128" s="4">
        <v>44377</v>
      </c>
      <c r="K128" s="3">
        <v>254</v>
      </c>
      <c r="L128" s="3">
        <v>256.54000000000002</v>
      </c>
      <c r="M128" s="3">
        <v>2.54</v>
      </c>
    </row>
    <row r="129" spans="1:13" x14ac:dyDescent="0.3">
      <c r="A129" t="s">
        <v>213</v>
      </c>
      <c r="B129" t="s">
        <v>426</v>
      </c>
      <c r="C129" t="s">
        <v>240</v>
      </c>
      <c r="D129" t="s">
        <v>216</v>
      </c>
      <c r="E129" t="str">
        <f>"06355"</f>
        <v>06355</v>
      </c>
      <c r="F129" t="s">
        <v>125</v>
      </c>
      <c r="G129" t="str">
        <f>"000008391"</f>
        <v>000008391</v>
      </c>
      <c r="H129" t="s">
        <v>3</v>
      </c>
      <c r="I129" s="4">
        <v>44197</v>
      </c>
      <c r="J129" s="4">
        <v>44377</v>
      </c>
      <c r="K129" s="3">
        <v>233.19</v>
      </c>
      <c r="L129" s="3">
        <v>235.52</v>
      </c>
      <c r="M129" s="3">
        <v>2.33</v>
      </c>
    </row>
    <row r="130" spans="1:13" x14ac:dyDescent="0.3">
      <c r="A130" t="s">
        <v>427</v>
      </c>
      <c r="B130" t="s">
        <v>428</v>
      </c>
      <c r="C130" t="s">
        <v>356</v>
      </c>
      <c r="D130" t="s">
        <v>216</v>
      </c>
      <c r="E130" t="str">
        <f>"06830"</f>
        <v>06830</v>
      </c>
      <c r="F130" t="s">
        <v>126</v>
      </c>
      <c r="G130" t="str">
        <f>"000005645"</f>
        <v>000005645</v>
      </c>
      <c r="H130" t="s">
        <v>3</v>
      </c>
      <c r="I130" s="4">
        <v>44197</v>
      </c>
      <c r="J130" s="4">
        <v>44377</v>
      </c>
      <c r="K130" s="3">
        <v>289.76</v>
      </c>
      <c r="L130" s="3">
        <v>292.66000000000003</v>
      </c>
      <c r="M130" s="3">
        <v>2.9</v>
      </c>
    </row>
    <row r="131" spans="1:13" x14ac:dyDescent="0.3">
      <c r="B131" t="s">
        <v>429</v>
      </c>
      <c r="C131" t="s">
        <v>268</v>
      </c>
      <c r="D131" t="s">
        <v>216</v>
      </c>
      <c r="E131" t="str">
        <f>"06385"</f>
        <v>06385</v>
      </c>
      <c r="F131" t="s">
        <v>127</v>
      </c>
      <c r="G131" t="str">
        <f>"000010488"</f>
        <v>000010488</v>
      </c>
      <c r="H131" t="s">
        <v>3</v>
      </c>
      <c r="I131" s="4">
        <v>44197</v>
      </c>
      <c r="J131" s="4">
        <v>44377</v>
      </c>
      <c r="K131" s="3">
        <v>203.34</v>
      </c>
      <c r="L131" s="3">
        <v>205.37</v>
      </c>
      <c r="M131" s="3">
        <v>2.0299999999999998</v>
      </c>
    </row>
    <row r="132" spans="1:13" x14ac:dyDescent="0.3">
      <c r="A132" t="s">
        <v>354</v>
      </c>
      <c r="B132" t="s">
        <v>430</v>
      </c>
      <c r="C132" t="s">
        <v>431</v>
      </c>
      <c r="D132" t="s">
        <v>216</v>
      </c>
      <c r="E132" t="str">
        <f>"06776"</f>
        <v>06776</v>
      </c>
      <c r="F132" t="s">
        <v>128</v>
      </c>
      <c r="G132" t="str">
        <f>"000009266"</f>
        <v>000009266</v>
      </c>
      <c r="H132" t="s">
        <v>3</v>
      </c>
      <c r="I132" s="4">
        <v>44197</v>
      </c>
      <c r="J132" s="4">
        <v>44377</v>
      </c>
      <c r="K132" s="3">
        <v>236.66</v>
      </c>
      <c r="L132" s="3">
        <v>239.03</v>
      </c>
      <c r="M132" s="3">
        <v>2.37</v>
      </c>
    </row>
    <row r="133" spans="1:13" x14ac:dyDescent="0.3">
      <c r="A133" t="s">
        <v>304</v>
      </c>
      <c r="B133" t="s">
        <v>432</v>
      </c>
      <c r="C133" t="s">
        <v>274</v>
      </c>
      <c r="D133" t="s">
        <v>216</v>
      </c>
      <c r="E133" t="str">
        <f>"06111"</f>
        <v>06111</v>
      </c>
      <c r="F133" t="s">
        <v>129</v>
      </c>
      <c r="G133" t="str">
        <f>"000010397"</f>
        <v>000010397</v>
      </c>
      <c r="H133" t="s">
        <v>3</v>
      </c>
      <c r="I133" s="4">
        <v>44197</v>
      </c>
      <c r="J133" s="4">
        <v>44377</v>
      </c>
      <c r="K133" s="3">
        <v>255.82</v>
      </c>
      <c r="L133" s="3">
        <v>258.38</v>
      </c>
      <c r="M133" s="3">
        <v>2.56</v>
      </c>
    </row>
    <row r="134" spans="1:13" x14ac:dyDescent="0.3">
      <c r="A134" t="s">
        <v>217</v>
      </c>
      <c r="B134" t="s">
        <v>433</v>
      </c>
      <c r="C134" t="s">
        <v>434</v>
      </c>
      <c r="D134" t="s">
        <v>216</v>
      </c>
      <c r="E134" t="str">
        <f>"06470"</f>
        <v>06470</v>
      </c>
      <c r="F134" t="s">
        <v>130</v>
      </c>
      <c r="G134" t="str">
        <f>"000010207"</f>
        <v>000010207</v>
      </c>
      <c r="H134" t="s">
        <v>3</v>
      </c>
      <c r="I134" s="4">
        <v>44197</v>
      </c>
      <c r="J134" s="4">
        <v>44377</v>
      </c>
      <c r="K134" s="3">
        <v>262.14999999999998</v>
      </c>
      <c r="L134" s="3">
        <v>264.77</v>
      </c>
      <c r="M134" s="3">
        <v>2.62</v>
      </c>
    </row>
    <row r="135" spans="1:13" x14ac:dyDescent="0.3">
      <c r="A135" t="s">
        <v>263</v>
      </c>
      <c r="B135" t="s">
        <v>435</v>
      </c>
      <c r="C135" t="s">
        <v>436</v>
      </c>
      <c r="D135" t="s">
        <v>216</v>
      </c>
      <c r="E135" t="str">
        <f>"06068"</f>
        <v>06068</v>
      </c>
      <c r="F135" t="s">
        <v>131</v>
      </c>
      <c r="G135" t="str">
        <f>"000009365"</f>
        <v>000009365</v>
      </c>
      <c r="H135" t="s">
        <v>3</v>
      </c>
      <c r="I135" s="4">
        <v>44197</v>
      </c>
      <c r="J135" s="4">
        <v>44377</v>
      </c>
      <c r="K135" s="3">
        <v>263.93</v>
      </c>
      <c r="L135" s="3">
        <v>266.57</v>
      </c>
      <c r="M135" s="3">
        <v>2.64</v>
      </c>
    </row>
    <row r="136" spans="1:13" x14ac:dyDescent="0.3">
      <c r="A136" t="s">
        <v>263</v>
      </c>
      <c r="B136" t="s">
        <v>435</v>
      </c>
      <c r="C136" t="s">
        <v>436</v>
      </c>
      <c r="D136" t="s">
        <v>216</v>
      </c>
      <c r="E136" t="str">
        <f>"06068"</f>
        <v>06068</v>
      </c>
      <c r="F136" t="s">
        <v>131</v>
      </c>
      <c r="G136" t="str">
        <f>"000091777"</f>
        <v>000091777</v>
      </c>
      <c r="H136" t="s">
        <v>22</v>
      </c>
      <c r="I136" s="4">
        <v>44197</v>
      </c>
      <c r="J136" s="4">
        <v>44377</v>
      </c>
      <c r="K136" s="3">
        <v>228.92</v>
      </c>
      <c r="L136" s="3">
        <v>231.21</v>
      </c>
      <c r="M136" s="3">
        <v>2.29</v>
      </c>
    </row>
    <row r="137" spans="1:13" x14ac:dyDescent="0.3">
      <c r="A137" t="s">
        <v>217</v>
      </c>
      <c r="B137" t="s">
        <v>437</v>
      </c>
      <c r="C137" t="s">
        <v>379</v>
      </c>
      <c r="D137" t="s">
        <v>216</v>
      </c>
      <c r="E137" t="str">
        <f>"06606"</f>
        <v>06606</v>
      </c>
      <c r="F137" t="s">
        <v>132</v>
      </c>
      <c r="G137" t="str">
        <f>"000010835"</f>
        <v>000010835</v>
      </c>
      <c r="H137" t="s">
        <v>3</v>
      </c>
      <c r="I137" s="4">
        <v>44197</v>
      </c>
      <c r="J137" s="4">
        <v>44377</v>
      </c>
      <c r="K137" s="3">
        <v>268.20999999999998</v>
      </c>
      <c r="L137" s="3">
        <v>270.89</v>
      </c>
      <c r="M137" s="3">
        <v>2.68</v>
      </c>
    </row>
    <row r="138" spans="1:13" x14ac:dyDescent="0.3">
      <c r="B138" t="s">
        <v>438</v>
      </c>
      <c r="C138" t="s">
        <v>439</v>
      </c>
      <c r="D138" t="s">
        <v>216</v>
      </c>
      <c r="E138" t="str">
        <f>"06360"</f>
        <v>06360</v>
      </c>
      <c r="F138" t="s">
        <v>133</v>
      </c>
      <c r="G138" t="str">
        <f>"000008599"</f>
        <v>000008599</v>
      </c>
      <c r="H138" t="s">
        <v>3</v>
      </c>
      <c r="I138" s="4">
        <v>44197</v>
      </c>
      <c r="J138" s="4">
        <v>44377</v>
      </c>
      <c r="K138" s="3">
        <v>185.18</v>
      </c>
      <c r="L138" s="3">
        <v>187.03</v>
      </c>
      <c r="M138" s="3">
        <v>1.85</v>
      </c>
    </row>
    <row r="139" spans="1:13" x14ac:dyDescent="0.3">
      <c r="B139" t="s">
        <v>440</v>
      </c>
      <c r="C139" t="s">
        <v>262</v>
      </c>
      <c r="D139" t="s">
        <v>216</v>
      </c>
      <c r="E139" t="str">
        <f>"06851"</f>
        <v>06851</v>
      </c>
      <c r="F139" t="s">
        <v>134</v>
      </c>
      <c r="G139" t="str">
        <f>"000002865"</f>
        <v>000002865</v>
      </c>
      <c r="H139" t="s">
        <v>3</v>
      </c>
      <c r="I139" s="4">
        <v>44197</v>
      </c>
      <c r="J139" s="4">
        <v>44377</v>
      </c>
      <c r="K139" s="3">
        <v>241.93</v>
      </c>
      <c r="L139" s="3">
        <v>244.35</v>
      </c>
      <c r="M139" s="3">
        <v>2.42</v>
      </c>
    </row>
    <row r="140" spans="1:13" x14ac:dyDescent="0.3">
      <c r="B140" t="s">
        <v>441</v>
      </c>
      <c r="C140" t="s">
        <v>442</v>
      </c>
      <c r="D140" t="s">
        <v>216</v>
      </c>
      <c r="E140" t="str">
        <f>"06477"</f>
        <v>06477</v>
      </c>
      <c r="F140" t="s">
        <v>135</v>
      </c>
      <c r="G140" t="str">
        <f>"000004978"</f>
        <v>000004978</v>
      </c>
      <c r="H140" t="s">
        <v>3</v>
      </c>
      <c r="I140" s="4">
        <v>44197</v>
      </c>
      <c r="J140" s="4">
        <v>44377</v>
      </c>
      <c r="K140" s="3">
        <v>234.04</v>
      </c>
      <c r="L140" s="3">
        <v>236.38</v>
      </c>
      <c r="M140" s="3">
        <v>2.34</v>
      </c>
    </row>
    <row r="141" spans="1:13" x14ac:dyDescent="0.3">
      <c r="A141" t="s">
        <v>299</v>
      </c>
      <c r="B141" t="s">
        <v>443</v>
      </c>
      <c r="C141" t="s">
        <v>265</v>
      </c>
      <c r="D141" t="s">
        <v>216</v>
      </c>
      <c r="E141" t="str">
        <f>"06106"</f>
        <v>06106</v>
      </c>
      <c r="F141" t="s">
        <v>136</v>
      </c>
      <c r="G141" t="str">
        <f>"000020081"</f>
        <v>000020081</v>
      </c>
      <c r="H141" t="s">
        <v>3</v>
      </c>
      <c r="I141" s="4">
        <v>44197</v>
      </c>
      <c r="J141" s="4">
        <v>44377</v>
      </c>
      <c r="K141" s="3">
        <v>255.24</v>
      </c>
      <c r="L141" s="3">
        <v>257.79000000000002</v>
      </c>
      <c r="M141" s="3">
        <v>2.5499999999999998</v>
      </c>
    </row>
    <row r="142" spans="1:13" x14ac:dyDescent="0.3">
      <c r="A142" t="s">
        <v>289</v>
      </c>
      <c r="B142" t="s">
        <v>444</v>
      </c>
      <c r="C142" t="s">
        <v>240</v>
      </c>
      <c r="D142" t="s">
        <v>216</v>
      </c>
      <c r="E142" t="str">
        <f>"06355"</f>
        <v>06355</v>
      </c>
      <c r="F142" t="s">
        <v>137</v>
      </c>
      <c r="G142" t="str">
        <f>"000020694"</f>
        <v>000020694</v>
      </c>
      <c r="H142" t="s">
        <v>3</v>
      </c>
      <c r="I142" s="4">
        <v>44197</v>
      </c>
      <c r="J142" s="4">
        <v>44377</v>
      </c>
      <c r="K142" s="3">
        <v>256.10000000000002</v>
      </c>
      <c r="L142" s="3">
        <v>258.66000000000003</v>
      </c>
      <c r="M142" s="3">
        <v>2.56</v>
      </c>
    </row>
    <row r="143" spans="1:13" x14ac:dyDescent="0.3">
      <c r="B143" t="s">
        <v>445</v>
      </c>
      <c r="C143" t="s">
        <v>446</v>
      </c>
      <c r="D143" t="s">
        <v>216</v>
      </c>
      <c r="E143" t="str">
        <f>"06234"</f>
        <v>06234</v>
      </c>
      <c r="F143" t="s">
        <v>138</v>
      </c>
      <c r="G143" t="str">
        <f>"000006007"</f>
        <v>000006007</v>
      </c>
      <c r="H143" t="s">
        <v>3</v>
      </c>
      <c r="I143" s="4">
        <v>44197</v>
      </c>
      <c r="J143" s="4">
        <v>44377</v>
      </c>
      <c r="K143" s="3">
        <v>254.87</v>
      </c>
      <c r="L143" s="3">
        <v>257.42</v>
      </c>
      <c r="M143" s="3">
        <v>2.5499999999999998</v>
      </c>
    </row>
    <row r="144" spans="1:13" x14ac:dyDescent="0.3">
      <c r="A144" t="s">
        <v>447</v>
      </c>
      <c r="B144" t="s">
        <v>448</v>
      </c>
      <c r="C144" t="s">
        <v>230</v>
      </c>
      <c r="D144" t="s">
        <v>216</v>
      </c>
      <c r="E144" t="str">
        <f>"06416"</f>
        <v>06416</v>
      </c>
      <c r="F144" t="s">
        <v>139</v>
      </c>
      <c r="G144" t="str">
        <f>"000007260"</f>
        <v>000007260</v>
      </c>
      <c r="H144" t="s">
        <v>3</v>
      </c>
      <c r="I144" s="4">
        <v>44197</v>
      </c>
      <c r="J144" s="4">
        <v>44377</v>
      </c>
      <c r="K144" s="3">
        <v>233.35</v>
      </c>
      <c r="L144" s="3">
        <v>235.68</v>
      </c>
      <c r="M144" s="3">
        <v>2.33</v>
      </c>
    </row>
    <row r="145" spans="1:13" x14ac:dyDescent="0.3">
      <c r="B145" t="s">
        <v>449</v>
      </c>
      <c r="C145" t="s">
        <v>450</v>
      </c>
      <c r="D145" t="s">
        <v>216</v>
      </c>
      <c r="E145" t="str">
        <f>"06480"</f>
        <v>06480</v>
      </c>
      <c r="F145" t="s">
        <v>140</v>
      </c>
      <c r="G145" t="str">
        <f>"000008714"</f>
        <v>000008714</v>
      </c>
      <c r="H145" t="s">
        <v>3</v>
      </c>
      <c r="I145" s="4">
        <v>44197</v>
      </c>
      <c r="J145" s="4">
        <v>44377</v>
      </c>
      <c r="K145" s="3">
        <v>235.3</v>
      </c>
      <c r="L145" s="3">
        <v>237.65</v>
      </c>
      <c r="M145" s="3">
        <v>2.35</v>
      </c>
    </row>
    <row r="146" spans="1:13" x14ac:dyDescent="0.3">
      <c r="A146" t="s">
        <v>251</v>
      </c>
      <c r="B146" t="s">
        <v>451</v>
      </c>
      <c r="C146" t="s">
        <v>411</v>
      </c>
      <c r="D146" t="s">
        <v>216</v>
      </c>
      <c r="E146" t="str">
        <f>"06492"</f>
        <v>06492</v>
      </c>
      <c r="F146" t="s">
        <v>141</v>
      </c>
      <c r="G146" t="str">
        <f>"000020149"</f>
        <v>000020149</v>
      </c>
      <c r="H146" t="s">
        <v>3</v>
      </c>
      <c r="I146" s="4">
        <v>44197</v>
      </c>
      <c r="J146" s="4">
        <v>44377</v>
      </c>
      <c r="K146" s="3">
        <v>213.08</v>
      </c>
      <c r="L146" s="3">
        <v>215.21</v>
      </c>
      <c r="M146" s="3">
        <v>2.13</v>
      </c>
    </row>
    <row r="147" spans="1:13" x14ac:dyDescent="0.3">
      <c r="A147" t="s">
        <v>452</v>
      </c>
      <c r="B147" t="s">
        <v>453</v>
      </c>
      <c r="C147" t="s">
        <v>221</v>
      </c>
      <c r="D147" t="s">
        <v>216</v>
      </c>
      <c r="E147" t="str">
        <f>"06513"</f>
        <v>06513</v>
      </c>
      <c r="F147" t="s">
        <v>142</v>
      </c>
      <c r="G147" t="str">
        <f>"000008177"</f>
        <v>000008177</v>
      </c>
      <c r="H147" t="s">
        <v>3</v>
      </c>
      <c r="I147" s="4">
        <v>44197</v>
      </c>
      <c r="J147" s="4">
        <v>44377</v>
      </c>
      <c r="K147" s="3">
        <v>262.29000000000002</v>
      </c>
      <c r="L147" s="3">
        <v>264.91000000000003</v>
      </c>
      <c r="M147" s="3">
        <v>2.62</v>
      </c>
    </row>
    <row r="148" spans="1:13" x14ac:dyDescent="0.3">
      <c r="A148" t="s">
        <v>452</v>
      </c>
      <c r="B148" t="s">
        <v>454</v>
      </c>
      <c r="C148" t="s">
        <v>388</v>
      </c>
      <c r="D148" t="s">
        <v>216</v>
      </c>
      <c r="E148" t="str">
        <f>"06790"</f>
        <v>06790</v>
      </c>
      <c r="F148" t="s">
        <v>143</v>
      </c>
      <c r="G148" t="str">
        <f>"000009621"</f>
        <v>000009621</v>
      </c>
      <c r="H148" t="s">
        <v>3</v>
      </c>
      <c r="I148" s="4">
        <v>44197</v>
      </c>
      <c r="J148" s="4">
        <v>44377</v>
      </c>
      <c r="K148" s="3">
        <v>254.7</v>
      </c>
      <c r="L148" s="3">
        <v>257.25</v>
      </c>
      <c r="M148" s="3">
        <v>2.5499999999999998</v>
      </c>
    </row>
    <row r="149" spans="1:13" x14ac:dyDescent="0.3">
      <c r="A149" t="s">
        <v>452</v>
      </c>
      <c r="B149" t="s">
        <v>455</v>
      </c>
      <c r="C149" t="s">
        <v>219</v>
      </c>
      <c r="D149" t="s">
        <v>216</v>
      </c>
      <c r="E149" t="str">
        <f>"06708"</f>
        <v>06708</v>
      </c>
      <c r="F149" t="s">
        <v>144</v>
      </c>
      <c r="G149" t="str">
        <f>"000009001"</f>
        <v>000009001</v>
      </c>
      <c r="H149" t="s">
        <v>3</v>
      </c>
      <c r="I149" s="4">
        <v>44197</v>
      </c>
      <c r="J149" s="4">
        <v>44377</v>
      </c>
      <c r="K149" s="3">
        <v>269.57</v>
      </c>
      <c r="L149" s="3">
        <v>272.27</v>
      </c>
      <c r="M149" s="3">
        <v>2.7</v>
      </c>
    </row>
    <row r="150" spans="1:13" x14ac:dyDescent="0.3">
      <c r="A150" t="s">
        <v>452</v>
      </c>
      <c r="B150" t="s">
        <v>456</v>
      </c>
      <c r="C150" t="s">
        <v>248</v>
      </c>
      <c r="D150" t="s">
        <v>216</v>
      </c>
      <c r="E150" t="str">
        <f>"06516"</f>
        <v>06516</v>
      </c>
      <c r="F150" t="s">
        <v>145</v>
      </c>
      <c r="G150" t="str">
        <f>"000010926"</f>
        <v>000010926</v>
      </c>
      <c r="H150" t="s">
        <v>3</v>
      </c>
      <c r="I150" s="4">
        <v>44197</v>
      </c>
      <c r="J150" s="4">
        <v>44377</v>
      </c>
      <c r="K150" s="3">
        <v>256.26</v>
      </c>
      <c r="L150" s="3">
        <v>258.82</v>
      </c>
      <c r="M150" s="3">
        <v>2.56</v>
      </c>
    </row>
    <row r="151" spans="1:13" x14ac:dyDescent="0.3">
      <c r="A151" t="s">
        <v>452</v>
      </c>
      <c r="B151" t="s">
        <v>457</v>
      </c>
      <c r="C151" t="s">
        <v>356</v>
      </c>
      <c r="D151" t="s">
        <v>216</v>
      </c>
      <c r="E151" t="str">
        <f>"06831"</f>
        <v>06831</v>
      </c>
      <c r="F151" t="s">
        <v>146</v>
      </c>
      <c r="G151" t="str">
        <f>"000007609"</f>
        <v>000007609</v>
      </c>
      <c r="H151" t="s">
        <v>3</v>
      </c>
      <c r="I151" s="4">
        <v>44197</v>
      </c>
      <c r="J151" s="4">
        <v>44377</v>
      </c>
      <c r="K151" s="3">
        <v>251.53</v>
      </c>
      <c r="L151" s="3">
        <v>254.05</v>
      </c>
      <c r="M151" s="3">
        <v>2.52</v>
      </c>
    </row>
    <row r="152" spans="1:13" x14ac:dyDescent="0.3">
      <c r="A152" t="s">
        <v>452</v>
      </c>
      <c r="B152" t="s">
        <v>458</v>
      </c>
      <c r="C152" t="s">
        <v>459</v>
      </c>
      <c r="D152" t="s">
        <v>216</v>
      </c>
      <c r="E152" t="str">
        <f>"06890"</f>
        <v>06890</v>
      </c>
      <c r="F152" t="s">
        <v>147</v>
      </c>
      <c r="G152" t="str">
        <f>"000008508"</f>
        <v>000008508</v>
      </c>
      <c r="H152" t="s">
        <v>3</v>
      </c>
      <c r="I152" s="4">
        <v>44197</v>
      </c>
      <c r="J152" s="4">
        <v>44377</v>
      </c>
      <c r="K152" s="3">
        <v>262.48</v>
      </c>
      <c r="L152" s="3">
        <v>265.10000000000002</v>
      </c>
      <c r="M152" s="3">
        <v>2.62</v>
      </c>
    </row>
    <row r="153" spans="1:13" x14ac:dyDescent="0.3">
      <c r="A153" t="s">
        <v>282</v>
      </c>
      <c r="B153" t="s">
        <v>460</v>
      </c>
      <c r="C153" t="s">
        <v>411</v>
      </c>
      <c r="D153" t="s">
        <v>216</v>
      </c>
      <c r="E153" t="str">
        <f>"06492"</f>
        <v>06492</v>
      </c>
      <c r="F153" t="s">
        <v>148</v>
      </c>
      <c r="G153" t="str">
        <f>"000009084"</f>
        <v>000009084</v>
      </c>
      <c r="H153" t="s">
        <v>3</v>
      </c>
      <c r="I153" s="4">
        <v>44197</v>
      </c>
      <c r="J153" s="4">
        <v>44377</v>
      </c>
      <c r="K153" s="3">
        <v>266.83999999999997</v>
      </c>
      <c r="L153" s="3">
        <v>269.51</v>
      </c>
      <c r="M153" s="3">
        <v>2.67</v>
      </c>
    </row>
    <row r="154" spans="1:13" x14ac:dyDescent="0.3">
      <c r="A154" t="s">
        <v>461</v>
      </c>
      <c r="B154" t="s">
        <v>462</v>
      </c>
      <c r="C154" t="s">
        <v>397</v>
      </c>
      <c r="D154" t="s">
        <v>216</v>
      </c>
      <c r="E154" t="str">
        <f>"06488"</f>
        <v>06488</v>
      </c>
      <c r="F154" t="s">
        <v>149</v>
      </c>
      <c r="G154" t="str">
        <f>"000009431"</f>
        <v>000009431</v>
      </c>
      <c r="H154" t="s">
        <v>3</v>
      </c>
      <c r="I154" s="4">
        <v>44197</v>
      </c>
      <c r="J154" s="4">
        <v>44377</v>
      </c>
      <c r="K154" s="3">
        <v>226.85</v>
      </c>
      <c r="L154" s="3">
        <v>229.12</v>
      </c>
      <c r="M154" s="3">
        <v>2.27</v>
      </c>
    </row>
    <row r="155" spans="1:13" x14ac:dyDescent="0.3">
      <c r="A155" t="s">
        <v>282</v>
      </c>
      <c r="B155" t="s">
        <v>463</v>
      </c>
      <c r="C155" t="s">
        <v>464</v>
      </c>
      <c r="D155" t="s">
        <v>216</v>
      </c>
      <c r="E155" t="str">
        <f>"06108"</f>
        <v>06108</v>
      </c>
      <c r="F155" t="s">
        <v>150</v>
      </c>
      <c r="G155" t="str">
        <f>"000010009"</f>
        <v>000010009</v>
      </c>
      <c r="H155" t="s">
        <v>3</v>
      </c>
      <c r="I155" s="4">
        <v>44197</v>
      </c>
      <c r="J155" s="4">
        <v>44377</v>
      </c>
      <c r="K155" s="3">
        <v>256.81</v>
      </c>
      <c r="L155" s="3">
        <v>259.38</v>
      </c>
      <c r="M155" s="3">
        <v>2.57</v>
      </c>
    </row>
    <row r="156" spans="1:13" x14ac:dyDescent="0.3">
      <c r="A156" t="s">
        <v>251</v>
      </c>
      <c r="B156" t="s">
        <v>465</v>
      </c>
      <c r="C156" t="s">
        <v>332</v>
      </c>
      <c r="D156" t="s">
        <v>216</v>
      </c>
      <c r="E156" t="str">
        <f>"06810"</f>
        <v>06810</v>
      </c>
      <c r="F156" t="s">
        <v>151</v>
      </c>
      <c r="G156" t="str">
        <f>"000010678"</f>
        <v>000010678</v>
      </c>
      <c r="H156" t="s">
        <v>3</v>
      </c>
      <c r="I156" s="4">
        <v>44197</v>
      </c>
      <c r="J156" s="4">
        <v>44377</v>
      </c>
      <c r="K156" s="3">
        <v>254.53</v>
      </c>
      <c r="L156" s="3">
        <v>257.08</v>
      </c>
      <c r="M156" s="3">
        <v>2.5499999999999998</v>
      </c>
    </row>
    <row r="157" spans="1:13" x14ac:dyDescent="0.3">
      <c r="B157" t="s">
        <v>466</v>
      </c>
      <c r="C157" t="s">
        <v>324</v>
      </c>
      <c r="D157" t="s">
        <v>216</v>
      </c>
      <c r="E157" t="str">
        <f>"06280"</f>
        <v>06280</v>
      </c>
      <c r="F157" t="s">
        <v>152</v>
      </c>
      <c r="G157" t="str">
        <f>"000020397"</f>
        <v>000020397</v>
      </c>
      <c r="H157" t="s">
        <v>3</v>
      </c>
      <c r="I157" s="4">
        <v>44197</v>
      </c>
      <c r="J157" s="4">
        <v>44377</v>
      </c>
      <c r="K157" s="3">
        <v>229.95</v>
      </c>
      <c r="L157" s="3">
        <v>232.25</v>
      </c>
      <c r="M157" s="3">
        <v>2.2999999999999998</v>
      </c>
    </row>
    <row r="158" spans="1:13" x14ac:dyDescent="0.3">
      <c r="B158" t="s">
        <v>467</v>
      </c>
      <c r="C158" t="s">
        <v>468</v>
      </c>
      <c r="D158" t="s">
        <v>216</v>
      </c>
      <c r="E158" t="str">
        <f>"06082"</f>
        <v>06082</v>
      </c>
      <c r="F158" t="s">
        <v>153</v>
      </c>
      <c r="G158" t="str">
        <f>"000009019"</f>
        <v>000009019</v>
      </c>
      <c r="H158" t="s">
        <v>3</v>
      </c>
      <c r="I158" s="4">
        <v>44197</v>
      </c>
      <c r="J158" s="4">
        <v>44377</v>
      </c>
      <c r="K158" s="3">
        <v>254.32</v>
      </c>
      <c r="L158" s="3">
        <v>256.86</v>
      </c>
      <c r="M158" s="3">
        <v>2.54</v>
      </c>
    </row>
    <row r="159" spans="1:13" x14ac:dyDescent="0.3">
      <c r="A159" t="s">
        <v>251</v>
      </c>
      <c r="B159" t="s">
        <v>469</v>
      </c>
      <c r="C159" t="s">
        <v>346</v>
      </c>
      <c r="D159" t="s">
        <v>216</v>
      </c>
      <c r="E159" t="str">
        <f>"06033"</f>
        <v>06033</v>
      </c>
      <c r="F159" t="s">
        <v>154</v>
      </c>
      <c r="G159" t="str">
        <f>"000020412"</f>
        <v>000020412</v>
      </c>
      <c r="H159" t="s">
        <v>3</v>
      </c>
      <c r="I159" s="4">
        <v>44197</v>
      </c>
      <c r="J159" s="4">
        <v>44377</v>
      </c>
      <c r="K159" s="3">
        <v>237.76</v>
      </c>
      <c r="L159" s="3">
        <v>240.14</v>
      </c>
      <c r="M159" s="3">
        <v>2.38</v>
      </c>
    </row>
    <row r="160" spans="1:13" x14ac:dyDescent="0.3">
      <c r="A160" t="s">
        <v>224</v>
      </c>
      <c r="B160" t="s">
        <v>470</v>
      </c>
      <c r="C160" t="s">
        <v>344</v>
      </c>
      <c r="D160" t="s">
        <v>216</v>
      </c>
      <c r="E160" t="str">
        <f>"06475"</f>
        <v>06475</v>
      </c>
      <c r="F160" t="s">
        <v>155</v>
      </c>
      <c r="G160" t="str">
        <f>"000007252"</f>
        <v>000007252</v>
      </c>
      <c r="H160" t="s">
        <v>3</v>
      </c>
      <c r="I160" s="4">
        <v>44197</v>
      </c>
      <c r="J160" s="4">
        <v>44377</v>
      </c>
      <c r="K160" s="3">
        <v>211.93</v>
      </c>
      <c r="L160" s="3">
        <v>214.05</v>
      </c>
      <c r="M160" s="3">
        <v>2.12</v>
      </c>
    </row>
    <row r="161" spans="1:13" x14ac:dyDescent="0.3">
      <c r="B161" t="s">
        <v>471</v>
      </c>
      <c r="C161" t="s">
        <v>284</v>
      </c>
      <c r="D161" t="s">
        <v>216</v>
      </c>
      <c r="E161" t="str">
        <f>"06002"</f>
        <v>06002</v>
      </c>
      <c r="F161" t="s">
        <v>156</v>
      </c>
      <c r="G161" t="str">
        <f>"000021030"</f>
        <v>000021030</v>
      </c>
      <c r="H161" t="s">
        <v>3</v>
      </c>
      <c r="I161" s="4">
        <v>44197</v>
      </c>
      <c r="J161" s="4">
        <v>44377</v>
      </c>
      <c r="K161" s="3">
        <v>260.18</v>
      </c>
      <c r="L161" s="3">
        <v>262.77999999999997</v>
      </c>
      <c r="M161" s="3">
        <v>2.6</v>
      </c>
    </row>
    <row r="162" spans="1:13" x14ac:dyDescent="0.3">
      <c r="A162" t="s">
        <v>299</v>
      </c>
      <c r="B162" t="s">
        <v>472</v>
      </c>
      <c r="C162" t="s">
        <v>242</v>
      </c>
      <c r="D162" t="s">
        <v>216</v>
      </c>
      <c r="E162" t="str">
        <f>"06067"</f>
        <v>06067</v>
      </c>
      <c r="F162" t="s">
        <v>157</v>
      </c>
      <c r="G162" t="str">
        <f>"008046363"</f>
        <v>008046363</v>
      </c>
      <c r="H162" t="s">
        <v>3</v>
      </c>
      <c r="I162" s="4">
        <v>44197</v>
      </c>
      <c r="J162" s="4">
        <v>44377</v>
      </c>
      <c r="K162" s="3">
        <v>381.64</v>
      </c>
      <c r="L162" s="3">
        <v>385.46</v>
      </c>
      <c r="M162" s="3">
        <v>3.82</v>
      </c>
    </row>
    <row r="163" spans="1:13" x14ac:dyDescent="0.3">
      <c r="A163" t="s">
        <v>217</v>
      </c>
      <c r="B163" t="s">
        <v>473</v>
      </c>
      <c r="C163" t="s">
        <v>474</v>
      </c>
      <c r="D163" t="s">
        <v>216</v>
      </c>
      <c r="E163" t="str">
        <f>"06483"</f>
        <v>06483</v>
      </c>
      <c r="F163" t="s">
        <v>158</v>
      </c>
      <c r="G163" t="str">
        <f>"000021072"</f>
        <v>000021072</v>
      </c>
      <c r="H163" t="s">
        <v>3</v>
      </c>
      <c r="I163" s="4">
        <v>44197</v>
      </c>
      <c r="J163" s="4">
        <v>44377</v>
      </c>
      <c r="K163" s="3">
        <v>244.33</v>
      </c>
      <c r="L163" s="3">
        <v>246.77</v>
      </c>
      <c r="M163" s="3">
        <v>2.44</v>
      </c>
    </row>
    <row r="164" spans="1:13" x14ac:dyDescent="0.3">
      <c r="A164" t="s">
        <v>217</v>
      </c>
      <c r="B164" t="s">
        <v>475</v>
      </c>
      <c r="C164" t="s">
        <v>476</v>
      </c>
      <c r="D164" t="s">
        <v>216</v>
      </c>
      <c r="E164" t="str">
        <f>"06069"</f>
        <v>06069</v>
      </c>
      <c r="F164" t="s">
        <v>159</v>
      </c>
      <c r="G164" t="str">
        <f>"000020941"</f>
        <v>000020941</v>
      </c>
      <c r="H164" t="s">
        <v>3</v>
      </c>
      <c r="I164" s="4">
        <v>44197</v>
      </c>
      <c r="J164" s="4">
        <v>44377</v>
      </c>
      <c r="K164" s="3">
        <v>261.04000000000002</v>
      </c>
      <c r="L164" s="3">
        <v>263.64999999999998</v>
      </c>
      <c r="M164" s="3">
        <v>2.61</v>
      </c>
    </row>
    <row r="165" spans="1:13" x14ac:dyDescent="0.3">
      <c r="A165" t="s">
        <v>217</v>
      </c>
      <c r="B165" t="s">
        <v>477</v>
      </c>
      <c r="C165" t="s">
        <v>319</v>
      </c>
      <c r="D165" t="s">
        <v>216</v>
      </c>
      <c r="E165" t="str">
        <f>"06010"</f>
        <v>06010</v>
      </c>
      <c r="F165" t="s">
        <v>160</v>
      </c>
      <c r="G165" t="str">
        <f>"000020040"</f>
        <v>000020040</v>
      </c>
      <c r="H165" t="s">
        <v>3</v>
      </c>
      <c r="I165" s="4">
        <v>44197</v>
      </c>
      <c r="J165" s="4">
        <v>44377</v>
      </c>
      <c r="K165" s="3">
        <v>226.92</v>
      </c>
      <c r="L165" s="3">
        <v>229.19</v>
      </c>
      <c r="M165" s="3">
        <v>2.27</v>
      </c>
    </row>
    <row r="166" spans="1:13" x14ac:dyDescent="0.3">
      <c r="A166" t="s">
        <v>299</v>
      </c>
      <c r="B166" t="s">
        <v>478</v>
      </c>
      <c r="C166" t="s">
        <v>286</v>
      </c>
      <c r="D166" t="s">
        <v>216</v>
      </c>
      <c r="E166" t="str">
        <f>"06450"</f>
        <v>06450</v>
      </c>
      <c r="F166" t="s">
        <v>161</v>
      </c>
      <c r="G166" t="str">
        <f>"000010660"</f>
        <v>000010660</v>
      </c>
      <c r="H166" t="s">
        <v>3</v>
      </c>
      <c r="I166" s="4">
        <v>44197</v>
      </c>
      <c r="J166" s="4">
        <v>44377</v>
      </c>
      <c r="K166" s="3">
        <v>255.9</v>
      </c>
      <c r="L166" s="3">
        <v>258.45999999999998</v>
      </c>
      <c r="M166" s="3">
        <v>2.56</v>
      </c>
    </row>
    <row r="167" spans="1:13" x14ac:dyDescent="0.3">
      <c r="B167" t="s">
        <v>479</v>
      </c>
      <c r="C167" t="s">
        <v>411</v>
      </c>
      <c r="D167" t="s">
        <v>216</v>
      </c>
      <c r="E167" t="str">
        <f>"06492"</f>
        <v>06492</v>
      </c>
      <c r="F167" t="s">
        <v>162</v>
      </c>
      <c r="G167" t="str">
        <f>"000007427"</f>
        <v>000007427</v>
      </c>
      <c r="H167" t="s">
        <v>3</v>
      </c>
      <c r="I167" s="4">
        <v>44197</v>
      </c>
      <c r="J167" s="4">
        <v>44377</v>
      </c>
      <c r="K167" s="3">
        <v>193.66</v>
      </c>
      <c r="L167" s="3">
        <v>195.6</v>
      </c>
      <c r="M167" s="3">
        <v>1.94</v>
      </c>
    </row>
    <row r="168" spans="1:13" x14ac:dyDescent="0.3">
      <c r="A168" t="s">
        <v>376</v>
      </c>
      <c r="B168" t="s">
        <v>480</v>
      </c>
      <c r="C168" t="s">
        <v>481</v>
      </c>
      <c r="D168" t="s">
        <v>216</v>
      </c>
      <c r="E168" t="str">
        <f>"06489-3213"</f>
        <v>06489-3213</v>
      </c>
      <c r="F168" t="s">
        <v>163</v>
      </c>
      <c r="G168" t="str">
        <f>"000020602"</f>
        <v>000020602</v>
      </c>
      <c r="H168" t="s">
        <v>3</v>
      </c>
      <c r="I168" s="4">
        <v>44197</v>
      </c>
      <c r="J168" s="4">
        <v>44377</v>
      </c>
      <c r="K168" s="3">
        <v>261.52</v>
      </c>
      <c r="L168" s="3">
        <v>264.14</v>
      </c>
      <c r="M168" s="3">
        <v>2.62</v>
      </c>
    </row>
    <row r="169" spans="1:13" x14ac:dyDescent="0.3">
      <c r="A169" t="s">
        <v>251</v>
      </c>
      <c r="B169" t="s">
        <v>482</v>
      </c>
      <c r="C169" t="s">
        <v>401</v>
      </c>
      <c r="D169" t="s">
        <v>216</v>
      </c>
      <c r="E169" t="str">
        <f>"06611"</f>
        <v>06611</v>
      </c>
      <c r="F169" t="s">
        <v>164</v>
      </c>
      <c r="G169" t="str">
        <f>"000006841"</f>
        <v>000006841</v>
      </c>
      <c r="H169" t="s">
        <v>3</v>
      </c>
      <c r="I169" s="4">
        <v>44197</v>
      </c>
      <c r="J169" s="4">
        <v>44377</v>
      </c>
      <c r="K169" s="3">
        <v>261.76</v>
      </c>
      <c r="L169" s="3">
        <v>264.38</v>
      </c>
      <c r="M169" s="3">
        <v>2.62</v>
      </c>
    </row>
    <row r="170" spans="1:13" x14ac:dyDescent="0.3">
      <c r="B170" t="s">
        <v>483</v>
      </c>
      <c r="C170" t="s">
        <v>484</v>
      </c>
      <c r="D170" t="s">
        <v>216</v>
      </c>
      <c r="E170" t="str">
        <f>"06078"</f>
        <v>06078</v>
      </c>
      <c r="F170" t="s">
        <v>165</v>
      </c>
      <c r="G170" t="str">
        <f>"000020751"</f>
        <v>000020751</v>
      </c>
      <c r="H170" t="s">
        <v>3</v>
      </c>
      <c r="I170" s="4">
        <v>44197</v>
      </c>
      <c r="J170" s="4">
        <v>44377</v>
      </c>
      <c r="K170" s="3">
        <v>241.55</v>
      </c>
      <c r="L170" s="3">
        <v>243.97</v>
      </c>
      <c r="M170" s="3">
        <v>2.42</v>
      </c>
    </row>
    <row r="171" spans="1:13" x14ac:dyDescent="0.3">
      <c r="B171" t="s">
        <v>485</v>
      </c>
      <c r="C171" t="s">
        <v>234</v>
      </c>
      <c r="D171" t="s">
        <v>216</v>
      </c>
      <c r="E171" t="str">
        <f>"06437"</f>
        <v>06437</v>
      </c>
      <c r="F171" t="s">
        <v>166</v>
      </c>
      <c r="G171" t="str">
        <f>"000004606"</f>
        <v>000004606</v>
      </c>
      <c r="H171" t="s">
        <v>3</v>
      </c>
      <c r="I171" s="4">
        <v>44197</v>
      </c>
      <c r="J171" s="4">
        <v>44377</v>
      </c>
      <c r="K171" s="3">
        <v>255.64</v>
      </c>
      <c r="L171" s="3">
        <v>258.2</v>
      </c>
      <c r="M171" s="3">
        <v>2.56</v>
      </c>
    </row>
    <row r="172" spans="1:13" x14ac:dyDescent="0.3">
      <c r="A172" t="s">
        <v>282</v>
      </c>
      <c r="B172" t="s">
        <v>486</v>
      </c>
      <c r="C172" t="s">
        <v>319</v>
      </c>
      <c r="D172" t="s">
        <v>216</v>
      </c>
      <c r="E172" t="str">
        <f>"06010"</f>
        <v>06010</v>
      </c>
      <c r="F172" t="s">
        <v>167</v>
      </c>
      <c r="G172" t="str">
        <f>"000009043"</f>
        <v>000009043</v>
      </c>
      <c r="H172" t="s">
        <v>3</v>
      </c>
      <c r="I172" s="4">
        <v>44197</v>
      </c>
      <c r="J172" s="4">
        <v>44377</v>
      </c>
      <c r="K172" s="3">
        <v>250.5</v>
      </c>
      <c r="L172" s="3">
        <v>253.01</v>
      </c>
      <c r="M172" s="3">
        <v>2.5099999999999998</v>
      </c>
    </row>
    <row r="173" spans="1:13" x14ac:dyDescent="0.3">
      <c r="A173" t="s">
        <v>251</v>
      </c>
      <c r="B173" t="s">
        <v>487</v>
      </c>
      <c r="C173" t="s">
        <v>337</v>
      </c>
      <c r="D173" t="s">
        <v>216</v>
      </c>
      <c r="E173" t="str">
        <f>"06107"</f>
        <v>06107</v>
      </c>
      <c r="F173" t="s">
        <v>168</v>
      </c>
      <c r="G173" t="str">
        <f>"000021668"</f>
        <v>000021668</v>
      </c>
      <c r="H173" t="s">
        <v>3</v>
      </c>
      <c r="I173" s="4">
        <v>44197</v>
      </c>
      <c r="J173" s="4">
        <v>44377</v>
      </c>
      <c r="K173" s="3">
        <v>260.68</v>
      </c>
      <c r="L173" s="3">
        <v>263.29000000000002</v>
      </c>
      <c r="M173" s="3">
        <v>2.61</v>
      </c>
    </row>
    <row r="174" spans="1:13" x14ac:dyDescent="0.3">
      <c r="A174" t="s">
        <v>217</v>
      </c>
      <c r="B174" t="s">
        <v>488</v>
      </c>
      <c r="C174" t="s">
        <v>489</v>
      </c>
      <c r="D174" t="s">
        <v>216</v>
      </c>
      <c r="E174" t="str">
        <f>"06479"</f>
        <v>06479</v>
      </c>
      <c r="F174" t="s">
        <v>169</v>
      </c>
      <c r="G174" t="str">
        <f>"000009464"</f>
        <v>000009464</v>
      </c>
      <c r="H174" t="s">
        <v>3</v>
      </c>
      <c r="I174" s="4">
        <v>44197</v>
      </c>
      <c r="J174" s="4">
        <v>44377</v>
      </c>
      <c r="K174" s="3">
        <v>235.5</v>
      </c>
      <c r="L174" s="3">
        <v>237.86</v>
      </c>
      <c r="M174" s="3">
        <v>2.36</v>
      </c>
    </row>
    <row r="175" spans="1:13" x14ac:dyDescent="0.3">
      <c r="B175" t="s">
        <v>490</v>
      </c>
      <c r="C175" t="s">
        <v>298</v>
      </c>
      <c r="D175" t="s">
        <v>216</v>
      </c>
      <c r="E175" t="str">
        <f>"06903"</f>
        <v>06903</v>
      </c>
      <c r="F175" t="s">
        <v>170</v>
      </c>
      <c r="G175" t="str">
        <f>"000007161"</f>
        <v>000007161</v>
      </c>
      <c r="H175" t="s">
        <v>3</v>
      </c>
      <c r="I175" s="4">
        <v>44197</v>
      </c>
      <c r="J175" s="4">
        <v>44377</v>
      </c>
      <c r="K175" s="3">
        <v>272.55</v>
      </c>
      <c r="L175" s="3">
        <v>275.27999999999997</v>
      </c>
      <c r="M175" s="3">
        <v>2.73</v>
      </c>
    </row>
    <row r="176" spans="1:13" x14ac:dyDescent="0.3">
      <c r="A176" t="s">
        <v>251</v>
      </c>
      <c r="B176" t="s">
        <v>491</v>
      </c>
      <c r="C176" t="s">
        <v>492</v>
      </c>
      <c r="D176" t="s">
        <v>216</v>
      </c>
      <c r="E176" t="str">
        <f>"06525"</f>
        <v>06525</v>
      </c>
      <c r="F176" t="s">
        <v>171</v>
      </c>
      <c r="G176" t="str">
        <f>"000020553"</f>
        <v>000020553</v>
      </c>
      <c r="H176" t="s">
        <v>3</v>
      </c>
      <c r="I176" s="4">
        <v>44197</v>
      </c>
      <c r="J176" s="4">
        <v>44377</v>
      </c>
      <c r="K176" s="3">
        <v>256.12</v>
      </c>
      <c r="L176" s="3">
        <v>258.68</v>
      </c>
      <c r="M176" s="3">
        <v>2.56</v>
      </c>
    </row>
    <row r="177" spans="1:13" x14ac:dyDescent="0.3">
      <c r="A177" t="s">
        <v>299</v>
      </c>
      <c r="B177" t="s">
        <v>493</v>
      </c>
      <c r="C177" t="s">
        <v>284</v>
      </c>
      <c r="D177" t="s">
        <v>216</v>
      </c>
      <c r="E177" t="str">
        <f>"06002"</f>
        <v>06002</v>
      </c>
      <c r="F177" t="s">
        <v>172</v>
      </c>
      <c r="G177" t="str">
        <f>"000010876"</f>
        <v>000010876</v>
      </c>
      <c r="H177" t="s">
        <v>3</v>
      </c>
      <c r="I177" s="4">
        <v>44197</v>
      </c>
      <c r="J177" s="4">
        <v>44377</v>
      </c>
      <c r="K177" s="3">
        <v>253.08</v>
      </c>
      <c r="L177" s="3">
        <v>255.61</v>
      </c>
      <c r="M177" s="3">
        <v>2.5299999999999998</v>
      </c>
    </row>
    <row r="178" spans="1:13" x14ac:dyDescent="0.3">
      <c r="A178" t="s">
        <v>299</v>
      </c>
      <c r="B178" t="s">
        <v>494</v>
      </c>
      <c r="C178" t="s">
        <v>339</v>
      </c>
      <c r="D178" t="s">
        <v>216</v>
      </c>
      <c r="E178" t="str">
        <f>"06088"</f>
        <v>06088</v>
      </c>
      <c r="F178" t="s">
        <v>173</v>
      </c>
      <c r="G178" t="str">
        <f>"000023143"</f>
        <v>000023143</v>
      </c>
      <c r="H178" t="s">
        <v>3</v>
      </c>
      <c r="I178" s="4">
        <v>44197</v>
      </c>
      <c r="J178" s="4">
        <v>44377</v>
      </c>
      <c r="K178" s="3">
        <v>223.76</v>
      </c>
      <c r="L178" s="3">
        <v>226</v>
      </c>
      <c r="M178" s="3">
        <v>2.2400000000000002</v>
      </c>
    </row>
    <row r="179" spans="1:13" x14ac:dyDescent="0.3">
      <c r="A179" t="s">
        <v>299</v>
      </c>
      <c r="B179" t="s">
        <v>495</v>
      </c>
      <c r="C179" t="s">
        <v>321</v>
      </c>
      <c r="D179" t="s">
        <v>216</v>
      </c>
      <c r="E179" t="str">
        <f>"06040"</f>
        <v>06040</v>
      </c>
      <c r="F179" t="s">
        <v>174</v>
      </c>
      <c r="G179" t="str">
        <f>"000020123"</f>
        <v>000020123</v>
      </c>
      <c r="H179" t="s">
        <v>3</v>
      </c>
      <c r="I179" s="4">
        <v>44197</v>
      </c>
      <c r="J179" s="4">
        <v>44377</v>
      </c>
      <c r="K179" s="3">
        <v>265.47000000000003</v>
      </c>
      <c r="L179" s="3">
        <v>268.12</v>
      </c>
      <c r="M179" s="3">
        <v>2.65</v>
      </c>
    </row>
    <row r="180" spans="1:13" x14ac:dyDescent="0.3">
      <c r="A180" t="s">
        <v>299</v>
      </c>
      <c r="B180" t="s">
        <v>496</v>
      </c>
      <c r="C180" t="s">
        <v>265</v>
      </c>
      <c r="D180" t="s">
        <v>216</v>
      </c>
      <c r="E180" t="str">
        <f>"06106"</f>
        <v>06106</v>
      </c>
      <c r="F180" t="s">
        <v>175</v>
      </c>
      <c r="G180" t="str">
        <f>"000049553"</f>
        <v>000049553</v>
      </c>
      <c r="H180" t="s">
        <v>99</v>
      </c>
      <c r="I180" s="4">
        <v>44197</v>
      </c>
      <c r="J180" s="4">
        <v>44377</v>
      </c>
      <c r="K180" s="3">
        <v>321.98</v>
      </c>
      <c r="L180" s="3">
        <v>325.2</v>
      </c>
      <c r="M180" s="3">
        <v>3.22</v>
      </c>
    </row>
    <row r="181" spans="1:13" x14ac:dyDescent="0.3">
      <c r="A181" t="s">
        <v>299</v>
      </c>
      <c r="B181" t="s">
        <v>496</v>
      </c>
      <c r="C181" t="s">
        <v>265</v>
      </c>
      <c r="D181" t="s">
        <v>216</v>
      </c>
      <c r="E181" t="str">
        <f>"06106"</f>
        <v>06106</v>
      </c>
      <c r="F181" t="s">
        <v>175</v>
      </c>
      <c r="G181" t="str">
        <f>"000009555"</f>
        <v>000009555</v>
      </c>
      <c r="H181" t="s">
        <v>3</v>
      </c>
      <c r="I181" s="4">
        <v>44197</v>
      </c>
      <c r="J181" s="4">
        <v>44377</v>
      </c>
      <c r="K181" s="3">
        <v>296</v>
      </c>
      <c r="L181" s="3">
        <v>298.95999999999998</v>
      </c>
      <c r="M181" s="3">
        <v>2.96</v>
      </c>
    </row>
    <row r="182" spans="1:13" x14ac:dyDescent="0.3">
      <c r="B182" t="s">
        <v>497</v>
      </c>
      <c r="C182" t="s">
        <v>498</v>
      </c>
      <c r="D182" t="s">
        <v>216</v>
      </c>
      <c r="E182" t="str">
        <f>"06422"</f>
        <v>06422</v>
      </c>
      <c r="F182" t="s">
        <v>176</v>
      </c>
      <c r="G182" t="str">
        <f>"000023151"</f>
        <v>000023151</v>
      </c>
      <c r="H182" t="s">
        <v>3</v>
      </c>
      <c r="I182" s="4">
        <v>44197</v>
      </c>
      <c r="J182" s="4">
        <v>44377</v>
      </c>
      <c r="K182" s="3">
        <v>194.81</v>
      </c>
      <c r="L182" s="3">
        <v>196.76</v>
      </c>
      <c r="M182" s="3">
        <v>1.95</v>
      </c>
    </row>
    <row r="183" spans="1:13" x14ac:dyDescent="0.3">
      <c r="A183" t="s">
        <v>217</v>
      </c>
      <c r="B183" t="s">
        <v>499</v>
      </c>
      <c r="C183" t="s">
        <v>388</v>
      </c>
      <c r="D183" t="s">
        <v>216</v>
      </c>
      <c r="E183" t="str">
        <f>"06790"</f>
        <v>06790</v>
      </c>
      <c r="F183" t="s">
        <v>177</v>
      </c>
      <c r="G183" t="str">
        <f>"000010702"</f>
        <v>000010702</v>
      </c>
      <c r="H183" t="s">
        <v>3</v>
      </c>
      <c r="I183" s="4">
        <v>44197</v>
      </c>
      <c r="J183" s="4">
        <v>44377</v>
      </c>
      <c r="K183" s="3">
        <v>229.93</v>
      </c>
      <c r="L183" s="3">
        <v>232.23</v>
      </c>
      <c r="M183" s="3">
        <v>2.2999999999999998</v>
      </c>
    </row>
    <row r="184" spans="1:13" x14ac:dyDescent="0.3">
      <c r="B184" t="s">
        <v>500</v>
      </c>
      <c r="C184" t="s">
        <v>501</v>
      </c>
      <c r="D184" t="s">
        <v>216</v>
      </c>
      <c r="E184" t="str">
        <f>"06066"</f>
        <v>06066</v>
      </c>
      <c r="F184" t="s">
        <v>178</v>
      </c>
      <c r="G184" t="str">
        <f>"000009910"</f>
        <v>000009910</v>
      </c>
      <c r="H184" t="s">
        <v>3</v>
      </c>
      <c r="I184" s="4">
        <v>44197</v>
      </c>
      <c r="J184" s="4">
        <v>44377</v>
      </c>
      <c r="K184" s="3">
        <v>216.47</v>
      </c>
      <c r="L184" s="3">
        <v>218.63</v>
      </c>
      <c r="M184" s="3">
        <v>2.16</v>
      </c>
    </row>
    <row r="185" spans="1:13" x14ac:dyDescent="0.3">
      <c r="B185" t="s">
        <v>502</v>
      </c>
      <c r="C185" t="s">
        <v>314</v>
      </c>
      <c r="D185" t="s">
        <v>216</v>
      </c>
      <c r="E185" t="str">
        <f>"06374"</f>
        <v>06374</v>
      </c>
      <c r="F185" t="s">
        <v>179</v>
      </c>
      <c r="G185" t="str">
        <f>"000010066"</f>
        <v>000010066</v>
      </c>
      <c r="H185" t="s">
        <v>3</v>
      </c>
      <c r="I185" s="4">
        <v>44197</v>
      </c>
      <c r="J185" s="4">
        <v>44377</v>
      </c>
      <c r="K185" s="3">
        <v>207.79</v>
      </c>
      <c r="L185" s="3">
        <v>209.87</v>
      </c>
      <c r="M185" s="3">
        <v>2.08</v>
      </c>
    </row>
    <row r="186" spans="1:13" x14ac:dyDescent="0.3">
      <c r="A186" t="s">
        <v>282</v>
      </c>
      <c r="B186" t="s">
        <v>503</v>
      </c>
      <c r="C186" t="s">
        <v>431</v>
      </c>
      <c r="D186" t="s">
        <v>216</v>
      </c>
      <c r="E186" t="str">
        <f>"06776"</f>
        <v>06776</v>
      </c>
      <c r="F186" t="s">
        <v>180</v>
      </c>
      <c r="G186" t="str">
        <f>"000008771"</f>
        <v>000008771</v>
      </c>
      <c r="H186" t="s">
        <v>3</v>
      </c>
      <c r="I186" s="4">
        <v>44197</v>
      </c>
      <c r="J186" s="4">
        <v>44377</v>
      </c>
      <c r="K186" s="3">
        <v>246.22</v>
      </c>
      <c r="L186" s="3">
        <v>248.68</v>
      </c>
      <c r="M186" s="3">
        <v>2.46</v>
      </c>
    </row>
    <row r="187" spans="1:13" x14ac:dyDescent="0.3">
      <c r="A187" t="s">
        <v>251</v>
      </c>
      <c r="B187" t="s">
        <v>504</v>
      </c>
      <c r="C187" t="s">
        <v>505</v>
      </c>
      <c r="D187" t="s">
        <v>216</v>
      </c>
      <c r="E187" t="str">
        <f>"06010"</f>
        <v>06010</v>
      </c>
      <c r="F187" t="s">
        <v>181</v>
      </c>
      <c r="G187" t="str">
        <f>"000020164"</f>
        <v>000020164</v>
      </c>
      <c r="H187" t="s">
        <v>3</v>
      </c>
      <c r="I187" s="4">
        <v>44197</v>
      </c>
      <c r="J187" s="4">
        <v>44377</v>
      </c>
      <c r="K187" s="3">
        <v>252.41</v>
      </c>
      <c r="L187" s="3">
        <v>254.93</v>
      </c>
      <c r="M187" s="3">
        <v>2.52</v>
      </c>
    </row>
    <row r="188" spans="1:13" x14ac:dyDescent="0.3">
      <c r="A188" t="s">
        <v>251</v>
      </c>
      <c r="B188" t="s">
        <v>504</v>
      </c>
      <c r="C188" t="s">
        <v>505</v>
      </c>
      <c r="D188" t="s">
        <v>216</v>
      </c>
      <c r="E188" t="str">
        <f>"06010"</f>
        <v>06010</v>
      </c>
      <c r="F188" t="s">
        <v>181</v>
      </c>
      <c r="G188" t="str">
        <f>"000520165"</f>
        <v>000520165</v>
      </c>
      <c r="H188" t="s">
        <v>182</v>
      </c>
      <c r="I188" s="4">
        <v>44197</v>
      </c>
      <c r="J188" s="4">
        <v>44377</v>
      </c>
      <c r="K188" s="3">
        <v>447.72</v>
      </c>
      <c r="L188" s="3">
        <v>452.2</v>
      </c>
      <c r="M188" s="3">
        <v>4.4800000000000004</v>
      </c>
    </row>
    <row r="189" spans="1:13" x14ac:dyDescent="0.3">
      <c r="A189" t="s">
        <v>217</v>
      </c>
      <c r="B189" t="s">
        <v>506</v>
      </c>
      <c r="C189" t="s">
        <v>238</v>
      </c>
      <c r="D189" t="s">
        <v>216</v>
      </c>
      <c r="E189" t="str">
        <f>"06457"</f>
        <v>06457</v>
      </c>
      <c r="F189" t="s">
        <v>183</v>
      </c>
      <c r="G189" t="str">
        <f>"000020256"</f>
        <v>000020256</v>
      </c>
      <c r="H189" t="s">
        <v>3</v>
      </c>
      <c r="I189" s="4">
        <v>44197</v>
      </c>
      <c r="J189" s="4">
        <v>44377</v>
      </c>
      <c r="K189" s="3">
        <v>244.31</v>
      </c>
      <c r="L189" s="3">
        <v>246.75</v>
      </c>
      <c r="M189" s="3">
        <v>2.44</v>
      </c>
    </row>
    <row r="190" spans="1:13" x14ac:dyDescent="0.3">
      <c r="A190" t="s">
        <v>507</v>
      </c>
      <c r="B190" t="s">
        <v>508</v>
      </c>
      <c r="C190" t="s">
        <v>219</v>
      </c>
      <c r="D190" t="s">
        <v>216</v>
      </c>
      <c r="E190" t="str">
        <f>"06706"</f>
        <v>06706</v>
      </c>
      <c r="F190" t="s">
        <v>184</v>
      </c>
      <c r="G190" t="str">
        <f>"000020156"</f>
        <v>000020156</v>
      </c>
      <c r="H190" t="s">
        <v>3</v>
      </c>
      <c r="I190" s="4">
        <v>44197</v>
      </c>
      <c r="J190" s="4">
        <v>44377</v>
      </c>
      <c r="K190" s="3">
        <v>266.37</v>
      </c>
      <c r="L190" s="3">
        <v>269.02999999999997</v>
      </c>
      <c r="M190" s="3">
        <v>2.66</v>
      </c>
    </row>
    <row r="191" spans="1:13" x14ac:dyDescent="0.3">
      <c r="A191" t="s">
        <v>507</v>
      </c>
      <c r="B191" t="s">
        <v>508</v>
      </c>
      <c r="C191" t="s">
        <v>219</v>
      </c>
      <c r="D191" t="s">
        <v>216</v>
      </c>
      <c r="E191" t="str">
        <f>"06706"</f>
        <v>06706</v>
      </c>
      <c r="F191" t="s">
        <v>184</v>
      </c>
      <c r="G191" t="str">
        <f>"000520157"</f>
        <v>000520157</v>
      </c>
      <c r="H191" t="s">
        <v>182</v>
      </c>
      <c r="I191" s="4">
        <v>44197</v>
      </c>
      <c r="J191" s="4">
        <v>44377</v>
      </c>
      <c r="K191" s="3">
        <v>376.62</v>
      </c>
      <c r="L191" s="3">
        <v>380.39</v>
      </c>
      <c r="M191" s="3">
        <v>3.77</v>
      </c>
    </row>
    <row r="192" spans="1:13" x14ac:dyDescent="0.3">
      <c r="A192" t="s">
        <v>282</v>
      </c>
      <c r="B192" t="s">
        <v>509</v>
      </c>
      <c r="C192" t="s">
        <v>238</v>
      </c>
      <c r="D192" t="s">
        <v>216</v>
      </c>
      <c r="E192" t="str">
        <f>"06457"</f>
        <v>06457</v>
      </c>
      <c r="F192" t="s">
        <v>185</v>
      </c>
      <c r="G192" t="str">
        <f>"000020975"</f>
        <v>000020975</v>
      </c>
      <c r="H192" t="s">
        <v>3</v>
      </c>
      <c r="I192" s="4">
        <v>44197</v>
      </c>
      <c r="J192" s="4">
        <v>44377</v>
      </c>
      <c r="K192" s="3">
        <v>255.19</v>
      </c>
      <c r="L192" s="3">
        <v>257.74</v>
      </c>
      <c r="M192" s="3">
        <v>2.5499999999999998</v>
      </c>
    </row>
    <row r="193" spans="1:13" x14ac:dyDescent="0.3">
      <c r="B193" t="s">
        <v>510</v>
      </c>
      <c r="C193" t="s">
        <v>250</v>
      </c>
      <c r="D193" t="s">
        <v>216</v>
      </c>
      <c r="E193" t="str">
        <f>"06795"</f>
        <v>06795</v>
      </c>
      <c r="F193" t="s">
        <v>186</v>
      </c>
      <c r="G193" t="str">
        <f>"000008813"</f>
        <v>000008813</v>
      </c>
      <c r="H193" t="s">
        <v>3</v>
      </c>
      <c r="I193" s="4">
        <v>44197</v>
      </c>
      <c r="J193" s="4">
        <v>44377</v>
      </c>
      <c r="K193" s="3">
        <v>220.67</v>
      </c>
      <c r="L193" s="3">
        <v>222.88</v>
      </c>
      <c r="M193" s="3">
        <v>2.21</v>
      </c>
    </row>
    <row r="194" spans="1:13" x14ac:dyDescent="0.3">
      <c r="A194" t="s">
        <v>224</v>
      </c>
      <c r="B194" t="s">
        <v>511</v>
      </c>
      <c r="C194" t="s">
        <v>399</v>
      </c>
      <c r="D194" t="s">
        <v>216</v>
      </c>
      <c r="E194" t="str">
        <f>"06443"</f>
        <v>06443</v>
      </c>
      <c r="F194" t="s">
        <v>187</v>
      </c>
      <c r="G194" t="str">
        <f>"000010991"</f>
        <v>000010991</v>
      </c>
      <c r="H194" t="s">
        <v>3</v>
      </c>
      <c r="I194" s="4">
        <v>44197</v>
      </c>
      <c r="J194" s="4">
        <v>44377</v>
      </c>
      <c r="K194" s="3">
        <v>221.73</v>
      </c>
      <c r="L194" s="3">
        <v>223.95</v>
      </c>
      <c r="M194" s="3">
        <v>2.2200000000000002</v>
      </c>
    </row>
    <row r="195" spans="1:13" x14ac:dyDescent="0.3">
      <c r="B195" t="s">
        <v>512</v>
      </c>
      <c r="C195" t="s">
        <v>513</v>
      </c>
      <c r="D195" t="s">
        <v>216</v>
      </c>
      <c r="E195" t="str">
        <f>"06840"</f>
        <v>06840</v>
      </c>
      <c r="F195" t="s">
        <v>188</v>
      </c>
      <c r="G195" t="str">
        <f>"000009423"</f>
        <v>000009423</v>
      </c>
      <c r="H195" t="s">
        <v>3</v>
      </c>
      <c r="I195" s="4">
        <v>44197</v>
      </c>
      <c r="J195" s="4">
        <v>44377</v>
      </c>
      <c r="K195" s="3">
        <v>263.52</v>
      </c>
      <c r="L195" s="3">
        <v>266.16000000000003</v>
      </c>
      <c r="M195" s="3">
        <v>2.64</v>
      </c>
    </row>
    <row r="196" spans="1:13" x14ac:dyDescent="0.3">
      <c r="B196" t="s">
        <v>514</v>
      </c>
      <c r="C196" t="s">
        <v>337</v>
      </c>
      <c r="D196" t="s">
        <v>216</v>
      </c>
      <c r="E196" t="str">
        <f>"06107"</f>
        <v>06107</v>
      </c>
      <c r="F196" t="s">
        <v>189</v>
      </c>
      <c r="G196" t="str">
        <f>"000009738"</f>
        <v>000009738</v>
      </c>
      <c r="H196" t="s">
        <v>3</v>
      </c>
      <c r="I196" s="4">
        <v>44197</v>
      </c>
      <c r="J196" s="4">
        <v>44377</v>
      </c>
      <c r="K196" s="3">
        <v>258.47000000000003</v>
      </c>
      <c r="L196" s="3">
        <v>261.05</v>
      </c>
      <c r="M196" s="3">
        <v>2.58</v>
      </c>
    </row>
    <row r="197" spans="1:13" x14ac:dyDescent="0.3">
      <c r="A197" t="s">
        <v>304</v>
      </c>
      <c r="B197" t="s">
        <v>515</v>
      </c>
      <c r="C197" t="s">
        <v>350</v>
      </c>
      <c r="D197" t="s">
        <v>216</v>
      </c>
      <c r="E197" t="str">
        <f>"06460"</f>
        <v>06460</v>
      </c>
      <c r="F197" t="s">
        <v>190</v>
      </c>
      <c r="G197" t="str">
        <f>"000020925"</f>
        <v>000020925</v>
      </c>
      <c r="H197" t="s">
        <v>3</v>
      </c>
      <c r="I197" s="4">
        <v>44197</v>
      </c>
      <c r="J197" s="4">
        <v>44377</v>
      </c>
      <c r="K197" s="3">
        <v>287.05</v>
      </c>
      <c r="L197" s="3">
        <v>289.92</v>
      </c>
      <c r="M197" s="3">
        <v>2.87</v>
      </c>
    </row>
    <row r="198" spans="1:13" x14ac:dyDescent="0.3">
      <c r="A198" t="s">
        <v>304</v>
      </c>
      <c r="B198" t="s">
        <v>516</v>
      </c>
      <c r="C198" t="s">
        <v>332</v>
      </c>
      <c r="D198" t="s">
        <v>216</v>
      </c>
      <c r="E198" t="str">
        <f>"06810"</f>
        <v>06810</v>
      </c>
      <c r="F198" t="s">
        <v>191</v>
      </c>
      <c r="G198" t="str">
        <f>"000010389"</f>
        <v>000010389</v>
      </c>
      <c r="H198" t="s">
        <v>3</v>
      </c>
      <c r="I198" s="4">
        <v>44197</v>
      </c>
      <c r="J198" s="4">
        <v>44377</v>
      </c>
      <c r="K198" s="3">
        <v>283.77</v>
      </c>
      <c r="L198" s="3">
        <v>286.61</v>
      </c>
      <c r="M198" s="3">
        <v>2.84</v>
      </c>
    </row>
    <row r="199" spans="1:13" x14ac:dyDescent="0.3">
      <c r="A199" t="s">
        <v>304</v>
      </c>
      <c r="B199" t="s">
        <v>517</v>
      </c>
      <c r="C199" t="s">
        <v>518</v>
      </c>
      <c r="D199" t="s">
        <v>216</v>
      </c>
      <c r="E199" t="str">
        <f>"06880"</f>
        <v>06880</v>
      </c>
      <c r="F199" t="s">
        <v>192</v>
      </c>
      <c r="G199" t="str">
        <f>"000010371"</f>
        <v>000010371</v>
      </c>
      <c r="H199" t="s">
        <v>3</v>
      </c>
      <c r="I199" s="4">
        <v>44197</v>
      </c>
      <c r="J199" s="4">
        <v>44377</v>
      </c>
      <c r="K199" s="3">
        <v>292.17</v>
      </c>
      <c r="L199" s="3">
        <v>295.08999999999997</v>
      </c>
      <c r="M199" s="3">
        <v>2.92</v>
      </c>
    </row>
    <row r="200" spans="1:13" x14ac:dyDescent="0.3">
      <c r="A200" t="s">
        <v>299</v>
      </c>
      <c r="B200" t="s">
        <v>519</v>
      </c>
      <c r="C200" t="s">
        <v>321</v>
      </c>
      <c r="D200" t="s">
        <v>216</v>
      </c>
      <c r="E200" t="str">
        <f>"06040"</f>
        <v>06040</v>
      </c>
      <c r="F200" t="s">
        <v>193</v>
      </c>
      <c r="G200" t="str">
        <f>"000007807"</f>
        <v>000007807</v>
      </c>
      <c r="H200" t="s">
        <v>3</v>
      </c>
      <c r="I200" s="4">
        <v>44197</v>
      </c>
      <c r="J200" s="4">
        <v>44377</v>
      </c>
      <c r="K200" s="3">
        <v>255.34</v>
      </c>
      <c r="L200" s="3">
        <v>257.89</v>
      </c>
      <c r="M200" s="3">
        <v>2.5499999999999998</v>
      </c>
    </row>
    <row r="201" spans="1:13" x14ac:dyDescent="0.3">
      <c r="B201" t="s">
        <v>520</v>
      </c>
      <c r="C201" t="s">
        <v>521</v>
      </c>
      <c r="D201" t="s">
        <v>216</v>
      </c>
      <c r="E201" t="str">
        <f>"06241"</f>
        <v>06241</v>
      </c>
      <c r="F201" t="s">
        <v>194</v>
      </c>
      <c r="G201" t="str">
        <f>"000009308"</f>
        <v>000009308</v>
      </c>
      <c r="H201" t="s">
        <v>3</v>
      </c>
      <c r="I201" s="4">
        <v>44197</v>
      </c>
      <c r="J201" s="4">
        <v>44377</v>
      </c>
      <c r="K201" s="3">
        <v>258.55</v>
      </c>
      <c r="L201" s="3">
        <v>261.14</v>
      </c>
      <c r="M201" s="3">
        <v>2.59</v>
      </c>
    </row>
    <row r="202" spans="1:13" x14ac:dyDescent="0.3">
      <c r="A202" t="s">
        <v>522</v>
      </c>
      <c r="B202" t="s">
        <v>523</v>
      </c>
      <c r="C202" t="s">
        <v>236</v>
      </c>
      <c r="D202" t="s">
        <v>216</v>
      </c>
      <c r="E202" t="str">
        <f>"06512"</f>
        <v>06512</v>
      </c>
      <c r="F202" t="s">
        <v>195</v>
      </c>
      <c r="G202" t="str">
        <f>"000009951"</f>
        <v>000009951</v>
      </c>
      <c r="H202" t="s">
        <v>3</v>
      </c>
      <c r="I202" s="4">
        <v>44197</v>
      </c>
      <c r="J202" s="4">
        <v>44377</v>
      </c>
      <c r="K202" s="3">
        <v>242.31</v>
      </c>
      <c r="L202" s="3">
        <v>244.73</v>
      </c>
      <c r="M202" s="3">
        <v>2.42</v>
      </c>
    </row>
    <row r="203" spans="1:13" x14ac:dyDescent="0.3">
      <c r="B203" t="s">
        <v>524</v>
      </c>
      <c r="C203" t="s">
        <v>253</v>
      </c>
      <c r="D203" t="s">
        <v>216</v>
      </c>
      <c r="E203" t="str">
        <f>"06517"</f>
        <v>06517</v>
      </c>
      <c r="F203" t="s">
        <v>196</v>
      </c>
      <c r="G203" t="str">
        <f>"000009852"</f>
        <v>000009852</v>
      </c>
      <c r="H203" t="s">
        <v>3</v>
      </c>
      <c r="I203" s="4">
        <v>44197</v>
      </c>
      <c r="J203" s="4">
        <v>44377</v>
      </c>
      <c r="K203" s="3">
        <v>239.28</v>
      </c>
      <c r="L203" s="3">
        <v>241.67</v>
      </c>
      <c r="M203" s="3">
        <v>2.39</v>
      </c>
    </row>
    <row r="204" spans="1:13" x14ac:dyDescent="0.3">
      <c r="B204" t="s">
        <v>525</v>
      </c>
      <c r="C204" t="s">
        <v>253</v>
      </c>
      <c r="D204" t="s">
        <v>216</v>
      </c>
      <c r="E204" t="str">
        <f>"06518"</f>
        <v>06518</v>
      </c>
      <c r="F204" t="s">
        <v>197</v>
      </c>
      <c r="G204" t="str">
        <f>"9027"</f>
        <v>9027</v>
      </c>
      <c r="H204" t="s">
        <v>3</v>
      </c>
      <c r="I204" s="4">
        <v>44197</v>
      </c>
      <c r="J204" s="4">
        <v>44377</v>
      </c>
      <c r="K204" s="3">
        <v>229.43</v>
      </c>
      <c r="L204" s="3">
        <v>231.72</v>
      </c>
      <c r="M204" s="3">
        <v>2.29</v>
      </c>
    </row>
    <row r="205" spans="1:13" x14ac:dyDescent="0.3">
      <c r="A205" t="s">
        <v>526</v>
      </c>
      <c r="B205" t="s">
        <v>527</v>
      </c>
      <c r="C205" t="s">
        <v>528</v>
      </c>
      <c r="D205" t="s">
        <v>216</v>
      </c>
      <c r="E205" t="str">
        <f>"06897"</f>
        <v>06897</v>
      </c>
      <c r="F205" t="s">
        <v>198</v>
      </c>
      <c r="G205" t="str">
        <f>"000020321"</f>
        <v>000020321</v>
      </c>
      <c r="H205" t="s">
        <v>3</v>
      </c>
      <c r="I205" s="4">
        <v>44197</v>
      </c>
      <c r="J205" s="4">
        <v>44377</v>
      </c>
      <c r="K205" s="3">
        <v>231.37</v>
      </c>
      <c r="L205" s="3">
        <v>233.68</v>
      </c>
      <c r="M205" s="3">
        <v>2.31</v>
      </c>
    </row>
    <row r="206" spans="1:13" x14ac:dyDescent="0.3">
      <c r="B206" t="s">
        <v>529</v>
      </c>
      <c r="C206" t="s">
        <v>381</v>
      </c>
      <c r="D206" t="s">
        <v>216</v>
      </c>
      <c r="E206" t="str">
        <f>"06095"</f>
        <v>06095</v>
      </c>
      <c r="F206" t="s">
        <v>199</v>
      </c>
      <c r="G206" t="str">
        <f>"000009589"</f>
        <v>000009589</v>
      </c>
      <c r="H206" t="s">
        <v>3</v>
      </c>
      <c r="I206" s="4">
        <v>44197</v>
      </c>
      <c r="J206" s="4">
        <v>44377</v>
      </c>
      <c r="K206" s="3">
        <v>207.09</v>
      </c>
      <c r="L206" s="3">
        <v>209.16</v>
      </c>
      <c r="M206" s="3">
        <v>2.0699999999999998</v>
      </c>
    </row>
    <row r="207" spans="1:13" x14ac:dyDescent="0.3">
      <c r="A207" t="s">
        <v>224</v>
      </c>
      <c r="B207" t="s">
        <v>530</v>
      </c>
      <c r="C207" t="s">
        <v>388</v>
      </c>
      <c r="D207" t="s">
        <v>216</v>
      </c>
      <c r="E207" t="str">
        <f>"06790"</f>
        <v>06790</v>
      </c>
      <c r="F207" t="s">
        <v>200</v>
      </c>
      <c r="G207" t="str">
        <f>"000010967"</f>
        <v>000010967</v>
      </c>
      <c r="H207" t="s">
        <v>3</v>
      </c>
      <c r="I207" s="4">
        <v>44197</v>
      </c>
      <c r="J207" s="4">
        <v>44377</v>
      </c>
      <c r="K207" s="3">
        <v>227.77</v>
      </c>
      <c r="L207" s="3">
        <v>230.05</v>
      </c>
      <c r="M207" s="3">
        <v>2.2799999999999998</v>
      </c>
    </row>
    <row r="208" spans="1:13" x14ac:dyDescent="0.3">
      <c r="B208" t="s">
        <v>531</v>
      </c>
      <c r="C208" t="s">
        <v>532</v>
      </c>
      <c r="D208" t="s">
        <v>216</v>
      </c>
      <c r="E208" t="str">
        <f>"06716"</f>
        <v>06716</v>
      </c>
      <c r="F208" t="s">
        <v>201</v>
      </c>
      <c r="G208" t="str">
        <f>"000009720"</f>
        <v>000009720</v>
      </c>
      <c r="H208" t="s">
        <v>3</v>
      </c>
      <c r="I208" s="4">
        <v>44197</v>
      </c>
      <c r="J208" s="4">
        <v>44377</v>
      </c>
      <c r="K208" s="3">
        <v>243.47</v>
      </c>
      <c r="L208" s="3">
        <v>245.9</v>
      </c>
      <c r="M208" s="3">
        <v>2.4300000000000002</v>
      </c>
    </row>
    <row r="209" spans="1:13" x14ac:dyDescent="0.3">
      <c r="A209" t="s">
        <v>533</v>
      </c>
      <c r="B209" t="s">
        <v>534</v>
      </c>
      <c r="C209" t="s">
        <v>535</v>
      </c>
      <c r="D209" t="s">
        <v>216</v>
      </c>
      <c r="E209" t="str">
        <f>"06084"</f>
        <v>06084</v>
      </c>
      <c r="F209" t="s">
        <v>202</v>
      </c>
      <c r="G209" t="str">
        <f>"000020991"</f>
        <v>000020991</v>
      </c>
      <c r="H209" t="s">
        <v>3</v>
      </c>
      <c r="I209" s="4">
        <v>44197</v>
      </c>
      <c r="J209" s="4">
        <v>44377</v>
      </c>
      <c r="K209" s="3">
        <v>253.03</v>
      </c>
      <c r="L209" s="3">
        <v>255.56</v>
      </c>
      <c r="M209" s="3">
        <v>2.5299999999999998</v>
      </c>
    </row>
    <row r="210" spans="1:13" x14ac:dyDescent="0.3">
      <c r="A210" t="s">
        <v>536</v>
      </c>
      <c r="B210" t="s">
        <v>537</v>
      </c>
      <c r="C210" t="s">
        <v>468</v>
      </c>
      <c r="D210" t="s">
        <v>216</v>
      </c>
      <c r="E210" t="str">
        <f>"06082"</f>
        <v>06082</v>
      </c>
      <c r="F210" t="s">
        <v>203</v>
      </c>
      <c r="G210" t="str">
        <f>"000009597"</f>
        <v>000009597</v>
      </c>
      <c r="H210" t="s">
        <v>3</v>
      </c>
      <c r="I210" s="4">
        <v>44197</v>
      </c>
      <c r="J210" s="4">
        <v>44377</v>
      </c>
      <c r="K210" s="3">
        <v>216.7</v>
      </c>
      <c r="L210" s="3">
        <v>218.87</v>
      </c>
      <c r="M210" s="3">
        <v>2.17</v>
      </c>
    </row>
    <row r="211" spans="1:13" x14ac:dyDescent="0.3">
      <c r="F211" s="5">
        <f>COUNTA(F4:F210)</f>
        <v>207</v>
      </c>
    </row>
  </sheetData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svc-providerweb-prod</dc:creator>
  <cp:lastModifiedBy>Godburn, Nicole</cp:lastModifiedBy>
  <dcterms:created xsi:type="dcterms:W3CDTF">2021-03-05T18:23:23Z</dcterms:created>
  <dcterms:modified xsi:type="dcterms:W3CDTF">2021-03-11T16:39:11Z</dcterms:modified>
</cp:coreProperties>
</file>