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72" yWindow="168" windowWidth="6396" windowHeight="10752" tabRatio="896"/>
  </bookViews>
  <sheets>
    <sheet name="SFY15Pmts" sheetId="56" r:id="rId1"/>
    <sheet name="SFY15_Low_Cost_Hospitals" sheetId="51" r:id="rId2"/>
    <sheet name="01-01-15_GME_Calculation" sheetId="55" r:id="rId3"/>
    <sheet name="DSH$100,000" sheetId="57" r:id="rId4"/>
  </sheets>
  <externalReferences>
    <externalReference r:id="rId5"/>
    <externalReference r:id="rId6"/>
    <externalReference r:id="rId7"/>
  </externalReferences>
  <definedNames>
    <definedName name="\p" localSheetId="3">#REF!</definedName>
    <definedName name="\p" localSheetId="1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codes" localSheetId="3">#REF!</definedName>
    <definedName name="codes">#REF!</definedName>
    <definedName name="COPIES" localSheetId="1">#REF!</definedName>
    <definedName name="COPIES" localSheetId="0">#REF!</definedName>
    <definedName name="COPIES">#REF!</definedName>
    <definedName name="COUNTER" localSheetId="1">#REF!</definedName>
    <definedName name="COUNTER" localSheetId="0">#REF!</definedName>
    <definedName name="COUNTER">#REF!</definedName>
    <definedName name="FFY05_DSH_Query" localSheetId="1">#REF!</definedName>
    <definedName name="FFY05_DSH_Query" localSheetId="0">#REF!</definedName>
    <definedName name="FFY05_DSH_Query">#REF!</definedName>
    <definedName name="FFY05_DSH_QUERY_1" localSheetId="1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1" hidden="1">#REF!</definedName>
    <definedName name="hart." localSheetId="0" hidden="1">#REF!</definedName>
    <definedName name="hart." hidden="1">#REF!</definedName>
    <definedName name="main_content" localSheetId="3">'DSH$100,000'!$A$82</definedName>
    <definedName name="PRINT" localSheetId="1">#REF!</definedName>
    <definedName name="PRINT" localSheetId="0">#REF!</definedName>
    <definedName name="PRINT">#REF!</definedName>
    <definedName name="_xlnm.Print_Area" localSheetId="2">'01-01-15_GME_Calculation'!$A$1:$K$55</definedName>
    <definedName name="_xlnm.Print_Area" localSheetId="3">'DSH$100,000'!$A$1:$I$44</definedName>
    <definedName name="_xlnm.Print_Area" localSheetId="1">SFY15_Low_Cost_Hospitals!$A$1:$Q$40</definedName>
    <definedName name="_xlnm.Print_Area" localSheetId="0">SFY15Pmts!$A$1:$I$44</definedName>
    <definedName name="_xlnm.Print_Area">#REF!</definedName>
    <definedName name="PRINT_AREA_MI" localSheetId="3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3">#REF!</definedName>
    <definedName name="PRINT_TITLES_MI" localSheetId="1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1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B38" i="57" l="1"/>
  <c r="E35" i="57"/>
  <c r="C35" i="57"/>
  <c r="D35" i="57" s="1"/>
  <c r="F35" i="57" s="1"/>
  <c r="F34" i="57"/>
  <c r="D34" i="57"/>
  <c r="E33" i="57"/>
  <c r="C33" i="57"/>
  <c r="D33" i="57" s="1"/>
  <c r="F33" i="57" s="1"/>
  <c r="E32" i="57"/>
  <c r="C32" i="57"/>
  <c r="D32" i="57" s="1"/>
  <c r="E31" i="57"/>
  <c r="C31" i="57"/>
  <c r="D31" i="57" s="1"/>
  <c r="F31" i="57" s="1"/>
  <c r="E30" i="57"/>
  <c r="C30" i="57"/>
  <c r="D30" i="57" s="1"/>
  <c r="E29" i="57"/>
  <c r="C29" i="57"/>
  <c r="D29" i="57" s="1"/>
  <c r="F29" i="57" s="1"/>
  <c r="E28" i="57"/>
  <c r="C28" i="57"/>
  <c r="D28" i="57" s="1"/>
  <c r="D27" i="57"/>
  <c r="F27" i="57" s="1"/>
  <c r="E26" i="57"/>
  <c r="C26" i="57"/>
  <c r="D26" i="57" s="1"/>
  <c r="F26" i="57" s="1"/>
  <c r="D25" i="57"/>
  <c r="F25" i="57" s="1"/>
  <c r="D24" i="57"/>
  <c r="F24" i="57" s="1"/>
  <c r="E23" i="57"/>
  <c r="C23" i="57"/>
  <c r="D23" i="57" s="1"/>
  <c r="F23" i="57" s="1"/>
  <c r="E22" i="57"/>
  <c r="C22" i="57"/>
  <c r="D22" i="57" s="1"/>
  <c r="E21" i="57"/>
  <c r="C21" i="57"/>
  <c r="D21" i="57" s="1"/>
  <c r="F21" i="57" s="1"/>
  <c r="E20" i="57"/>
  <c r="C20" i="57"/>
  <c r="D20" i="57" s="1"/>
  <c r="E19" i="57"/>
  <c r="C19" i="57"/>
  <c r="D19" i="57" s="1"/>
  <c r="F19" i="57" s="1"/>
  <c r="E18" i="57"/>
  <c r="C18" i="57"/>
  <c r="D18" i="57" s="1"/>
  <c r="E17" i="57"/>
  <c r="C17" i="57"/>
  <c r="D17" i="57" s="1"/>
  <c r="F17" i="57" s="1"/>
  <c r="E16" i="57"/>
  <c r="C16" i="57"/>
  <c r="D16" i="57" s="1"/>
  <c r="C15" i="57"/>
  <c r="D15" i="57" s="1"/>
  <c r="F15" i="57" s="1"/>
  <c r="E14" i="57"/>
  <c r="C14" i="57"/>
  <c r="D14" i="57" s="1"/>
  <c r="E13" i="57"/>
  <c r="C13" i="57"/>
  <c r="D13" i="57" s="1"/>
  <c r="F13" i="57" s="1"/>
  <c r="E12" i="57"/>
  <c r="C12" i="57"/>
  <c r="D12" i="57" s="1"/>
  <c r="E11" i="57"/>
  <c r="C11" i="57"/>
  <c r="D11" i="57" s="1"/>
  <c r="F11" i="57" s="1"/>
  <c r="E10" i="57"/>
  <c r="C10" i="57"/>
  <c r="D10" i="57" s="1"/>
  <c r="E9" i="57"/>
  <c r="C9" i="57"/>
  <c r="D9" i="57" s="1"/>
  <c r="F9" i="57" s="1"/>
  <c r="E8" i="57"/>
  <c r="E38" i="57" s="1"/>
  <c r="C8" i="57"/>
  <c r="F16" i="57" l="1"/>
  <c r="F18" i="57"/>
  <c r="F20" i="57"/>
  <c r="F22" i="57"/>
  <c r="C38" i="57"/>
  <c r="F10" i="57"/>
  <c r="F12" i="57"/>
  <c r="F14" i="57"/>
  <c r="F28" i="57"/>
  <c r="F30" i="57"/>
  <c r="F32" i="57"/>
  <c r="D8" i="57"/>
  <c r="F8" i="57" l="1"/>
  <c r="D38" i="57"/>
  <c r="F39" i="57" l="1"/>
  <c r="F38" i="57"/>
  <c r="G14" i="57" l="1"/>
  <c r="G29" i="57"/>
  <c r="G13" i="57"/>
  <c r="G33" i="57"/>
  <c r="F40" i="57"/>
  <c r="G38" i="57" l="1"/>
  <c r="H33" i="57" s="1"/>
  <c r="I33" i="57" s="1"/>
  <c r="H14" i="57" l="1"/>
  <c r="I14" i="57" s="1"/>
  <c r="H29" i="57"/>
  <c r="I29" i="57" s="1"/>
  <c r="H13" i="57"/>
  <c r="I13" i="57"/>
  <c r="D37" i="56"/>
  <c r="E37" i="56" s="1"/>
  <c r="F37" i="56" s="1"/>
  <c r="C37" i="56"/>
  <c r="C38" i="56" s="1"/>
  <c r="E36" i="56"/>
  <c r="F36" i="56" s="1"/>
  <c r="H36" i="56" s="1"/>
  <c r="D36" i="56"/>
  <c r="D35" i="56"/>
  <c r="E35" i="56" s="1"/>
  <c r="F35" i="56" s="1"/>
  <c r="E34" i="56"/>
  <c r="F34" i="56" s="1"/>
  <c r="D34" i="56"/>
  <c r="E33" i="56"/>
  <c r="F33" i="56" s="1"/>
  <c r="H33" i="56" s="1"/>
  <c r="D33" i="56"/>
  <c r="D32" i="56"/>
  <c r="E32" i="56" s="1"/>
  <c r="F32" i="56" s="1"/>
  <c r="E31" i="56"/>
  <c r="F31" i="56" s="1"/>
  <c r="D31" i="56"/>
  <c r="D30" i="56"/>
  <c r="E30" i="56" s="1"/>
  <c r="F30" i="56" s="1"/>
  <c r="D29" i="56"/>
  <c r="E29" i="56" s="1"/>
  <c r="F29" i="56" s="1"/>
  <c r="H29" i="56" s="1"/>
  <c r="E28" i="56"/>
  <c r="F28" i="56" s="1"/>
  <c r="D28" i="56"/>
  <c r="E27" i="56"/>
  <c r="F27" i="56" s="1"/>
  <c r="H27" i="56" s="1"/>
  <c r="D27" i="56"/>
  <c r="E26" i="56"/>
  <c r="F26" i="56" s="1"/>
  <c r="H26" i="56" s="1"/>
  <c r="D26" i="56"/>
  <c r="D25" i="56"/>
  <c r="E25" i="56" s="1"/>
  <c r="F25" i="56" s="1"/>
  <c r="D24" i="56"/>
  <c r="E24" i="56" s="1"/>
  <c r="F24" i="56" s="1"/>
  <c r="H24" i="56" s="1"/>
  <c r="D23" i="56"/>
  <c r="E23" i="56" s="1"/>
  <c r="F23" i="56" s="1"/>
  <c r="H23" i="56" s="1"/>
  <c r="E22" i="56"/>
  <c r="F22" i="56" s="1"/>
  <c r="D22" i="56"/>
  <c r="E21" i="56"/>
  <c r="F21" i="56" s="1"/>
  <c r="H21" i="56" s="1"/>
  <c r="D21" i="56"/>
  <c r="E20" i="56"/>
  <c r="F20" i="56" s="1"/>
  <c r="H20" i="56" s="1"/>
  <c r="D20" i="56"/>
  <c r="D19" i="56"/>
  <c r="E19" i="56" s="1"/>
  <c r="F19" i="56" s="1"/>
  <c r="E18" i="56"/>
  <c r="F18" i="56" s="1"/>
  <c r="D18" i="56"/>
  <c r="D17" i="56"/>
  <c r="E17" i="56" s="1"/>
  <c r="F17" i="56" s="1"/>
  <c r="E16" i="56"/>
  <c r="F16" i="56" s="1"/>
  <c r="D16" i="56"/>
  <c r="E15" i="56"/>
  <c r="F15" i="56" s="1"/>
  <c r="D14" i="56"/>
  <c r="E14" i="56" s="1"/>
  <c r="F14" i="56" s="1"/>
  <c r="H14" i="56" s="1"/>
  <c r="E13" i="56"/>
  <c r="F13" i="56" s="1"/>
  <c r="D13" i="56"/>
  <c r="F12" i="56"/>
  <c r="D11" i="56"/>
  <c r="E11" i="56" s="1"/>
  <c r="F11" i="56" s="1"/>
  <c r="H11" i="56" s="1"/>
  <c r="E10" i="56"/>
  <c r="F10" i="56" s="1"/>
  <c r="D10" i="56"/>
  <c r="E9" i="56"/>
  <c r="F9" i="56" s="1"/>
  <c r="D9" i="56"/>
  <c r="H38" i="57" l="1"/>
  <c r="I38" i="57"/>
  <c r="F38" i="56"/>
  <c r="H9" i="56"/>
  <c r="D38" i="56"/>
  <c r="E38" i="56"/>
  <c r="D72" i="55"/>
  <c r="C72" i="55"/>
  <c r="C74" i="55" s="1"/>
  <c r="J46" i="55"/>
  <c r="I46" i="55"/>
  <c r="H46" i="55"/>
  <c r="G46" i="55"/>
  <c r="F46" i="55"/>
  <c r="E46" i="55"/>
  <c r="D46" i="55"/>
  <c r="C46" i="55"/>
  <c r="J40" i="55"/>
  <c r="I40" i="55"/>
  <c r="H40" i="55"/>
  <c r="G40" i="55"/>
  <c r="F40" i="55"/>
  <c r="E40" i="55"/>
  <c r="D40" i="55"/>
  <c r="C40" i="55"/>
  <c r="J39" i="55"/>
  <c r="J41" i="55" s="1"/>
  <c r="I39" i="55"/>
  <c r="I41" i="55" s="1"/>
  <c r="H39" i="55"/>
  <c r="H41" i="55" s="1"/>
  <c r="G39" i="55"/>
  <c r="G41" i="55" s="1"/>
  <c r="F39" i="55"/>
  <c r="F41" i="55" s="1"/>
  <c r="E39" i="55"/>
  <c r="E41" i="55" s="1"/>
  <c r="D39" i="55"/>
  <c r="D41" i="55" s="1"/>
  <c r="C39" i="55"/>
  <c r="C41" i="55" s="1"/>
  <c r="J36" i="55"/>
  <c r="J49" i="55" s="1"/>
  <c r="I36" i="55"/>
  <c r="I49" i="55" s="1"/>
  <c r="H36" i="55"/>
  <c r="H49" i="55" s="1"/>
  <c r="G36" i="55"/>
  <c r="G49" i="55" s="1"/>
  <c r="F36" i="55"/>
  <c r="F49" i="55" s="1"/>
  <c r="E36" i="55"/>
  <c r="E49" i="55" s="1"/>
  <c r="D36" i="55"/>
  <c r="D49" i="55" s="1"/>
  <c r="C36" i="55"/>
  <c r="C49" i="55" s="1"/>
  <c r="K20" i="55"/>
  <c r="J20" i="55"/>
  <c r="I20" i="55"/>
  <c r="H20" i="55"/>
  <c r="G20" i="55"/>
  <c r="F20" i="55"/>
  <c r="E20" i="55"/>
  <c r="D20" i="55"/>
  <c r="C20" i="55"/>
  <c r="H15" i="55"/>
  <c r="D15" i="55"/>
  <c r="K14" i="55"/>
  <c r="J14" i="55"/>
  <c r="I14" i="55"/>
  <c r="H14" i="55"/>
  <c r="G14" i="55"/>
  <c r="F14" i="55"/>
  <c r="E14" i="55"/>
  <c r="C14" i="55"/>
  <c r="K13" i="55"/>
  <c r="K15" i="55" s="1"/>
  <c r="J13" i="55"/>
  <c r="J15" i="55" s="1"/>
  <c r="I13" i="55"/>
  <c r="I15" i="55" s="1"/>
  <c r="H13" i="55"/>
  <c r="G13" i="55"/>
  <c r="G15" i="55" s="1"/>
  <c r="F13" i="55"/>
  <c r="F15" i="55" s="1"/>
  <c r="E13" i="55"/>
  <c r="E15" i="55" s="1"/>
  <c r="D13" i="55"/>
  <c r="C13" i="55"/>
  <c r="C15" i="55" s="1"/>
  <c r="K10" i="55"/>
  <c r="K23" i="55" s="1"/>
  <c r="J10" i="55"/>
  <c r="I10" i="55"/>
  <c r="I23" i="55" s="1"/>
  <c r="I24" i="55" s="1"/>
  <c r="I26" i="55" s="1"/>
  <c r="G18" i="56" s="1"/>
  <c r="H18" i="56" s="1"/>
  <c r="H10" i="55"/>
  <c r="H23" i="55" s="1"/>
  <c r="G10" i="55"/>
  <c r="G23" i="55" s="1"/>
  <c r="F10" i="55"/>
  <c r="E10" i="55"/>
  <c r="E23" i="55" s="1"/>
  <c r="E24" i="55" s="1"/>
  <c r="E26" i="55" s="1"/>
  <c r="G13" i="56" s="1"/>
  <c r="H13" i="56" s="1"/>
  <c r="D10" i="55"/>
  <c r="D23" i="55" s="1"/>
  <c r="C10" i="55"/>
  <c r="C23" i="55" s="1"/>
  <c r="C24" i="55" l="1"/>
  <c r="C26" i="55" s="1"/>
  <c r="G10" i="56" s="1"/>
  <c r="G24" i="55"/>
  <c r="G26" i="55" s="1"/>
  <c r="G16" i="56" s="1"/>
  <c r="H16" i="56" s="1"/>
  <c r="K24" i="55"/>
  <c r="K26" i="55" s="1"/>
  <c r="G22" i="56" s="1"/>
  <c r="H22" i="56" s="1"/>
  <c r="F50" i="55"/>
  <c r="F52" i="55" s="1"/>
  <c r="G31" i="56" s="1"/>
  <c r="H31" i="56" s="1"/>
  <c r="J50" i="55"/>
  <c r="J52" i="55" s="1"/>
  <c r="G37" i="56" s="1"/>
  <c r="H37" i="56" s="1"/>
  <c r="D24" i="55"/>
  <c r="D26" i="55" s="1"/>
  <c r="G12" i="56" s="1"/>
  <c r="H12" i="56" s="1"/>
  <c r="H24" i="55"/>
  <c r="H26" i="55" s="1"/>
  <c r="G17" i="56" s="1"/>
  <c r="H17" i="56" s="1"/>
  <c r="C50" i="55"/>
  <c r="C52" i="55" s="1"/>
  <c r="G25" i="56" s="1"/>
  <c r="H25" i="56" s="1"/>
  <c r="G50" i="55"/>
  <c r="G52" i="55" s="1"/>
  <c r="G32" i="56" s="1"/>
  <c r="H32" i="56" s="1"/>
  <c r="D50" i="55"/>
  <c r="D52" i="55" s="1"/>
  <c r="G28" i="56" s="1"/>
  <c r="H28" i="56" s="1"/>
  <c r="H50" i="55"/>
  <c r="H52" i="55" s="1"/>
  <c r="G34" i="56" s="1"/>
  <c r="H34" i="56" s="1"/>
  <c r="F23" i="55"/>
  <c r="F24" i="55" s="1"/>
  <c r="F26" i="55" s="1"/>
  <c r="G15" i="56" s="1"/>
  <c r="H15" i="56" s="1"/>
  <c r="J23" i="55"/>
  <c r="J24" i="55" s="1"/>
  <c r="J26" i="55" s="1"/>
  <c r="G19" i="56" s="1"/>
  <c r="H19" i="56" s="1"/>
  <c r="E50" i="55"/>
  <c r="E52" i="55" s="1"/>
  <c r="G30" i="56" s="1"/>
  <c r="H30" i="56" s="1"/>
  <c r="I50" i="55"/>
  <c r="I52" i="55" s="1"/>
  <c r="G35" i="56" s="1"/>
  <c r="H35" i="56" s="1"/>
  <c r="G38" i="56" l="1"/>
  <c r="H10" i="56"/>
  <c r="H38" i="56" s="1"/>
  <c r="I12" i="51" l="1"/>
  <c r="H12" i="51"/>
  <c r="U12" i="51" s="1"/>
  <c r="G12" i="51"/>
  <c r="E12" i="51"/>
  <c r="D12" i="51"/>
  <c r="C12" i="51"/>
  <c r="F12" i="51" l="1"/>
  <c r="K39" i="51" l="1"/>
  <c r="B39" i="51"/>
  <c r="I38" i="51"/>
  <c r="H38" i="51"/>
  <c r="U38" i="51" s="1"/>
  <c r="G38" i="51"/>
  <c r="E38" i="51"/>
  <c r="D38" i="51"/>
  <c r="C38" i="51"/>
  <c r="I37" i="51"/>
  <c r="H37" i="51"/>
  <c r="U37" i="51" s="1"/>
  <c r="G37" i="51"/>
  <c r="E37" i="51"/>
  <c r="D37" i="51"/>
  <c r="C37" i="51"/>
  <c r="I36" i="51"/>
  <c r="H36" i="51"/>
  <c r="U36" i="51" s="1"/>
  <c r="G36" i="51"/>
  <c r="E36" i="51"/>
  <c r="D36" i="51"/>
  <c r="C36" i="51"/>
  <c r="I35" i="51"/>
  <c r="H35" i="51"/>
  <c r="U35" i="51" s="1"/>
  <c r="G35" i="51"/>
  <c r="E35" i="51"/>
  <c r="D35" i="51"/>
  <c r="C35" i="51"/>
  <c r="I34" i="51"/>
  <c r="H34" i="51"/>
  <c r="U34" i="51" s="1"/>
  <c r="G34" i="51"/>
  <c r="E34" i="51"/>
  <c r="D34" i="51"/>
  <c r="C34" i="51"/>
  <c r="I33" i="51"/>
  <c r="H33" i="51"/>
  <c r="U33" i="51" s="1"/>
  <c r="G33" i="51"/>
  <c r="E33" i="51"/>
  <c r="D33" i="51"/>
  <c r="C33" i="51"/>
  <c r="I32" i="51"/>
  <c r="H32" i="51"/>
  <c r="U32" i="51" s="1"/>
  <c r="G32" i="51"/>
  <c r="E32" i="51"/>
  <c r="D32" i="51"/>
  <c r="C32" i="51"/>
  <c r="I31" i="51"/>
  <c r="H31" i="51"/>
  <c r="U31" i="51" s="1"/>
  <c r="G31" i="51"/>
  <c r="E31" i="51"/>
  <c r="D31" i="51"/>
  <c r="C31" i="51"/>
  <c r="I30" i="51"/>
  <c r="H30" i="51"/>
  <c r="U30" i="51" s="1"/>
  <c r="G30" i="51"/>
  <c r="E30" i="51"/>
  <c r="D30" i="51"/>
  <c r="C30" i="51"/>
  <c r="I29" i="51"/>
  <c r="H29" i="51"/>
  <c r="U29" i="51" s="1"/>
  <c r="G29" i="51"/>
  <c r="E29" i="51"/>
  <c r="D29" i="51"/>
  <c r="C29" i="51"/>
  <c r="I28" i="51"/>
  <c r="H28" i="51"/>
  <c r="U28" i="51" s="1"/>
  <c r="G28" i="51"/>
  <c r="E28" i="51"/>
  <c r="D28" i="51"/>
  <c r="C28" i="51"/>
  <c r="I27" i="51"/>
  <c r="H27" i="51"/>
  <c r="U27" i="51" s="1"/>
  <c r="G27" i="51"/>
  <c r="E27" i="51"/>
  <c r="D27" i="51"/>
  <c r="C27" i="51"/>
  <c r="I26" i="51"/>
  <c r="H26" i="51"/>
  <c r="U26" i="51" s="1"/>
  <c r="G26" i="51"/>
  <c r="E26" i="51"/>
  <c r="D26" i="51"/>
  <c r="C26" i="51"/>
  <c r="I25" i="51"/>
  <c r="H25" i="51"/>
  <c r="U25" i="51" s="1"/>
  <c r="G25" i="51"/>
  <c r="E25" i="51"/>
  <c r="D25" i="51"/>
  <c r="C25" i="51"/>
  <c r="I24" i="51"/>
  <c r="H24" i="51"/>
  <c r="U24" i="51" s="1"/>
  <c r="G24" i="51"/>
  <c r="E24" i="51"/>
  <c r="D24" i="51"/>
  <c r="C24" i="51"/>
  <c r="I23" i="51"/>
  <c r="H23" i="51"/>
  <c r="U23" i="51" s="1"/>
  <c r="G23" i="51"/>
  <c r="E23" i="51"/>
  <c r="D23" i="51"/>
  <c r="C23" i="51"/>
  <c r="I22" i="51"/>
  <c r="H22" i="51"/>
  <c r="U22" i="51" s="1"/>
  <c r="G22" i="51"/>
  <c r="E22" i="51"/>
  <c r="D22" i="51"/>
  <c r="C22" i="51"/>
  <c r="I21" i="51"/>
  <c r="H21" i="51"/>
  <c r="U21" i="51" s="1"/>
  <c r="G21" i="51"/>
  <c r="E21" i="51"/>
  <c r="D21" i="51"/>
  <c r="C21" i="51"/>
  <c r="I20" i="51"/>
  <c r="H20" i="51"/>
  <c r="U20" i="51" s="1"/>
  <c r="G20" i="51"/>
  <c r="E20" i="51"/>
  <c r="D20" i="51"/>
  <c r="C20" i="51"/>
  <c r="I19" i="51"/>
  <c r="H19" i="51"/>
  <c r="U19" i="51" s="1"/>
  <c r="G19" i="51"/>
  <c r="E19" i="51"/>
  <c r="D19" i="51"/>
  <c r="C19" i="51"/>
  <c r="I18" i="51"/>
  <c r="H18" i="51"/>
  <c r="U18" i="51" s="1"/>
  <c r="G18" i="51"/>
  <c r="E18" i="51"/>
  <c r="D18" i="51"/>
  <c r="C18" i="51"/>
  <c r="I17" i="51"/>
  <c r="H17" i="51"/>
  <c r="U17" i="51" s="1"/>
  <c r="G17" i="51"/>
  <c r="E17" i="51"/>
  <c r="D17" i="51"/>
  <c r="C17" i="51"/>
  <c r="I16" i="51"/>
  <c r="H16" i="51"/>
  <c r="U16" i="51" s="1"/>
  <c r="G16" i="51"/>
  <c r="E16" i="51"/>
  <c r="D16" i="51"/>
  <c r="C16" i="51"/>
  <c r="I15" i="51"/>
  <c r="H15" i="51"/>
  <c r="U15" i="51" s="1"/>
  <c r="G15" i="51"/>
  <c r="E15" i="51"/>
  <c r="D15" i="51"/>
  <c r="C15" i="51"/>
  <c r="I14" i="51"/>
  <c r="H14" i="51"/>
  <c r="U14" i="51" s="1"/>
  <c r="G14" i="51"/>
  <c r="E14" i="51"/>
  <c r="D14" i="51"/>
  <c r="C14" i="51"/>
  <c r="I13" i="51"/>
  <c r="H13" i="51"/>
  <c r="U13" i="51" s="1"/>
  <c r="G13" i="51"/>
  <c r="E13" i="51"/>
  <c r="D13" i="51"/>
  <c r="C13" i="51"/>
  <c r="J12" i="51"/>
  <c r="I11" i="51"/>
  <c r="H11" i="51"/>
  <c r="U11" i="51" s="1"/>
  <c r="G11" i="51"/>
  <c r="E11" i="51"/>
  <c r="D11" i="51"/>
  <c r="C11" i="51"/>
  <c r="I10" i="51"/>
  <c r="H10" i="51"/>
  <c r="U10" i="51" s="1"/>
  <c r="G10" i="51"/>
  <c r="E10" i="51"/>
  <c r="D10" i="51"/>
  <c r="C10" i="51"/>
  <c r="I9" i="51"/>
  <c r="H9" i="51"/>
  <c r="U9" i="51" s="1"/>
  <c r="G9" i="51"/>
  <c r="E9" i="51"/>
  <c r="D9" i="51"/>
  <c r="C9" i="51"/>
  <c r="L8" i="51"/>
  <c r="M8" i="51" s="1"/>
  <c r="D8" i="51"/>
  <c r="E8" i="51" s="1"/>
  <c r="G8" i="51" s="1"/>
  <c r="H8" i="51" s="1"/>
  <c r="I8" i="51" s="1"/>
  <c r="D4" i="51"/>
  <c r="E4" i="51" s="1"/>
  <c r="F4" i="51" s="1"/>
  <c r="G4" i="51" s="1"/>
  <c r="H4" i="51" s="1"/>
  <c r="I4" i="51" s="1"/>
  <c r="U39" i="51" l="1"/>
  <c r="F13" i="51"/>
  <c r="F17" i="51"/>
  <c r="F21" i="51"/>
  <c r="F25" i="51"/>
  <c r="F29" i="51"/>
  <c r="F33" i="51"/>
  <c r="F37" i="51"/>
  <c r="J14" i="51"/>
  <c r="J18" i="51"/>
  <c r="J22" i="51"/>
  <c r="J26" i="51"/>
  <c r="J30" i="51"/>
  <c r="J34" i="51"/>
  <c r="J38" i="51"/>
  <c r="J9" i="51"/>
  <c r="F14" i="51"/>
  <c r="F18" i="51"/>
  <c r="F22" i="51"/>
  <c r="F26" i="51"/>
  <c r="F30" i="51"/>
  <c r="F34" i="51"/>
  <c r="F38" i="51"/>
  <c r="J13" i="51"/>
  <c r="J17" i="51"/>
  <c r="J21" i="51"/>
  <c r="J25" i="51"/>
  <c r="J29" i="51"/>
  <c r="J33" i="51"/>
  <c r="J37" i="51"/>
  <c r="D39" i="51"/>
  <c r="G39" i="51"/>
  <c r="J10" i="51"/>
  <c r="J11" i="51"/>
  <c r="F15" i="51"/>
  <c r="F19" i="51"/>
  <c r="F23" i="51"/>
  <c r="F27" i="51"/>
  <c r="F31" i="51"/>
  <c r="F35" i="51"/>
  <c r="F9" i="51"/>
  <c r="F10" i="51"/>
  <c r="J16" i="51"/>
  <c r="J20" i="51"/>
  <c r="J24" i="51"/>
  <c r="J28" i="51"/>
  <c r="J32" i="51"/>
  <c r="J36" i="51"/>
  <c r="C39" i="51"/>
  <c r="E39" i="51"/>
  <c r="I39" i="51"/>
  <c r="F11" i="51"/>
  <c r="F16" i="51"/>
  <c r="F20" i="51"/>
  <c r="F24" i="51"/>
  <c r="F28" i="51"/>
  <c r="F32" i="51"/>
  <c r="F36" i="51"/>
  <c r="H39" i="51"/>
  <c r="J15" i="51"/>
  <c r="J19" i="51"/>
  <c r="J23" i="51"/>
  <c r="J27" i="51"/>
  <c r="J31" i="51"/>
  <c r="J35" i="51"/>
  <c r="U40" i="51" l="1"/>
  <c r="U41" i="51" s="1"/>
  <c r="B40" i="51" s="1"/>
  <c r="N6" i="51" s="1"/>
  <c r="F39" i="51"/>
  <c r="J39" i="51"/>
  <c r="F40" i="51"/>
  <c r="J40" i="51"/>
  <c r="N37" i="51" l="1"/>
  <c r="N21" i="51"/>
  <c r="N24" i="51"/>
  <c r="N14" i="51"/>
  <c r="N33" i="51"/>
  <c r="N36" i="51"/>
  <c r="N27" i="51"/>
  <c r="N10" i="51"/>
  <c r="N29" i="51"/>
  <c r="N13" i="51"/>
  <c r="N32" i="51"/>
  <c r="N16" i="51"/>
  <c r="N23" i="51"/>
  <c r="N26" i="51"/>
  <c r="N11" i="51"/>
  <c r="N25" i="51"/>
  <c r="N12" i="51"/>
  <c r="N28" i="51"/>
  <c r="N35" i="51"/>
  <c r="N19" i="51"/>
  <c r="N18" i="51"/>
  <c r="N38" i="51"/>
  <c r="N9" i="51"/>
  <c r="N31" i="51"/>
  <c r="N15" i="51"/>
  <c r="N34" i="51"/>
  <c r="N17" i="51"/>
  <c r="N20" i="51"/>
  <c r="N30" i="51"/>
  <c r="N22" i="51"/>
  <c r="M19" i="51"/>
  <c r="L9" i="51"/>
  <c r="L10" i="51" s="1"/>
  <c r="M9" i="51"/>
  <c r="M11" i="51"/>
  <c r="M35" i="51"/>
  <c r="M18" i="51"/>
  <c r="M16" i="51"/>
  <c r="M32" i="51"/>
  <c r="M30" i="51"/>
  <c r="M14" i="51"/>
  <c r="M29" i="51"/>
  <c r="M13" i="51"/>
  <c r="M20" i="51"/>
  <c r="M36" i="51"/>
  <c r="M26" i="51"/>
  <c r="M10" i="51"/>
  <c r="M25" i="51"/>
  <c r="M12" i="51"/>
  <c r="M24" i="51"/>
  <c r="M15" i="51"/>
  <c r="M31" i="51"/>
  <c r="M38" i="51"/>
  <c r="M22" i="51"/>
  <c r="M37" i="51"/>
  <c r="M21" i="51"/>
  <c r="M28" i="51"/>
  <c r="M34" i="51"/>
  <c r="M33" i="51"/>
  <c r="M17" i="51"/>
  <c r="M23" i="51"/>
  <c r="M27" i="51"/>
  <c r="N39" i="51" l="1"/>
  <c r="M39" i="51"/>
  <c r="O9" i="51"/>
  <c r="P9" i="51" s="1"/>
  <c r="L11" i="51"/>
  <c r="O10" i="51"/>
  <c r="Q9" i="51" l="1"/>
  <c r="P10" i="51"/>
  <c r="Q10" i="51" s="1"/>
  <c r="O11" i="51"/>
  <c r="L12" i="51"/>
  <c r="L13" i="51" l="1"/>
  <c r="O12" i="51"/>
  <c r="P12" i="51" s="1"/>
  <c r="Q12" i="51" s="1"/>
  <c r="P11" i="51"/>
  <c r="Q11" i="51" s="1"/>
  <c r="L14" i="51" l="1"/>
  <c r="O13" i="51"/>
  <c r="P13" i="51" s="1"/>
  <c r="Q13" i="51" s="1"/>
  <c r="L15" i="51" l="1"/>
  <c r="O14" i="51"/>
  <c r="O15" i="51" l="1"/>
  <c r="P15" i="51" s="1"/>
  <c r="Q15" i="51" s="1"/>
  <c r="L16" i="51"/>
  <c r="P14" i="51"/>
  <c r="Q14" i="51" s="1"/>
  <c r="O16" i="51" l="1"/>
  <c r="L17" i="51"/>
  <c r="L18" i="51" l="1"/>
  <c r="O17" i="51"/>
  <c r="P17" i="51" s="1"/>
  <c r="Q17" i="51" s="1"/>
  <c r="P16" i="51"/>
  <c r="Q16" i="51" s="1"/>
  <c r="L19" i="51" l="1"/>
  <c r="O18" i="51"/>
  <c r="P18" i="51" s="1"/>
  <c r="Q18" i="51" s="1"/>
  <c r="O19" i="51" l="1"/>
  <c r="P19" i="51" s="1"/>
  <c r="Q19" i="51" s="1"/>
  <c r="L20" i="51"/>
  <c r="O20" i="51" l="1"/>
  <c r="P20" i="51" s="1"/>
  <c r="Q20" i="51" s="1"/>
  <c r="L21" i="51"/>
  <c r="L22" i="51" l="1"/>
  <c r="O21" i="51"/>
  <c r="P21" i="51" s="1"/>
  <c r="Q21" i="51" s="1"/>
  <c r="L23" i="51" l="1"/>
  <c r="O22" i="51"/>
  <c r="P22" i="51" s="1"/>
  <c r="Q22" i="51" s="1"/>
  <c r="O23" i="51" l="1"/>
  <c r="P23" i="51" s="1"/>
  <c r="Q23" i="51" s="1"/>
  <c r="L24" i="51"/>
  <c r="O24" i="51" l="1"/>
  <c r="P24" i="51" s="1"/>
  <c r="Q24" i="51" s="1"/>
  <c r="L25" i="51"/>
  <c r="L26" i="51" l="1"/>
  <c r="O25" i="51"/>
  <c r="P25" i="51" s="1"/>
  <c r="Q25" i="51" s="1"/>
  <c r="L27" i="51" l="1"/>
  <c r="O26" i="51"/>
  <c r="P26" i="51" s="1"/>
  <c r="Q26" i="51" s="1"/>
  <c r="O27" i="51" l="1"/>
  <c r="P27" i="51" s="1"/>
  <c r="Q27" i="51" s="1"/>
  <c r="L28" i="51"/>
  <c r="O28" i="51" l="1"/>
  <c r="P28" i="51" s="1"/>
  <c r="Q28" i="51" s="1"/>
  <c r="L29" i="51"/>
  <c r="L30" i="51" l="1"/>
  <c r="O29" i="51"/>
  <c r="P29" i="51" s="1"/>
  <c r="Q29" i="51" s="1"/>
  <c r="L31" i="51" l="1"/>
  <c r="O30" i="51"/>
  <c r="P30" i="51" s="1"/>
  <c r="Q30" i="51" s="1"/>
  <c r="O31" i="51" l="1"/>
  <c r="P31" i="51" s="1"/>
  <c r="Q31" i="51" s="1"/>
  <c r="L32" i="51"/>
  <c r="O32" i="51" l="1"/>
  <c r="L33" i="51"/>
  <c r="P32" i="51" l="1"/>
  <c r="Q32" i="51" s="1"/>
  <c r="L34" i="51"/>
  <c r="O33" i="51"/>
  <c r="P33" i="51" s="1"/>
  <c r="Q33" i="51" s="1"/>
  <c r="L35" i="51" l="1"/>
  <c r="O34" i="51"/>
  <c r="P34" i="51" l="1"/>
  <c r="Q34" i="51" s="1"/>
  <c r="O35" i="51"/>
  <c r="P35" i="51" s="1"/>
  <c r="Q35" i="51" s="1"/>
  <c r="L36" i="51"/>
  <c r="O36" i="51" l="1"/>
  <c r="L37" i="51"/>
  <c r="P36" i="51" l="1"/>
  <c r="Q36" i="51" s="1"/>
  <c r="L38" i="51"/>
  <c r="O37" i="51"/>
  <c r="P37" i="51" s="1"/>
  <c r="Q37" i="51" s="1"/>
  <c r="O38" i="51" l="1"/>
  <c r="L39" i="51"/>
  <c r="P38" i="51" l="1"/>
  <c r="Q38" i="51" s="1"/>
  <c r="O39" i="51"/>
  <c r="P39" i="51" s="1"/>
  <c r="Q39" i="51" l="1"/>
</calcChain>
</file>

<file path=xl/sharedStrings.xml><?xml version="1.0" encoding="utf-8"?>
<sst xmlns="http://schemas.openxmlformats.org/spreadsheetml/2006/main" count="273" uniqueCount="194">
  <si>
    <t>TOTAL</t>
  </si>
  <si>
    <t>WINDHAM</t>
  </si>
  <si>
    <t xml:space="preserve">WATERBURY </t>
  </si>
  <si>
    <t xml:space="preserve">STAMFORD </t>
  </si>
  <si>
    <t xml:space="preserve">SHARON </t>
  </si>
  <si>
    <t>ST VINCENTS</t>
  </si>
  <si>
    <t>ST RAPHAEL</t>
  </si>
  <si>
    <t xml:space="preserve">ST MARYS </t>
  </si>
  <si>
    <t>ST FRANCIS</t>
  </si>
  <si>
    <t>ROCKVILLE</t>
  </si>
  <si>
    <t xml:space="preserve">NORWALK </t>
  </si>
  <si>
    <t xml:space="preserve">NEW MILFORD </t>
  </si>
  <si>
    <t xml:space="preserve">MILFORD </t>
  </si>
  <si>
    <t xml:space="preserve">MIDSTATE </t>
  </si>
  <si>
    <t xml:space="preserve">MIDDLESEX </t>
  </si>
  <si>
    <t>MANCHESTER</t>
  </si>
  <si>
    <t>JOHNSON</t>
  </si>
  <si>
    <t xml:space="preserve">HUNGERFORD </t>
  </si>
  <si>
    <t xml:space="preserve">HARTFORD </t>
  </si>
  <si>
    <t xml:space="preserve">GRIFFIN </t>
  </si>
  <si>
    <t>GREENWICH</t>
  </si>
  <si>
    <t xml:space="preserve">DAY KIMBALL </t>
  </si>
  <si>
    <t xml:space="preserve">DANBURY </t>
  </si>
  <si>
    <t>CT CHILDRENS</t>
  </si>
  <si>
    <t xml:space="preserve">BRISTOL </t>
  </si>
  <si>
    <t xml:space="preserve">BRIDGEPORT </t>
  </si>
  <si>
    <t xml:space="preserve">BACKUS </t>
  </si>
  <si>
    <t>Total</t>
  </si>
  <si>
    <t>HOSP. CEN. CT</t>
  </si>
  <si>
    <t>L &amp; M</t>
  </si>
  <si>
    <t>YALE</t>
  </si>
  <si>
    <t>DEMPSEY</t>
  </si>
  <si>
    <t>Net  Revenue</t>
  </si>
  <si>
    <t>Under</t>
  </si>
  <si>
    <t>Medicare &amp;</t>
  </si>
  <si>
    <t>Inc. to Min.</t>
  </si>
  <si>
    <t>Operating</t>
  </si>
  <si>
    <t>Exp. Per</t>
  </si>
  <si>
    <t>Medicare</t>
  </si>
  <si>
    <t xml:space="preserve">Medicaid </t>
  </si>
  <si>
    <t>Total All</t>
  </si>
  <si>
    <t xml:space="preserve">Medicare </t>
  </si>
  <si>
    <t xml:space="preserve">Medicare &amp; </t>
  </si>
  <si>
    <t>Expense</t>
  </si>
  <si>
    <t>XIX Vol. %</t>
  </si>
  <si>
    <t>Case Rate</t>
  </si>
  <si>
    <t>Case Rate of:</t>
  </si>
  <si>
    <t>Hospital</t>
  </si>
  <si>
    <t>Expenses</t>
  </si>
  <si>
    <t>CMAD</t>
  </si>
  <si>
    <t>OPED</t>
  </si>
  <si>
    <t>CMAED</t>
  </si>
  <si>
    <t>Discharges</t>
  </si>
  <si>
    <t>&amp; XIX %</t>
  </si>
  <si>
    <t>Medicaid %</t>
  </si>
  <si>
    <t>Per CMAED</t>
  </si>
  <si>
    <t>Above Avg.</t>
  </si>
  <si>
    <t>Qualify</t>
  </si>
  <si>
    <t>Calculation/</t>
  </si>
  <si>
    <t>(2)/(3+4)</t>
  </si>
  <si>
    <t xml:space="preserve">(5) hosp&lt; (5) </t>
  </si>
  <si>
    <t xml:space="preserve">(9) hosp&gt;(9) </t>
  </si>
  <si>
    <t>Source</t>
  </si>
  <si>
    <t>Totals/Avg.</t>
  </si>
  <si>
    <t>Weighted Avg</t>
  </si>
  <si>
    <t/>
  </si>
  <si>
    <t>FFY 2012</t>
  </si>
  <si>
    <t>OHCA - Rep. 550</t>
  </si>
  <si>
    <t>Low Cost, High Medicare &amp; Medicaid Payer % - SFY 2015</t>
  </si>
  <si>
    <t>Allocation</t>
  </si>
  <si>
    <t>Inpatient Supplemental Payments</t>
  </si>
  <si>
    <t>Low Cost Hospital Supplemental Payments</t>
  </si>
  <si>
    <t>YALE incl. ST RAPHAEL</t>
  </si>
  <si>
    <t>Main Inpatient Medicaid ID</t>
  </si>
  <si>
    <t xml:space="preserve">004041620 </t>
  </si>
  <si>
    <t xml:space="preserve">004041638 </t>
  </si>
  <si>
    <t xml:space="preserve">004041653 </t>
  </si>
  <si>
    <t xml:space="preserve">004041661 </t>
  </si>
  <si>
    <t xml:space="preserve">004041679 </t>
  </si>
  <si>
    <t xml:space="preserve">004041687 </t>
  </si>
  <si>
    <t xml:space="preserve">004041703 </t>
  </si>
  <si>
    <t xml:space="preserve">004041711 </t>
  </si>
  <si>
    <t xml:space="preserve">004041729 </t>
  </si>
  <si>
    <t xml:space="preserve">004041752 </t>
  </si>
  <si>
    <t xml:space="preserve">004041760 </t>
  </si>
  <si>
    <t xml:space="preserve">004041778 </t>
  </si>
  <si>
    <t xml:space="preserve">004041786 </t>
  </si>
  <si>
    <t xml:space="preserve">004041794 </t>
  </si>
  <si>
    <t xml:space="preserve">004041810 </t>
  </si>
  <si>
    <t xml:space="preserve">004041828 </t>
  </si>
  <si>
    <t xml:space="preserve">004041836 </t>
  </si>
  <si>
    <t xml:space="preserve">004041851 </t>
  </si>
  <si>
    <t xml:space="preserve">004041869 </t>
  </si>
  <si>
    <t xml:space="preserve">004041885 </t>
  </si>
  <si>
    <t xml:space="preserve">004041893 </t>
  </si>
  <si>
    <t xml:space="preserve">004041901 </t>
  </si>
  <si>
    <t xml:space="preserve">004041927 </t>
  </si>
  <si>
    <t xml:space="preserve">004041935 </t>
  </si>
  <si>
    <t xml:space="preserve">004041943 </t>
  </si>
  <si>
    <t xml:space="preserve">004041950 </t>
  </si>
  <si>
    <t xml:space="preserve">004221800 </t>
  </si>
  <si>
    <t>Total Quarterly Payments</t>
  </si>
  <si>
    <t>Bridgeport</t>
  </si>
  <si>
    <t>Ct. Childrens</t>
  </si>
  <si>
    <t>Danbury</t>
  </si>
  <si>
    <t>Dempsey</t>
  </si>
  <si>
    <t>Greenwich</t>
  </si>
  <si>
    <t>Griffin</t>
  </si>
  <si>
    <t>Hartford</t>
  </si>
  <si>
    <t>Lawrence &amp; Memorial</t>
  </si>
  <si>
    <t>Middlesex</t>
  </si>
  <si>
    <t>Norwalk</t>
  </si>
  <si>
    <t>St. Francis</t>
  </si>
  <si>
    <t>Saint Mary</t>
  </si>
  <si>
    <t>Saint Vincent</t>
  </si>
  <si>
    <t>Stamford</t>
  </si>
  <si>
    <t>Waterbury</t>
  </si>
  <si>
    <t>Yale</t>
  </si>
  <si>
    <t>Hospitals</t>
  </si>
  <si>
    <t>Hospital of Central CT.</t>
  </si>
  <si>
    <t xml:space="preserve">   Computation of Total Direct GME Amount</t>
  </si>
  <si>
    <t>Line 1</t>
  </si>
  <si>
    <t>Number of FTE Residents for OB\GYN &amp; Primary Care [MCR, wkst. E-4]</t>
  </si>
  <si>
    <t>Line 1a</t>
  </si>
  <si>
    <t>Number of FTE Residents for all other [MCR, wkst. E-4]</t>
  </si>
  <si>
    <t>Line 2</t>
  </si>
  <si>
    <t>Updated Per Resident Amount for OB\GYN &amp; Primary Care [MCR, wkst. E-4]</t>
  </si>
  <si>
    <t>Line 2a</t>
  </si>
  <si>
    <t>Updated Per Resident Amount for all other [ MCR, wkst. E-4]</t>
  </si>
  <si>
    <t>Line 3</t>
  </si>
  <si>
    <t>Aggregate Approved Amount [( lines 1 x 2) plus (lines 1a x 2a)] plus inflation</t>
  </si>
  <si>
    <t xml:space="preserve">   Computation of Program Patient Load</t>
  </si>
  <si>
    <t>Line 4</t>
  </si>
  <si>
    <t>Total Medicaid Inpatient Days minus Nursery days [MAR68C+Child Psych]</t>
  </si>
  <si>
    <t>Line 5</t>
  </si>
  <si>
    <t>Total Inpatient Days minus Nursery Days [MCR Wkst. S-3,  Pt. I, Col. 8]</t>
  </si>
  <si>
    <t>Line 6</t>
  </si>
  <si>
    <t>Ratio of Program Inpatient Days to Total Inpatient Days [line 4 / line 5]</t>
  </si>
  <si>
    <t xml:space="preserve">   Calculation of Inpatient Ratio</t>
  </si>
  <si>
    <t>Line 7</t>
  </si>
  <si>
    <t>Hospital Inpatient Service Revenue [MCR wkst G-2, Col. 1, line 28]</t>
  </si>
  <si>
    <t>Line 8</t>
  </si>
  <si>
    <t>Hospital Total Service Revenue [MCR wkst G-2, Col. 3, line 28]</t>
  </si>
  <si>
    <t>Line 9</t>
  </si>
  <si>
    <t>Ratio of Inpatient Service Revenue to Total [line 7 / line 8]</t>
  </si>
  <si>
    <t xml:space="preserve">   Allocation of Direct GME Costs to Medicaid Inpatient</t>
  </si>
  <si>
    <t>Line 10</t>
  </si>
  <si>
    <t>Medicaid GME Payment [line 3 x line 6]</t>
  </si>
  <si>
    <t>Line 11</t>
  </si>
  <si>
    <t>Inpatient Medicaid GME Payment [line 9 x line 10]</t>
  </si>
  <si>
    <t>Quarterly Payments</t>
  </si>
  <si>
    <t>Note: Line 3 is inflated by hospital inpatient market basket index as published by CMS.</t>
  </si>
  <si>
    <t>CCMC</t>
  </si>
  <si>
    <t>004159960</t>
  </si>
  <si>
    <t>004041968</t>
  </si>
  <si>
    <t>GME Quarterly Payment</t>
  </si>
  <si>
    <t>Note A</t>
  </si>
  <si>
    <t>Note A - Graduate Medical Education (GME) payments will be made on a quarterly basis starting with the 3rd quarter of SFY 2015.</t>
  </si>
  <si>
    <t>Note B</t>
  </si>
  <si>
    <t>Note B - New Milford's payment should be made to Danbury due to the merger.</t>
  </si>
  <si>
    <t>Quarterly Supplemental Payments</t>
  </si>
  <si>
    <t>Total Annual Supplemental Payments</t>
  </si>
  <si>
    <t>SFY 2015 Hospital Payments</t>
  </si>
  <si>
    <t>SFY 2015 Direct Graduate Medical Education (GME) based on FFY 2013 cost reports - Quarterly Payments effective January 1, 2015</t>
  </si>
  <si>
    <t xml:space="preserve">Inpatient Hospital Disproportionate Share </t>
  </si>
  <si>
    <t>FFY 2015 Per Diem Rates</t>
  </si>
  <si>
    <t>FFY 2013 Data</t>
  </si>
  <si>
    <t>Settlement Data</t>
  </si>
  <si>
    <t>10/1/12 - 9/30/13</t>
  </si>
  <si>
    <t xml:space="preserve"> MCR</t>
  </si>
  <si>
    <t>FFS Medicaid Days</t>
  </si>
  <si>
    <t>Child Psych Days</t>
  </si>
  <si>
    <t>Medicaid I/P Days</t>
  </si>
  <si>
    <t>S-3 Total Days - Medicare CR</t>
  </si>
  <si>
    <t>Utilization Rate</t>
  </si>
  <si>
    <t>Utilization Less Mean</t>
  </si>
  <si>
    <t>% of Total</t>
  </si>
  <si>
    <t>Allocation of Appropr.</t>
  </si>
  <si>
    <t>Backus</t>
  </si>
  <si>
    <t>Bristol</t>
  </si>
  <si>
    <t>Central CT</t>
  </si>
  <si>
    <t>Day Kimball</t>
  </si>
  <si>
    <t>Hungerford</t>
  </si>
  <si>
    <t>Johnson</t>
  </si>
  <si>
    <t>Lawrence &amp; Mem.</t>
  </si>
  <si>
    <t>Manchester</t>
  </si>
  <si>
    <t>Midstate</t>
  </si>
  <si>
    <t>Milford</t>
  </si>
  <si>
    <t>New Milford</t>
  </si>
  <si>
    <t>Rockville</t>
  </si>
  <si>
    <t>St. Mary's</t>
  </si>
  <si>
    <t>St. Vincent</t>
  </si>
  <si>
    <t>Sharon</t>
  </si>
  <si>
    <t>Windham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</si>
</sst>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&quot;$&quot;#,##0"/>
    <numFmt numFmtId="168" formatCode="&quot;$&quot;#,##0.00"/>
    <numFmt numFmtId="169" formatCode="_(&quot;$&quot;* #,##0_);_(&quot;$&quot;* \(#,##0\);_(&quot;$&quot;* &quot;-&quot;??_);_(@_)"/>
    <numFmt numFmtId="170" formatCode="_(* #,##0.000000_);_(* \(#,##0.000000\);_(* &quot;-&quot;??_);_(@_)"/>
    <numFmt numFmtId="171" formatCode="#,##0.000000_);\(#,##0.000000\)"/>
    <numFmt numFmtId="172" formatCode="0.0000%"/>
    <numFmt numFmtId="173" formatCode="0.0000"/>
  </numFmts>
  <fonts count="33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u/>
      <sz val="14"/>
      <color indexed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008000"/>
      <name val="Arial"/>
      <family val="2"/>
    </font>
    <font>
      <sz val="10"/>
      <color rgb="FF0000FF"/>
      <name val="Arial"/>
      <family val="2"/>
    </font>
    <font>
      <b/>
      <sz val="12"/>
      <color rgb="FF7030A0"/>
      <name val="Arial"/>
      <family val="2"/>
    </font>
    <font>
      <sz val="10"/>
      <color rgb="FF800000"/>
      <name val="Arial"/>
      <family val="2"/>
    </font>
    <font>
      <b/>
      <sz val="10"/>
      <color rgb="FF80000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38" fontId="0" fillId="0" borderId="0"/>
    <xf numFmtId="3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38" fontId="3" fillId="0" borderId="0"/>
    <xf numFmtId="0" fontId="6" fillId="0" borderId="0"/>
    <xf numFmtId="0" fontId="16" fillId="0" borderId="0"/>
    <xf numFmtId="0" fontId="6" fillId="0" borderId="0"/>
    <xf numFmtId="0" fontId="9" fillId="0" borderId="0"/>
    <xf numFmtId="0" fontId="16" fillId="0" borderId="0"/>
    <xf numFmtId="0" fontId="10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47">
    <xf numFmtId="38" fontId="0" fillId="0" borderId="0" xfId="0"/>
    <xf numFmtId="167" fontId="6" fillId="0" borderId="0" xfId="14" applyNumberFormat="1" applyFont="1" applyBorder="1" applyAlignment="1">
      <alignment horizontal="right" wrapText="1"/>
    </xf>
    <xf numFmtId="0" fontId="6" fillId="0" borderId="0" xfId="16"/>
    <xf numFmtId="164" fontId="6" fillId="0" borderId="0" xfId="20" applyNumberFormat="1" applyFont="1" applyBorder="1" applyAlignment="1">
      <alignment horizontal="right" vertical="top"/>
    </xf>
    <xf numFmtId="0" fontId="12" fillId="0" borderId="0" xfId="16" applyFont="1" applyFill="1" applyBorder="1"/>
    <xf numFmtId="0" fontId="6" fillId="0" borderId="0" xfId="16" applyFont="1" applyBorder="1"/>
    <xf numFmtId="0" fontId="6" fillId="0" borderId="0" xfId="16" applyFont="1" applyBorder="1" applyAlignment="1">
      <alignment horizontal="center"/>
    </xf>
    <xf numFmtId="166" fontId="6" fillId="0" borderId="0" xfId="16" applyNumberFormat="1" applyFont="1" applyBorder="1" applyAlignment="1">
      <alignment horizontal="center"/>
    </xf>
    <xf numFmtId="0" fontId="6" fillId="0" borderId="0" xfId="16" applyBorder="1"/>
    <xf numFmtId="164" fontId="8" fillId="0" borderId="0" xfId="16" applyNumberFormat="1" applyFont="1"/>
    <xf numFmtId="0" fontId="6" fillId="0" borderId="0" xfId="16" applyFont="1" applyFill="1" applyBorder="1"/>
    <xf numFmtId="5" fontId="6" fillId="0" borderId="0" xfId="20" applyNumberFormat="1" applyFont="1" applyFill="1" applyBorder="1" applyAlignment="1">
      <alignment horizontal="right" vertical="top"/>
    </xf>
    <xf numFmtId="5" fontId="6" fillId="0" borderId="0" xfId="16" applyNumberFormat="1"/>
    <xf numFmtId="0" fontId="8" fillId="0" borderId="0" xfId="16" applyFont="1" applyFill="1" applyBorder="1"/>
    <xf numFmtId="0" fontId="6" fillId="0" borderId="0" xfId="16" applyFont="1" applyFill="1" applyBorder="1" applyAlignment="1">
      <alignment horizontal="center"/>
    </xf>
    <xf numFmtId="0" fontId="6" fillId="0" borderId="0" xfId="16" applyFont="1" applyFill="1" applyBorder="1" applyAlignment="1">
      <alignment horizontal="center" wrapText="1"/>
    </xf>
    <xf numFmtId="0" fontId="6" fillId="0" borderId="0" xfId="16" applyAlignment="1">
      <alignment horizontal="center"/>
    </xf>
    <xf numFmtId="166" fontId="8" fillId="0" borderId="0" xfId="21" applyNumberFormat="1" applyFont="1" applyFill="1" applyBorder="1" applyAlignment="1">
      <alignment horizontal="center"/>
    </xf>
    <xf numFmtId="0" fontId="6" fillId="0" borderId="0" xfId="16" applyFill="1" applyBorder="1"/>
    <xf numFmtId="0" fontId="14" fillId="0" borderId="0" xfId="16" applyFont="1" applyFill="1" applyBorder="1"/>
    <xf numFmtId="164" fontId="6" fillId="0" borderId="0" xfId="2" applyNumberFormat="1" applyFont="1" applyBorder="1" applyProtection="1">
      <protection locked="0"/>
    </xf>
    <xf numFmtId="5" fontId="18" fillId="0" borderId="0" xfId="16" applyNumberFormat="1" applyFont="1" applyBorder="1" applyProtection="1">
      <protection locked="0"/>
    </xf>
    <xf numFmtId="166" fontId="17" fillId="0" borderId="0" xfId="16" applyNumberFormat="1" applyFont="1" applyFill="1" applyBorder="1" applyAlignment="1" applyProtection="1">
      <alignment horizontal="center" wrapText="1"/>
      <protection locked="0"/>
    </xf>
    <xf numFmtId="0" fontId="13" fillId="0" borderId="0" xfId="16" applyFont="1" applyFill="1" applyBorder="1"/>
    <xf numFmtId="164" fontId="20" fillId="0" borderId="0" xfId="2" applyNumberFormat="1" applyFont="1" applyBorder="1" applyProtection="1">
      <protection locked="0"/>
    </xf>
    <xf numFmtId="0" fontId="6" fillId="0" borderId="0" xfId="16" applyFont="1" applyFill="1" applyBorder="1" applyAlignment="1" applyProtection="1">
      <alignment wrapText="1"/>
      <protection locked="0"/>
    </xf>
    <xf numFmtId="0" fontId="19" fillId="0" borderId="0" xfId="16" applyFont="1" applyFill="1" applyBorder="1" applyAlignment="1" applyProtection="1">
      <alignment horizontal="center" wrapText="1"/>
      <protection locked="0"/>
    </xf>
    <xf numFmtId="0" fontId="6" fillId="0" borderId="0" xfId="16" applyFont="1" applyBorder="1" applyAlignment="1" applyProtection="1">
      <alignment horizontal="center"/>
      <protection locked="0"/>
    </xf>
    <xf numFmtId="0" fontId="17" fillId="0" borderId="0" xfId="16" applyFont="1" applyFill="1" applyBorder="1" applyAlignment="1" applyProtection="1">
      <alignment horizontal="center"/>
      <protection locked="0"/>
    </xf>
    <xf numFmtId="0" fontId="6" fillId="0" borderId="0" xfId="16" quotePrefix="1" applyFont="1" applyFill="1" applyBorder="1" applyAlignment="1">
      <alignment horizontal="center" wrapText="1"/>
    </xf>
    <xf numFmtId="0" fontId="8" fillId="0" borderId="0" xfId="16" applyFont="1" applyFill="1" applyBorder="1" applyAlignment="1">
      <alignment horizontal="center" wrapText="1"/>
    </xf>
    <xf numFmtId="0" fontId="5" fillId="0" borderId="0" xfId="16" applyFont="1" applyFill="1" applyBorder="1"/>
    <xf numFmtId="14" fontId="21" fillId="0" borderId="0" xfId="16" applyNumberFormat="1" applyFont="1" applyFill="1" applyBorder="1" applyAlignment="1">
      <alignment horizontal="center" wrapText="1"/>
    </xf>
    <xf numFmtId="164" fontId="22" fillId="0" borderId="0" xfId="20" applyNumberFormat="1" applyFont="1" applyFill="1" applyBorder="1" applyAlignment="1">
      <alignment horizontal="right" vertical="top"/>
    </xf>
    <xf numFmtId="37" fontId="6" fillId="0" borderId="0" xfId="16" applyNumberFormat="1" applyFont="1"/>
    <xf numFmtId="166" fontId="6" fillId="0" borderId="0" xfId="16" applyNumberFormat="1" applyFont="1" applyAlignment="1">
      <alignment horizontal="center"/>
    </xf>
    <xf numFmtId="0" fontId="6" fillId="0" borderId="0" xfId="16" applyFont="1"/>
    <xf numFmtId="37" fontId="6" fillId="0" borderId="0" xfId="16" applyNumberFormat="1" applyFont="1" applyFill="1" applyBorder="1"/>
    <xf numFmtId="164" fontId="6" fillId="0" borderId="0" xfId="16" applyNumberFormat="1" applyFont="1"/>
    <xf numFmtId="0" fontId="8" fillId="0" borderId="0" xfId="16" applyFont="1"/>
    <xf numFmtId="37" fontId="6" fillId="0" borderId="0" xfId="16" applyNumberFormat="1" applyFont="1" applyFill="1" applyBorder="1" applyAlignment="1">
      <alignment horizontal="left"/>
    </xf>
    <xf numFmtId="0" fontId="6" fillId="0" borderId="0" xfId="16" applyFont="1" applyAlignment="1">
      <alignment horizontal="left"/>
    </xf>
    <xf numFmtId="0" fontId="6" fillId="0" borderId="1" xfId="16" applyBorder="1"/>
    <xf numFmtId="37" fontId="6" fillId="0" borderId="0" xfId="16" applyNumberFormat="1" applyFont="1" applyBorder="1"/>
    <xf numFmtId="5" fontId="6" fillId="0" borderId="0" xfId="8" applyFont="1"/>
    <xf numFmtId="0" fontId="4" fillId="0" borderId="0" xfId="16" applyFont="1" applyFill="1" applyBorder="1"/>
    <xf numFmtId="164" fontId="6" fillId="0" borderId="0" xfId="8" applyNumberFormat="1" applyFont="1"/>
    <xf numFmtId="0" fontId="6" fillId="0" borderId="0" xfId="16" applyAlignment="1">
      <alignment horizontal="right"/>
    </xf>
    <xf numFmtId="0" fontId="15" fillId="0" borderId="0" xfId="16" applyFont="1" applyFill="1" applyBorder="1"/>
    <xf numFmtId="0" fontId="6" fillId="0" borderId="0" xfId="16" applyFont="1" applyFill="1" applyBorder="1" applyAlignment="1">
      <alignment horizontal="center" vertical="center" wrapText="1"/>
    </xf>
    <xf numFmtId="0" fontId="19" fillId="0" borderId="0" xfId="16" applyFont="1" applyBorder="1" applyAlignment="1" applyProtection="1">
      <alignment horizontal="center"/>
      <protection locked="0"/>
    </xf>
    <xf numFmtId="0" fontId="8" fillId="0" borderId="0" xfId="29" applyFont="1"/>
    <xf numFmtId="0" fontId="6" fillId="0" borderId="0" xfId="29"/>
    <xf numFmtId="0" fontId="8" fillId="0" borderId="0" xfId="29" applyFont="1" applyBorder="1"/>
    <xf numFmtId="0" fontId="8" fillId="0" borderId="0" xfId="29" applyFont="1" applyBorder="1" applyAlignment="1">
      <alignment horizontal="center"/>
    </xf>
    <xf numFmtId="164" fontId="0" fillId="0" borderId="0" xfId="30" applyNumberFormat="1" applyFont="1"/>
    <xf numFmtId="0" fontId="6" fillId="0" borderId="0" xfId="29" applyFont="1" applyAlignment="1">
      <alignment horizontal="center"/>
    </xf>
    <xf numFmtId="0" fontId="6" fillId="0" borderId="0" xfId="29" applyBorder="1"/>
    <xf numFmtId="166" fontId="6" fillId="0" borderId="0" xfId="29" applyNumberFormat="1" applyAlignment="1">
      <alignment horizontal="center"/>
    </xf>
    <xf numFmtId="166" fontId="6" fillId="0" borderId="0" xfId="29" applyNumberFormat="1" applyFont="1" applyAlignment="1">
      <alignment horizontal="center"/>
    </xf>
    <xf numFmtId="166" fontId="8" fillId="0" borderId="0" xfId="29" applyNumberFormat="1" applyFont="1" applyBorder="1" applyAlignment="1">
      <alignment horizontal="center"/>
    </xf>
    <xf numFmtId="166" fontId="6" fillId="0" borderId="0" xfId="29" applyNumberFormat="1" applyFont="1" applyBorder="1" applyAlignment="1">
      <alignment horizontal="center"/>
    </xf>
    <xf numFmtId="166" fontId="6" fillId="0" borderId="0" xfId="29" applyNumberFormat="1" applyFont="1" applyFill="1" applyBorder="1" applyAlignment="1">
      <alignment horizontal="center"/>
    </xf>
    <xf numFmtId="0" fontId="6" fillId="0" borderId="0" xfId="29" applyFont="1"/>
    <xf numFmtId="0" fontId="6" fillId="0" borderId="0" xfId="29" applyFont="1" applyBorder="1" applyAlignment="1">
      <alignment horizontal="center"/>
    </xf>
    <xf numFmtId="0" fontId="6" fillId="0" borderId="0" xfId="29" applyAlignment="1">
      <alignment horizontal="center"/>
    </xf>
    <xf numFmtId="17" fontId="6" fillId="0" borderId="0" xfId="29" applyNumberFormat="1" applyAlignment="1">
      <alignment horizontal="center"/>
    </xf>
    <xf numFmtId="0" fontId="11" fillId="0" borderId="0" xfId="29" applyFont="1" applyAlignment="1">
      <alignment horizontal="center"/>
    </xf>
    <xf numFmtId="0" fontId="6" fillId="0" borderId="0" xfId="29" applyFont="1" applyFill="1" applyBorder="1" applyAlignment="1">
      <alignment horizontal="center"/>
    </xf>
    <xf numFmtId="0" fontId="6" fillId="0" borderId="0" xfId="29" applyFont="1" applyBorder="1" applyAlignment="1">
      <alignment horizontal="left"/>
    </xf>
    <xf numFmtId="0" fontId="12" fillId="0" borderId="0" xfId="29" applyFont="1" applyFill="1" applyBorder="1" applyAlignment="1">
      <alignment horizontal="center"/>
    </xf>
    <xf numFmtId="0" fontId="6" fillId="0" borderId="0" xfId="29" applyFont="1" applyFill="1" applyBorder="1" applyAlignment="1">
      <alignment horizontal="center" wrapText="1"/>
    </xf>
    <xf numFmtId="168" fontId="8" fillId="0" borderId="0" xfId="29" applyNumberFormat="1" applyFont="1"/>
    <xf numFmtId="168" fontId="8" fillId="0" borderId="0" xfId="31" applyNumberFormat="1" applyFont="1" applyBorder="1" applyAlignment="1">
      <alignment horizontal="center"/>
    </xf>
    <xf numFmtId="0" fontId="6" fillId="0" borderId="0" xfId="29" applyFont="1" applyBorder="1"/>
    <xf numFmtId="0" fontId="6" fillId="0" borderId="0" xfId="29" applyFont="1" applyAlignment="1">
      <alignment wrapText="1"/>
    </xf>
    <xf numFmtId="0" fontId="6" fillId="0" borderId="0" xfId="29" quotePrefix="1" applyFont="1" applyBorder="1" applyAlignment="1">
      <alignment horizontal="center"/>
    </xf>
    <xf numFmtId="0" fontId="8" fillId="0" borderId="0" xfId="29" applyFont="1" applyFill="1" applyBorder="1" applyAlignment="1">
      <alignment horizontal="center"/>
    </xf>
    <xf numFmtId="168" fontId="6" fillId="0" borderId="0" xfId="31" applyNumberFormat="1" applyFont="1" applyBorder="1" applyAlignment="1">
      <alignment horizontal="center"/>
    </xf>
    <xf numFmtId="0" fontId="6" fillId="0" borderId="0" xfId="29" applyFont="1" applyAlignment="1">
      <alignment horizontal="left"/>
    </xf>
    <xf numFmtId="0" fontId="6" fillId="0" borderId="0" xfId="29" applyFont="1" applyAlignment="1">
      <alignment horizontal="center" wrapText="1"/>
    </xf>
    <xf numFmtId="44" fontId="6" fillId="0" borderId="0" xfId="31" applyNumberFormat="1" applyFont="1" applyBorder="1" applyAlignment="1">
      <alignment horizontal="center" wrapText="1"/>
    </xf>
    <xf numFmtId="169" fontId="6" fillId="0" borderId="0" xfId="29" applyNumberFormat="1" applyFill="1" applyBorder="1"/>
    <xf numFmtId="165" fontId="0" fillId="0" borderId="0" xfId="32" applyNumberFormat="1" applyFont="1"/>
    <xf numFmtId="168" fontId="0" fillId="0" borderId="0" xfId="31" applyNumberFormat="1" applyFont="1" applyAlignment="1">
      <alignment horizontal="right"/>
    </xf>
    <xf numFmtId="43" fontId="6" fillId="0" borderId="0" xfId="29" applyNumberFormat="1"/>
    <xf numFmtId="167" fontId="0" fillId="0" borderId="0" xfId="31" applyNumberFormat="1" applyFont="1"/>
    <xf numFmtId="0" fontId="8" fillId="0" borderId="0" xfId="29" applyFont="1" applyAlignment="1">
      <alignment horizontal="center"/>
    </xf>
    <xf numFmtId="0" fontId="6" fillId="0" borderId="0" xfId="29" quotePrefix="1" applyFont="1"/>
    <xf numFmtId="6" fontId="6" fillId="0" borderId="0" xfId="30" applyNumberFormat="1" applyFont="1" applyFill="1"/>
    <xf numFmtId="167" fontId="6" fillId="0" borderId="0" xfId="14" applyNumberFormat="1" applyFont="1" applyFill="1" applyBorder="1" applyAlignment="1">
      <alignment horizontal="right" wrapText="1"/>
    </xf>
    <xf numFmtId="164" fontId="6" fillId="0" borderId="0" xfId="30" applyNumberFormat="1" applyFont="1" applyFill="1"/>
    <xf numFmtId="43" fontId="6" fillId="0" borderId="0" xfId="30" applyFont="1" applyFill="1"/>
    <xf numFmtId="5" fontId="6" fillId="0" borderId="0" xfId="8" applyFont="1" applyFill="1" applyBorder="1"/>
    <xf numFmtId="0" fontId="25" fillId="0" borderId="0" xfId="16" applyFont="1" applyFill="1" applyBorder="1" applyAlignment="1">
      <alignment horizontal="left" indent="1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7" fontId="6" fillId="0" borderId="0" xfId="29" applyNumberFormat="1" applyFill="1"/>
    <xf numFmtId="7" fontId="6" fillId="0" borderId="0" xfId="8" applyNumberFormat="1" applyFont="1"/>
    <xf numFmtId="6" fontId="0" fillId="0" borderId="0" xfId="30" applyNumberFormat="1" applyFont="1" applyFill="1"/>
    <xf numFmtId="43" fontId="0" fillId="0" borderId="0" xfId="30" applyFont="1" applyFill="1"/>
    <xf numFmtId="164" fontId="0" fillId="0" borderId="0" xfId="30" applyNumberFormat="1" applyFont="1" applyFill="1"/>
    <xf numFmtId="165" fontId="0" fillId="0" borderId="0" xfId="32" applyNumberFormat="1" applyFont="1" applyFill="1"/>
    <xf numFmtId="0" fontId="6" fillId="0" borderId="0" xfId="29" applyFill="1" applyAlignment="1">
      <alignment horizontal="center"/>
    </xf>
    <xf numFmtId="44" fontId="0" fillId="0" borderId="0" xfId="31" applyNumberFormat="1" applyFont="1" applyFill="1" applyBorder="1"/>
    <xf numFmtId="0" fontId="6" fillId="0" borderId="0" xfId="29" applyFill="1"/>
    <xf numFmtId="5" fontId="6" fillId="0" borderId="0" xfId="29" applyNumberFormat="1" applyFill="1"/>
    <xf numFmtId="0" fontId="6" fillId="0" borderId="0" xfId="29" applyFont="1" applyFill="1"/>
    <xf numFmtId="44" fontId="8" fillId="0" borderId="0" xfId="31" applyNumberFormat="1" applyFont="1" applyFill="1" applyBorder="1"/>
    <xf numFmtId="169" fontId="8" fillId="0" borderId="0" xfId="29" applyNumberFormat="1" applyFont="1" applyFill="1" applyBorder="1"/>
    <xf numFmtId="165" fontId="6" fillId="0" borderId="0" xfId="32" applyNumberFormat="1" applyFont="1" applyFill="1"/>
    <xf numFmtId="44" fontId="6" fillId="0" borderId="0" xfId="31" applyNumberFormat="1" applyFont="1" applyFill="1" applyBorder="1"/>
    <xf numFmtId="7" fontId="6" fillId="0" borderId="0" xfId="29" applyNumberFormat="1" applyFont="1" applyFill="1"/>
    <xf numFmtId="5" fontId="6" fillId="0" borderId="1" xfId="29" applyNumberFormat="1" applyFill="1" applyBorder="1"/>
    <xf numFmtId="168" fontId="0" fillId="0" borderId="0" xfId="31" applyNumberFormat="1" applyFont="1" applyFill="1" applyAlignment="1">
      <alignment horizontal="right"/>
    </xf>
    <xf numFmtId="6" fontId="6" fillId="0" borderId="0" xfId="29" applyNumberFormat="1" applyFill="1"/>
    <xf numFmtId="43" fontId="6" fillId="0" borderId="0" xfId="29" applyNumberFormat="1" applyFill="1"/>
    <xf numFmtId="167" fontId="0" fillId="0" borderId="0" xfId="31" applyNumberFormat="1" applyFont="1" applyFill="1"/>
    <xf numFmtId="164" fontId="6" fillId="0" borderId="0" xfId="29" applyNumberFormat="1" applyFill="1"/>
    <xf numFmtId="0" fontId="6" fillId="0" borderId="0" xfId="29" applyFill="1" applyBorder="1"/>
    <xf numFmtId="0" fontId="8" fillId="0" borderId="0" xfId="28" applyFont="1" applyFill="1" applyAlignment="1">
      <alignment horizontal="center" wrapText="1"/>
    </xf>
    <xf numFmtId="166" fontId="8" fillId="0" borderId="0" xfId="16" applyNumberFormat="1" applyFont="1" applyAlignment="1">
      <alignment horizontal="center"/>
    </xf>
    <xf numFmtId="166" fontId="8" fillId="0" borderId="0" xfId="16" applyNumberFormat="1" applyFont="1" applyAlignment="1">
      <alignment horizontal="left"/>
    </xf>
    <xf numFmtId="37" fontId="8" fillId="0" borderId="0" xfId="16" applyNumberFormat="1" applyFont="1" applyFill="1" applyBorder="1" applyAlignment="1">
      <alignment horizontal="left"/>
    </xf>
    <xf numFmtId="5" fontId="8" fillId="0" borderId="0" xfId="8" applyFont="1"/>
    <xf numFmtId="0" fontId="6" fillId="0" borderId="3" xfId="16" applyFont="1" applyFill="1" applyBorder="1"/>
    <xf numFmtId="0" fontId="6" fillId="0" borderId="3" xfId="16" applyFont="1" applyFill="1" applyBorder="1" applyAlignment="1">
      <alignment horizontal="center"/>
    </xf>
    <xf numFmtId="5" fontId="6" fillId="0" borderId="3" xfId="8" applyFont="1" applyBorder="1"/>
    <xf numFmtId="5" fontId="6" fillId="0" borderId="3" xfId="8" applyNumberFormat="1" applyFont="1" applyBorder="1"/>
    <xf numFmtId="5" fontId="8" fillId="0" borderId="3" xfId="8" applyFont="1" applyBorder="1"/>
    <xf numFmtId="5" fontId="6" fillId="0" borderId="3" xfId="16" applyNumberFormat="1" applyBorder="1"/>
    <xf numFmtId="0" fontId="6" fillId="0" borderId="3" xfId="16" quotePrefix="1" applyFont="1" applyFill="1" applyBorder="1" applyAlignment="1">
      <alignment horizontal="center"/>
    </xf>
    <xf numFmtId="0" fontId="25" fillId="0" borderId="0" xfId="36" applyFont="1" applyAlignment="1" applyProtection="1">
      <alignment horizontal="left"/>
    </xf>
    <xf numFmtId="0" fontId="6" fillId="0" borderId="0" xfId="36" applyFont="1" applyBorder="1"/>
    <xf numFmtId="0" fontId="1" fillId="0" borderId="0" xfId="36" applyAlignment="1">
      <alignment vertical="center"/>
    </xf>
    <xf numFmtId="0" fontId="1" fillId="0" borderId="0" xfId="36"/>
    <xf numFmtId="0" fontId="26" fillId="0" borderId="0" xfId="36" applyFont="1" applyAlignment="1">
      <alignment vertical="center" wrapText="1"/>
    </xf>
    <xf numFmtId="0" fontId="27" fillId="0" borderId="0" xfId="36" applyFont="1"/>
    <xf numFmtId="0" fontId="27" fillId="2" borderId="3" xfId="36" applyFont="1" applyFill="1" applyBorder="1"/>
    <xf numFmtId="0" fontId="27" fillId="2" borderId="3" xfId="36" applyFont="1" applyFill="1" applyBorder="1" applyAlignment="1">
      <alignment horizontal="center" vertical="center"/>
    </xf>
    <xf numFmtId="0" fontId="27" fillId="2" borderId="3" xfId="36" applyFont="1" applyFill="1" applyBorder="1" applyAlignment="1">
      <alignment horizontal="center" vertical="center" wrapText="1"/>
    </xf>
    <xf numFmtId="0" fontId="26" fillId="0" borderId="0" xfId="36" applyFont="1"/>
    <xf numFmtId="0" fontId="28" fillId="0" borderId="0" xfId="36" applyFont="1"/>
    <xf numFmtId="0" fontId="6" fillId="0" borderId="0" xfId="36" applyFont="1" applyBorder="1" applyProtection="1"/>
    <xf numFmtId="0" fontId="8" fillId="0" borderId="0" xfId="36" applyFont="1" applyBorder="1" applyAlignment="1" applyProtection="1">
      <alignment horizontal="left"/>
    </xf>
    <xf numFmtId="0" fontId="29" fillId="0" borderId="0" xfId="36" applyFont="1" applyBorder="1" applyAlignment="1" applyProtection="1">
      <alignment vertical="center"/>
      <protection locked="0"/>
    </xf>
    <xf numFmtId="164" fontId="0" fillId="0" borderId="0" xfId="37" applyNumberFormat="1" applyFont="1" applyBorder="1"/>
    <xf numFmtId="1" fontId="1" fillId="0" borderId="0" xfId="36" applyNumberFormat="1"/>
    <xf numFmtId="0" fontId="6" fillId="0" borderId="0" xfId="36" applyFont="1" applyAlignment="1" applyProtection="1">
      <alignment horizontal="right"/>
      <protection locked="0"/>
    </xf>
    <xf numFmtId="0" fontId="6" fillId="0" borderId="4" xfId="36" applyFont="1" applyBorder="1" applyAlignment="1" applyProtection="1">
      <alignment horizontal="left"/>
    </xf>
    <xf numFmtId="43" fontId="4" fillId="0" borderId="2" xfId="37" applyFont="1" applyFill="1" applyBorder="1" applyAlignment="1" applyProtection="1">
      <alignment vertical="center"/>
    </xf>
    <xf numFmtId="164" fontId="4" fillId="0" borderId="0" xfId="37" applyNumberFormat="1" applyFont="1" applyFill="1" applyBorder="1" applyAlignment="1" applyProtection="1">
      <alignment vertical="center"/>
    </xf>
    <xf numFmtId="1" fontId="4" fillId="0" borderId="0" xfId="37" applyNumberFormat="1" applyFont="1" applyFill="1" applyBorder="1" applyAlignment="1" applyProtection="1">
      <alignment vertical="center"/>
    </xf>
    <xf numFmtId="7" fontId="4" fillId="0" borderId="2" xfId="36" applyNumberFormat="1" applyFont="1" applyFill="1" applyBorder="1" applyAlignment="1" applyProtection="1">
      <alignment vertical="center"/>
    </xf>
    <xf numFmtId="1" fontId="1" fillId="0" borderId="0" xfId="36" applyNumberFormat="1" applyFill="1"/>
    <xf numFmtId="0" fontId="1" fillId="0" borderId="0" xfId="36" applyFill="1"/>
    <xf numFmtId="5" fontId="4" fillId="0" borderId="2" xfId="36" applyNumberFormat="1" applyFont="1" applyFill="1" applyBorder="1" applyAlignment="1" applyProtection="1">
      <alignment vertical="center"/>
    </xf>
    <xf numFmtId="170" fontId="28" fillId="0" borderId="0" xfId="36" applyNumberFormat="1" applyFont="1" applyFill="1" applyBorder="1"/>
    <xf numFmtId="43" fontId="1" fillId="0" borderId="0" xfId="36" applyNumberFormat="1"/>
    <xf numFmtId="0" fontId="6" fillId="0" borderId="0" xfId="36" applyFont="1"/>
    <xf numFmtId="0" fontId="1" fillId="0" borderId="0" xfId="36" applyFill="1" applyAlignment="1">
      <alignment vertical="center"/>
    </xf>
    <xf numFmtId="0" fontId="1" fillId="0" borderId="0" xfId="36" applyFill="1" applyBorder="1"/>
    <xf numFmtId="0" fontId="29" fillId="0" borderId="0" xfId="36" applyFont="1" applyProtection="1">
      <protection locked="0"/>
    </xf>
    <xf numFmtId="164" fontId="1" fillId="0" borderId="0" xfId="36" applyNumberFormat="1" applyFill="1" applyAlignment="1">
      <alignment vertical="center"/>
    </xf>
    <xf numFmtId="164" fontId="0" fillId="0" borderId="0" xfId="37" applyNumberFormat="1" applyFont="1" applyFill="1" applyAlignment="1">
      <alignment vertical="center"/>
    </xf>
    <xf numFmtId="164" fontId="28" fillId="0" borderId="0" xfId="37" applyNumberFormat="1" applyFont="1" applyFill="1" applyBorder="1"/>
    <xf numFmtId="0" fontId="6" fillId="0" borderId="3" xfId="36" applyFont="1" applyBorder="1" applyAlignment="1" applyProtection="1">
      <alignment horizontal="left"/>
    </xf>
    <xf numFmtId="164" fontId="4" fillId="0" borderId="2" xfId="37" applyNumberFormat="1" applyFont="1" applyFill="1" applyBorder="1" applyAlignment="1" applyProtection="1">
      <alignment vertical="center"/>
    </xf>
    <xf numFmtId="170" fontId="4" fillId="0" borderId="2" xfId="37" applyNumberFormat="1" applyFont="1" applyFill="1" applyBorder="1" applyAlignment="1" applyProtection="1">
      <alignment vertical="center"/>
    </xf>
    <xf numFmtId="164" fontId="28" fillId="0" borderId="0" xfId="36" applyNumberFormat="1" applyFont="1" applyFill="1" applyBorder="1"/>
    <xf numFmtId="0" fontId="8" fillId="0" borderId="0" xfId="36" applyFont="1" applyAlignment="1" applyProtection="1">
      <alignment horizontal="left"/>
    </xf>
    <xf numFmtId="164" fontId="1" fillId="0" borderId="0" xfId="36" applyNumberFormat="1" applyFill="1" applyBorder="1"/>
    <xf numFmtId="164" fontId="1" fillId="0" borderId="0" xfId="36" applyNumberFormat="1" applyFill="1"/>
    <xf numFmtId="0" fontId="6" fillId="0" borderId="5" xfId="36" quotePrefix="1" applyFont="1" applyBorder="1" applyAlignment="1" applyProtection="1">
      <alignment horizontal="left"/>
    </xf>
    <xf numFmtId="5" fontId="4" fillId="0" borderId="0" xfId="36" applyNumberFormat="1" applyFont="1" applyFill="1" applyBorder="1" applyAlignment="1" applyProtection="1">
      <alignment vertical="center"/>
    </xf>
    <xf numFmtId="164" fontId="1" fillId="0" borderId="0" xfId="36" applyNumberFormat="1"/>
    <xf numFmtId="0" fontId="6" fillId="0" borderId="6" xfId="36" applyFont="1" applyBorder="1" applyAlignment="1" applyProtection="1">
      <alignment horizontal="left"/>
    </xf>
    <xf numFmtId="171" fontId="4" fillId="0" borderId="3" xfId="36" applyNumberFormat="1" applyFont="1" applyFill="1" applyBorder="1" applyAlignment="1">
      <alignment vertical="center"/>
    </xf>
    <xf numFmtId="0" fontId="4" fillId="0" borderId="0" xfId="36" applyFont="1" applyFill="1" applyAlignment="1">
      <alignment vertical="center"/>
    </xf>
    <xf numFmtId="0" fontId="6" fillId="0" borderId="7" xfId="36" applyFont="1" applyBorder="1" applyAlignment="1" applyProtection="1">
      <alignment horizontal="left"/>
    </xf>
    <xf numFmtId="0" fontId="6" fillId="0" borderId="0" xfId="36" applyFont="1" applyAlignment="1">
      <alignment horizontal="right"/>
    </xf>
    <xf numFmtId="0" fontId="6" fillId="0" borderId="8" xfId="36" applyFont="1" applyBorder="1" applyAlignment="1" applyProtection="1">
      <alignment horizontal="left"/>
    </xf>
    <xf numFmtId="169" fontId="27" fillId="2" borderId="3" xfId="38" applyNumberFormat="1" applyFont="1" applyFill="1" applyBorder="1" applyAlignment="1">
      <alignment vertical="center"/>
    </xf>
    <xf numFmtId="0" fontId="26" fillId="0" borderId="0" xfId="36" applyFont="1" applyFill="1" applyBorder="1"/>
    <xf numFmtId="0" fontId="26" fillId="0" borderId="0" xfId="36" applyFont="1" applyFill="1"/>
    <xf numFmtId="0" fontId="1" fillId="0" borderId="9" xfId="36" applyBorder="1"/>
    <xf numFmtId="0" fontId="1" fillId="0" borderId="9" xfId="36" applyFill="1" applyBorder="1" applyAlignment="1">
      <alignment vertical="center"/>
    </xf>
    <xf numFmtId="0" fontId="1" fillId="0" borderId="9" xfId="36" applyFill="1" applyBorder="1"/>
    <xf numFmtId="0" fontId="29" fillId="0" borderId="0" xfId="36" applyFont="1" applyFill="1" applyBorder="1" applyAlignment="1" applyProtection="1">
      <alignment vertical="center"/>
      <protection locked="0"/>
    </xf>
    <xf numFmtId="5" fontId="1" fillId="0" borderId="0" xfId="36" applyNumberFormat="1" applyAlignment="1">
      <alignment vertical="center"/>
    </xf>
    <xf numFmtId="44" fontId="1" fillId="0" borderId="0" xfId="36" applyNumberFormat="1" applyAlignment="1">
      <alignment vertical="center"/>
    </xf>
    <xf numFmtId="0" fontId="30" fillId="0" borderId="0" xfId="28" applyFont="1"/>
    <xf numFmtId="0" fontId="31" fillId="0" borderId="0" xfId="28" applyFont="1"/>
    <xf numFmtId="164" fontId="30" fillId="0" borderId="0" xfId="2" applyNumberFormat="1" applyFont="1" applyFill="1" applyAlignment="1">
      <alignment horizontal="center"/>
    </xf>
    <xf numFmtId="0" fontId="30" fillId="0" borderId="0" xfId="28" applyFont="1" applyFill="1"/>
    <xf numFmtId="0" fontId="31" fillId="0" borderId="0" xfId="39" applyFont="1"/>
    <xf numFmtId="0" fontId="30" fillId="0" borderId="0" xfId="39" applyFont="1"/>
    <xf numFmtId="0" fontId="30" fillId="0" borderId="0" xfId="28" applyFont="1" applyFill="1" applyAlignment="1">
      <alignment horizontal="center"/>
    </xf>
    <xf numFmtId="0" fontId="31" fillId="0" borderId="0" xfId="28" applyFont="1" applyFill="1"/>
    <xf numFmtId="0" fontId="31" fillId="0" borderId="0" xfId="39" applyFont="1" applyBorder="1"/>
    <xf numFmtId="0" fontId="30" fillId="0" borderId="0" xfId="39" applyFont="1" applyBorder="1"/>
    <xf numFmtId="0" fontId="30" fillId="0" borderId="0" xfId="28" applyFont="1" applyAlignment="1">
      <alignment wrapText="1"/>
    </xf>
    <xf numFmtId="0" fontId="30" fillId="0" borderId="0" xfId="28" applyFont="1" applyAlignment="1">
      <alignment horizontal="center" wrapText="1"/>
    </xf>
    <xf numFmtId="164" fontId="30" fillId="0" borderId="0" xfId="2" applyNumberFormat="1" applyFont="1" applyFill="1" applyAlignment="1">
      <alignment horizontal="center" wrapText="1"/>
    </xf>
    <xf numFmtId="0" fontId="31" fillId="0" borderId="0" xfId="28" applyFont="1" applyAlignment="1">
      <alignment horizontal="center"/>
    </xf>
    <xf numFmtId="0" fontId="31" fillId="0" borderId="0" xfId="28" applyFont="1" applyFill="1" applyAlignment="1">
      <alignment horizontal="center"/>
    </xf>
    <xf numFmtId="164" fontId="31" fillId="0" borderId="0" xfId="2" applyNumberFormat="1" applyFont="1" applyFill="1" applyAlignment="1">
      <alignment horizontal="center"/>
    </xf>
    <xf numFmtId="5" fontId="30" fillId="0" borderId="0" xfId="28" applyNumberFormat="1" applyFont="1" applyAlignment="1">
      <alignment horizontal="center"/>
    </xf>
    <xf numFmtId="0" fontId="31" fillId="0" borderId="0" xfId="28" applyFont="1" applyAlignment="1">
      <alignment horizontal="left"/>
    </xf>
    <xf numFmtId="0" fontId="31" fillId="0" borderId="0" xfId="28" applyFont="1" applyAlignment="1">
      <alignment horizontal="center" wrapText="1"/>
    </xf>
    <xf numFmtId="164" fontId="31" fillId="0" borderId="0" xfId="2" applyNumberFormat="1" applyFont="1" applyFill="1" applyAlignment="1">
      <alignment horizontal="center" wrapText="1"/>
    </xf>
    <xf numFmtId="0" fontId="31" fillId="0" borderId="0" xfId="28" applyFont="1" applyAlignment="1">
      <alignment wrapText="1"/>
    </xf>
    <xf numFmtId="164" fontId="31" fillId="0" borderId="0" xfId="2" applyNumberFormat="1" applyFont="1" applyFill="1"/>
    <xf numFmtId="3" fontId="31" fillId="0" borderId="0" xfId="28" applyNumberFormat="1" applyFont="1" applyFill="1"/>
    <xf numFmtId="3" fontId="31" fillId="0" borderId="0" xfId="28" applyNumberFormat="1" applyFont="1"/>
    <xf numFmtId="172" fontId="31" fillId="0" borderId="0" xfId="28" applyNumberFormat="1" applyFont="1"/>
    <xf numFmtId="172" fontId="31" fillId="0" borderId="0" xfId="39" applyNumberFormat="1" applyFont="1"/>
    <xf numFmtId="0" fontId="31" fillId="0" borderId="0" xfId="28" applyFont="1" applyBorder="1"/>
    <xf numFmtId="164" fontId="31" fillId="0" borderId="0" xfId="40" applyNumberFormat="1" applyFont="1"/>
    <xf numFmtId="10" fontId="31" fillId="0" borderId="0" xfId="41" applyNumberFormat="1" applyFont="1" applyBorder="1"/>
    <xf numFmtId="5" fontId="30" fillId="0" borderId="0" xfId="28" applyNumberFormat="1" applyFont="1"/>
    <xf numFmtId="5" fontId="30" fillId="0" borderId="0" xfId="28" applyNumberFormat="1" applyFont="1" applyFill="1"/>
    <xf numFmtId="0" fontId="30" fillId="0" borderId="0" xfId="28" applyFont="1" applyBorder="1"/>
    <xf numFmtId="3" fontId="30" fillId="0" borderId="0" xfId="28" applyNumberFormat="1" applyFont="1" applyFill="1"/>
    <xf numFmtId="3" fontId="30" fillId="0" borderId="0" xfId="28" applyNumberFormat="1" applyFont="1"/>
    <xf numFmtId="164" fontId="30" fillId="0" borderId="0" xfId="2" applyNumberFormat="1" applyFont="1" applyFill="1"/>
    <xf numFmtId="172" fontId="30" fillId="0" borderId="0" xfId="28" applyNumberFormat="1" applyFont="1"/>
    <xf numFmtId="10" fontId="30" fillId="0" borderId="0" xfId="41" applyNumberFormat="1" applyFont="1"/>
    <xf numFmtId="10" fontId="30" fillId="0" borderId="0" xfId="41" applyNumberFormat="1" applyFont="1" applyBorder="1"/>
    <xf numFmtId="169" fontId="30" fillId="0" borderId="0" xfId="31" applyNumberFormat="1" applyFont="1" applyBorder="1"/>
    <xf numFmtId="164" fontId="31" fillId="0" borderId="0" xfId="2" applyNumberFormat="1" applyFont="1" applyFill="1" applyAlignment="1">
      <alignment horizontal="right"/>
    </xf>
    <xf numFmtId="3" fontId="31" fillId="0" borderId="0" xfId="28" applyNumberFormat="1" applyFont="1" applyBorder="1"/>
    <xf numFmtId="172" fontId="30" fillId="0" borderId="0" xfId="28" applyNumberFormat="1" applyFont="1" applyFill="1"/>
    <xf numFmtId="0" fontId="30" fillId="0" borderId="0" xfId="28" applyFont="1" applyFill="1" applyBorder="1"/>
    <xf numFmtId="0" fontId="31" fillId="0" borderId="0" xfId="39" applyFont="1" applyFill="1" applyBorder="1"/>
    <xf numFmtId="44" fontId="31" fillId="0" borderId="0" xfId="31" applyFont="1" applyFill="1" applyBorder="1"/>
    <xf numFmtId="173" fontId="31" fillId="0" borderId="0" xfId="28" applyNumberFormat="1" applyFont="1" applyBorder="1"/>
    <xf numFmtId="44" fontId="31" fillId="0" borderId="0" xfId="28" applyNumberFormat="1" applyFont="1" applyBorder="1"/>
    <xf numFmtId="164" fontId="31" fillId="0" borderId="0" xfId="2" applyNumberFormat="1" applyFont="1" applyBorder="1"/>
    <xf numFmtId="0" fontId="6" fillId="0" borderId="0" xfId="16" applyFont="1" applyFill="1" applyBorder="1" applyAlignment="1">
      <alignment horizontal="left"/>
    </xf>
    <xf numFmtId="0" fontId="6" fillId="0" borderId="0" xfId="16" applyBorder="1" applyAlignment="1"/>
    <xf numFmtId="0" fontId="23" fillId="0" borderId="0" xfId="16" applyFont="1" applyFill="1" applyBorder="1" applyAlignment="1">
      <alignment horizontal="left"/>
    </xf>
    <xf numFmtId="0" fontId="23" fillId="0" borderId="0" xfId="16" applyFont="1" applyBorder="1" applyAlignment="1"/>
    <xf numFmtId="0" fontId="24" fillId="0" borderId="0" xfId="16" applyFont="1" applyFill="1" applyBorder="1" applyAlignment="1">
      <alignment horizontal="left"/>
    </xf>
    <xf numFmtId="0" fontId="24" fillId="0" borderId="0" xfId="16" applyFont="1" applyBorder="1" applyAlignment="1"/>
    <xf numFmtId="0" fontId="6" fillId="0" borderId="0" xfId="29" applyFont="1" applyAlignment="1">
      <alignment wrapText="1"/>
    </xf>
    <xf numFmtId="0" fontId="6" fillId="0" borderId="0" xfId="29" applyAlignment="1">
      <alignment wrapText="1"/>
    </xf>
  </cellXfs>
  <cellStyles count="42">
    <cellStyle name="Comma" xfId="1" builtinId="3" customBuiltin="1"/>
    <cellStyle name="Comma 10" xfId="40"/>
    <cellStyle name="Comma 2" xfId="2"/>
    <cellStyle name="Comma 3" xfId="3"/>
    <cellStyle name="Comma 4" xfId="4"/>
    <cellStyle name="Comma 5" xfId="5"/>
    <cellStyle name="Comma 6" xfId="6"/>
    <cellStyle name="Comma 7" xfId="7"/>
    <cellStyle name="Comma 7 2" xfId="30"/>
    <cellStyle name="Comma 8" xfId="35"/>
    <cellStyle name="Comma 9" xfId="37"/>
    <cellStyle name="Currency" xfId="8" builtinId="4"/>
    <cellStyle name="Currency 2" xfId="9"/>
    <cellStyle name="Currency 3" xfId="10"/>
    <cellStyle name="Currency 4" xfId="11"/>
    <cellStyle name="Currency 4 2" xfId="31"/>
    <cellStyle name="Currency 5" xfId="27"/>
    <cellStyle name="Currency 6" xfId="34"/>
    <cellStyle name="Currency 7" xfId="38"/>
    <cellStyle name="Normal" xfId="0" builtinId="0"/>
    <cellStyle name="Normal 10" xfId="39"/>
    <cellStyle name="Normal 2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7 2" xfId="29"/>
    <cellStyle name="Normal 8" xfId="33"/>
    <cellStyle name="Normal 9" xfId="36"/>
    <cellStyle name="Normal_IP Disproport share 08_09 rates" xfId="28"/>
    <cellStyle name="Normal_Report550(Statewide) 1 " xfId="20"/>
    <cellStyle name="Normal_UCC DSH 12-31-07 Qt Payments" xfId="21"/>
    <cellStyle name="Percent 2" xfId="22"/>
    <cellStyle name="Percent 3" xfId="23"/>
    <cellStyle name="Percent 4" xfId="24"/>
    <cellStyle name="Percent 5" xfId="25"/>
    <cellStyle name="Percent 6" xfId="26"/>
    <cellStyle name="Percent 6 2" xfId="32"/>
    <cellStyle name="Percent 7" xfId="41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9-53_DSH_Audit/FFY12/12_Report_550_All_Hospit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r/Desktop/GME%20Calculation%20SFY15%20Summary%20Line%2017%20for%20All%20vs%202012%20lines%20us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_Reimbursement%20&amp;%20CON/Hospitals/DSH%20Addon/DSH_Addon_basedonFY13forFFY15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_550_Statewide"/>
      <sheetName val="BCKUS"/>
      <sheetName val="BRGPT"/>
      <sheetName val="BRSTL"/>
      <sheetName val="CTCMC"/>
      <sheetName val="DANBY"/>
      <sheetName val="DAYKM"/>
      <sheetName val="DMPSY"/>
      <sheetName val="GRENH"/>
      <sheetName val="GRIFN"/>
      <sheetName val="HARTF"/>
      <sheetName val="HGRFD"/>
      <sheetName val="HOCCT"/>
      <sheetName val="JNSON"/>
      <sheetName val="lamem"/>
      <sheetName val="MANCH"/>
      <sheetName val="MIDSX"/>
      <sheetName val="MIDST"/>
      <sheetName val="MILFD"/>
      <sheetName val="NMILF"/>
      <sheetName val="NRWLK"/>
      <sheetName val="RKVLE"/>
      <sheetName val="SAFNS"/>
      <sheetName val="SAMRY"/>
      <sheetName val="SARPH"/>
      <sheetName val="SAVCT"/>
      <sheetName val="sharn"/>
      <sheetName val="STMFD"/>
      <sheetName val="WATBY"/>
      <sheetName val="WNDHM"/>
      <sheetName val="YNHAV"/>
      <sheetName val="11_UCT_CHGS_PMTS"/>
      <sheetName val="12_UCT_CHGS_PMTS"/>
      <sheetName val="ESSSN"/>
    </sheetNames>
    <sheetDataSet>
      <sheetData sheetId="0">
        <row r="138">
          <cell r="C138">
            <v>6932</v>
          </cell>
        </row>
      </sheetData>
      <sheetData sheetId="1">
        <row r="138">
          <cell r="C138">
            <v>5200</v>
          </cell>
          <cell r="D138">
            <v>5508</v>
          </cell>
        </row>
        <row r="140">
          <cell r="D140">
            <v>2286</v>
          </cell>
        </row>
        <row r="145">
          <cell r="D145">
            <v>11911</v>
          </cell>
        </row>
        <row r="197">
          <cell r="D197">
            <v>264111731</v>
          </cell>
        </row>
        <row r="211">
          <cell r="D211">
            <v>14894.275100000001</v>
          </cell>
        </row>
        <row r="223">
          <cell r="D223">
            <v>19896.495893239789</v>
          </cell>
        </row>
      </sheetData>
      <sheetData sheetId="2">
        <row r="138">
          <cell r="C138">
            <v>6932</v>
          </cell>
          <cell r="D138">
            <v>7260</v>
          </cell>
        </row>
        <row r="140">
          <cell r="D140">
            <v>5984</v>
          </cell>
        </row>
        <row r="145">
          <cell r="D145">
            <v>18936</v>
          </cell>
        </row>
        <row r="197">
          <cell r="D197">
            <v>403987000</v>
          </cell>
        </row>
        <row r="211">
          <cell r="D211">
            <v>24234.596359999996</v>
          </cell>
        </row>
        <row r="223">
          <cell r="D223">
            <v>16746.09005248185</v>
          </cell>
        </row>
      </sheetData>
      <sheetData sheetId="3">
        <row r="138">
          <cell r="C138">
            <v>3378</v>
          </cell>
          <cell r="D138">
            <v>3565</v>
          </cell>
        </row>
        <row r="140">
          <cell r="D140">
            <v>1625</v>
          </cell>
        </row>
        <row r="145">
          <cell r="D145">
            <v>7565</v>
          </cell>
        </row>
        <row r="197">
          <cell r="D197">
            <v>134486303</v>
          </cell>
        </row>
        <row r="211">
          <cell r="D211">
            <v>8451.2489999999998</v>
          </cell>
        </row>
        <row r="223">
          <cell r="D223">
            <v>13581.794282234587</v>
          </cell>
        </row>
      </sheetData>
      <sheetData sheetId="4">
        <row r="138">
          <cell r="C138">
            <v>2368</v>
          </cell>
          <cell r="D138">
            <v>3</v>
          </cell>
        </row>
        <row r="140">
          <cell r="D140">
            <v>3392</v>
          </cell>
        </row>
        <row r="145">
          <cell r="D145">
            <v>6642</v>
          </cell>
        </row>
        <row r="197">
          <cell r="D197">
            <v>251662045</v>
          </cell>
        </row>
        <row r="211">
          <cell r="D211">
            <v>10373.3649</v>
          </cell>
        </row>
        <row r="223">
          <cell r="D223">
            <v>4668.9300220537425</v>
          </cell>
        </row>
      </sheetData>
      <sheetData sheetId="5">
        <row r="138">
          <cell r="C138">
            <v>9495</v>
          </cell>
          <cell r="D138">
            <v>8736</v>
          </cell>
        </row>
        <row r="140">
          <cell r="D140">
            <v>3326</v>
          </cell>
        </row>
        <row r="145">
          <cell r="D145">
            <v>19668</v>
          </cell>
        </row>
        <row r="197">
          <cell r="D197">
            <v>514797196</v>
          </cell>
        </row>
        <row r="211">
          <cell r="D211">
            <v>24023.6594</v>
          </cell>
        </row>
        <row r="223">
          <cell r="D223">
            <v>24031.820060098344</v>
          </cell>
        </row>
      </sheetData>
      <sheetData sheetId="6">
        <row r="138">
          <cell r="C138">
            <v>2368</v>
          </cell>
          <cell r="D138">
            <v>2208</v>
          </cell>
        </row>
        <row r="140">
          <cell r="D140">
            <v>1427</v>
          </cell>
        </row>
        <row r="145">
          <cell r="D145">
            <v>5097</v>
          </cell>
        </row>
        <row r="197">
          <cell r="D197">
            <v>115241429</v>
          </cell>
        </row>
        <row r="211">
          <cell r="D211">
            <v>5242.5012999999999</v>
          </cell>
        </row>
        <row r="223">
          <cell r="D223">
            <v>13269.75137604852</v>
          </cell>
        </row>
      </sheetData>
      <sheetData sheetId="7">
        <row r="138">
          <cell r="C138">
            <v>3811</v>
          </cell>
          <cell r="D138">
            <v>3700</v>
          </cell>
        </row>
        <row r="140">
          <cell r="D140">
            <v>2050</v>
          </cell>
        </row>
        <row r="145">
          <cell r="D145">
            <v>8374</v>
          </cell>
        </row>
        <row r="197">
          <cell r="D197">
            <v>296523349</v>
          </cell>
        </row>
        <row r="211">
          <cell r="D211">
            <v>11891.313699999999</v>
          </cell>
        </row>
        <row r="223">
          <cell r="D223">
            <v>11744.065089785869</v>
          </cell>
        </row>
      </sheetData>
      <sheetData sheetId="8">
        <row r="138">
          <cell r="C138">
            <v>5255</v>
          </cell>
          <cell r="D138">
            <v>4984</v>
          </cell>
        </row>
        <row r="140">
          <cell r="D140">
            <v>425</v>
          </cell>
        </row>
        <row r="145">
          <cell r="D145">
            <v>13027</v>
          </cell>
        </row>
        <row r="197">
          <cell r="D197">
            <v>312559000</v>
          </cell>
        </row>
        <row r="211">
          <cell r="D211">
            <v>13646.560600000001</v>
          </cell>
        </row>
        <row r="223">
          <cell r="D223">
            <v>18828.783753134077</v>
          </cell>
        </row>
      </sheetData>
      <sheetData sheetId="9">
        <row r="138">
          <cell r="C138">
            <v>3482</v>
          </cell>
          <cell r="D138">
            <v>3301</v>
          </cell>
        </row>
        <row r="140">
          <cell r="D140">
            <v>1283</v>
          </cell>
        </row>
        <row r="145">
          <cell r="D145">
            <v>7063</v>
          </cell>
        </row>
        <row r="197">
          <cell r="D197">
            <v>129115712</v>
          </cell>
        </row>
        <row r="211">
          <cell r="D211">
            <v>8015.6940000000013</v>
          </cell>
        </row>
        <row r="223">
          <cell r="D223">
            <v>9742.7409802424172</v>
          </cell>
        </row>
      </sheetData>
      <sheetData sheetId="10">
        <row r="138">
          <cell r="C138">
            <v>15795</v>
          </cell>
          <cell r="D138">
            <v>16556</v>
          </cell>
        </row>
        <row r="140">
          <cell r="D140">
            <v>9311</v>
          </cell>
        </row>
        <row r="145">
          <cell r="D145">
            <v>41251</v>
          </cell>
        </row>
        <row r="197">
          <cell r="D197">
            <v>1080685090</v>
          </cell>
        </row>
        <row r="211">
          <cell r="D211">
            <v>64832.832699999999</v>
          </cell>
        </row>
        <row r="223">
          <cell r="D223">
            <v>22502.705365105263</v>
          </cell>
        </row>
      </sheetData>
      <sheetData sheetId="11">
        <row r="138">
          <cell r="C138">
            <v>3532</v>
          </cell>
          <cell r="D138">
            <v>3482</v>
          </cell>
        </row>
        <row r="140">
          <cell r="D140">
            <v>1103</v>
          </cell>
        </row>
        <row r="145">
          <cell r="D145">
            <v>6338</v>
          </cell>
        </row>
        <row r="197">
          <cell r="D197">
            <v>121882681</v>
          </cell>
        </row>
        <row r="211">
          <cell r="D211">
            <v>7866.231600000001</v>
          </cell>
        </row>
        <row r="223">
          <cell r="D223">
            <v>11167.629508445505</v>
          </cell>
        </row>
      </sheetData>
      <sheetData sheetId="12">
        <row r="138">
          <cell r="C138">
            <v>9651</v>
          </cell>
          <cell r="D138">
            <v>8524</v>
          </cell>
        </row>
        <row r="140">
          <cell r="D140">
            <v>4352</v>
          </cell>
        </row>
        <row r="145">
          <cell r="D145">
            <v>18252</v>
          </cell>
        </row>
        <row r="197">
          <cell r="D197">
            <v>405668110</v>
          </cell>
        </row>
        <row r="211">
          <cell r="D211">
            <v>21905.514300000003</v>
          </cell>
        </row>
        <row r="223">
          <cell r="D223">
            <v>21931.607514075506</v>
          </cell>
        </row>
      </sheetData>
      <sheetData sheetId="13">
        <row r="138">
          <cell r="C138">
            <v>1616</v>
          </cell>
          <cell r="D138">
            <v>1601</v>
          </cell>
        </row>
        <row r="140">
          <cell r="D140">
            <v>646</v>
          </cell>
        </row>
        <row r="145">
          <cell r="D145">
            <v>3251</v>
          </cell>
        </row>
        <row r="197">
          <cell r="D197">
            <v>65981058</v>
          </cell>
        </row>
        <row r="211">
          <cell r="D211">
            <v>3792.2280000000001</v>
          </cell>
        </row>
        <row r="223">
          <cell r="D223">
            <v>4854.3871310074937</v>
          </cell>
        </row>
      </sheetData>
      <sheetData sheetId="14">
        <row r="138">
          <cell r="C138">
            <v>6897</v>
          </cell>
          <cell r="D138">
            <v>6829</v>
          </cell>
        </row>
        <row r="140">
          <cell r="D140">
            <v>3028</v>
          </cell>
        </row>
        <row r="145">
          <cell r="D145">
            <v>14932</v>
          </cell>
        </row>
        <row r="197">
          <cell r="D197">
            <v>318194716</v>
          </cell>
        </row>
        <row r="211">
          <cell r="D211">
            <v>18214.039199999999</v>
          </cell>
        </row>
        <row r="223">
          <cell r="D223">
            <v>21906.996476363551</v>
          </cell>
        </row>
      </sheetData>
      <sheetData sheetId="15">
        <row r="138">
          <cell r="C138">
            <v>3626</v>
          </cell>
          <cell r="D138">
            <v>3537</v>
          </cell>
        </row>
        <row r="140">
          <cell r="D140">
            <v>1957</v>
          </cell>
        </row>
        <row r="145">
          <cell r="D145">
            <v>8831</v>
          </cell>
        </row>
        <row r="197">
          <cell r="D197">
            <v>184446001</v>
          </cell>
        </row>
        <row r="211">
          <cell r="D211">
            <v>10181.310729999999</v>
          </cell>
        </row>
        <row r="223">
          <cell r="D223">
            <v>16802.09529251777</v>
          </cell>
        </row>
      </sheetData>
      <sheetData sheetId="16">
        <row r="138">
          <cell r="C138">
            <v>7373</v>
          </cell>
          <cell r="D138">
            <v>7537</v>
          </cell>
        </row>
        <row r="140">
          <cell r="D140">
            <v>2138</v>
          </cell>
        </row>
        <row r="145">
          <cell r="D145">
            <v>14158</v>
          </cell>
        </row>
        <row r="197">
          <cell r="D197">
            <v>334537291</v>
          </cell>
        </row>
        <row r="211">
          <cell r="D211">
            <v>17451.388900000002</v>
          </cell>
        </row>
        <row r="223">
          <cell r="D223">
            <v>18025.257906205974</v>
          </cell>
        </row>
      </sheetData>
      <sheetData sheetId="17">
        <row r="138">
          <cell r="C138">
            <v>4826</v>
          </cell>
          <cell r="D138">
            <v>5054</v>
          </cell>
        </row>
        <row r="140">
          <cell r="D140">
            <v>2151</v>
          </cell>
        </row>
        <row r="145">
          <cell r="D145">
            <v>10330</v>
          </cell>
        </row>
        <row r="197">
          <cell r="D197">
            <v>229085475</v>
          </cell>
        </row>
        <row r="211">
          <cell r="D211">
            <v>12409.08029</v>
          </cell>
        </row>
        <row r="223">
          <cell r="D223">
            <v>14129.782951525336</v>
          </cell>
        </row>
      </sheetData>
      <sheetData sheetId="18">
        <row r="138">
          <cell r="C138">
            <v>2050</v>
          </cell>
          <cell r="D138">
            <v>1986</v>
          </cell>
        </row>
        <row r="140">
          <cell r="D140">
            <v>349</v>
          </cell>
        </row>
        <row r="145">
          <cell r="D145">
            <v>3580</v>
          </cell>
        </row>
        <row r="197">
          <cell r="D197">
            <v>90685854</v>
          </cell>
        </row>
        <row r="211">
          <cell r="D211">
            <v>4949.2500600000003</v>
          </cell>
        </row>
        <row r="223">
          <cell r="D223">
            <v>3922.1704900540963</v>
          </cell>
        </row>
      </sheetData>
      <sheetData sheetId="19">
        <row r="138">
          <cell r="C138">
            <v>1199</v>
          </cell>
          <cell r="D138">
            <v>1118</v>
          </cell>
        </row>
        <row r="140">
          <cell r="D140">
            <v>265</v>
          </cell>
        </row>
        <row r="145">
          <cell r="D145">
            <v>2288</v>
          </cell>
        </row>
        <row r="197">
          <cell r="D197">
            <v>88958809</v>
          </cell>
        </row>
        <row r="211">
          <cell r="D211">
            <v>2638.0852999999997</v>
          </cell>
        </row>
        <row r="223">
          <cell r="D223">
            <v>6467.6723342896412</v>
          </cell>
        </row>
      </sheetData>
      <sheetData sheetId="20">
        <row r="138">
          <cell r="C138">
            <v>6008</v>
          </cell>
          <cell r="D138">
            <v>6147</v>
          </cell>
        </row>
        <row r="140">
          <cell r="D140">
            <v>3002</v>
          </cell>
        </row>
        <row r="145">
          <cell r="D145">
            <v>15003</v>
          </cell>
        </row>
        <row r="197">
          <cell r="D197">
            <v>361951445</v>
          </cell>
        </row>
        <row r="211">
          <cell r="D211">
            <v>16958.1126</v>
          </cell>
        </row>
        <row r="223">
          <cell r="D223">
            <v>15358.744917300275</v>
          </cell>
        </row>
      </sheetData>
      <sheetData sheetId="21">
        <row r="138">
          <cell r="C138">
            <v>1581</v>
          </cell>
          <cell r="D138">
            <v>1655</v>
          </cell>
        </row>
        <row r="140">
          <cell r="D140">
            <v>266</v>
          </cell>
        </row>
        <row r="145">
          <cell r="D145">
            <v>2519</v>
          </cell>
        </row>
        <row r="197">
          <cell r="D197">
            <v>74038954</v>
          </cell>
        </row>
        <row r="211">
          <cell r="D211">
            <v>3772.1803600000003</v>
          </cell>
        </row>
        <row r="223">
          <cell r="D223">
            <v>4349.2085274158335</v>
          </cell>
        </row>
      </sheetData>
      <sheetData sheetId="22">
        <row r="138">
          <cell r="C138">
            <v>13685</v>
          </cell>
          <cell r="D138">
            <v>13861</v>
          </cell>
        </row>
        <row r="140">
          <cell r="D140">
            <v>7872</v>
          </cell>
        </row>
        <row r="145">
          <cell r="D145">
            <v>32111</v>
          </cell>
        </row>
        <row r="197">
          <cell r="D197">
            <v>674830699</v>
          </cell>
        </row>
        <row r="211">
          <cell r="D211">
            <v>47123.364200000004</v>
          </cell>
        </row>
        <row r="223">
          <cell r="D223">
            <v>26512.250581933338</v>
          </cell>
        </row>
      </sheetData>
      <sheetData sheetId="23">
        <row r="138">
          <cell r="C138">
            <v>5576</v>
          </cell>
          <cell r="D138">
            <v>5198</v>
          </cell>
        </row>
        <row r="140">
          <cell r="D140">
            <v>3231</v>
          </cell>
        </row>
        <row r="145">
          <cell r="D145">
            <v>12078</v>
          </cell>
        </row>
        <row r="197">
          <cell r="D197">
            <v>218384632</v>
          </cell>
        </row>
        <row r="211">
          <cell r="D211">
            <v>15481.6572</v>
          </cell>
        </row>
        <row r="223">
          <cell r="D223">
            <v>17543.930210817711</v>
          </cell>
        </row>
      </sheetData>
      <sheetData sheetId="24">
        <row r="138">
          <cell r="C138">
            <v>12686</v>
          </cell>
          <cell r="D138">
            <v>10750</v>
          </cell>
        </row>
        <row r="140">
          <cell r="D140">
            <v>3554</v>
          </cell>
        </row>
        <row r="145">
          <cell r="D145">
            <v>19676</v>
          </cell>
        </row>
        <row r="197">
          <cell r="D197">
            <v>465549726</v>
          </cell>
        </row>
        <row r="211">
          <cell r="D211">
            <v>28945.421799999996</v>
          </cell>
        </row>
        <row r="223">
          <cell r="D223">
            <v>11679.972483120873</v>
          </cell>
        </row>
      </sheetData>
      <sheetData sheetId="25">
        <row r="138">
          <cell r="C138">
            <v>10164</v>
          </cell>
          <cell r="D138">
            <v>10153</v>
          </cell>
        </row>
        <row r="140">
          <cell r="D140">
            <v>4773</v>
          </cell>
        </row>
        <row r="145">
          <cell r="D145">
            <v>21912</v>
          </cell>
        </row>
        <row r="197">
          <cell r="D197">
            <v>373601000</v>
          </cell>
        </row>
        <row r="211">
          <cell r="D211">
            <v>28466.49</v>
          </cell>
        </row>
        <row r="223">
          <cell r="D223">
            <v>12633.83859305111</v>
          </cell>
        </row>
      </sheetData>
      <sheetData sheetId="26">
        <row r="138">
          <cell r="C138">
            <v>1530</v>
          </cell>
          <cell r="D138">
            <v>1554</v>
          </cell>
        </row>
        <row r="140">
          <cell r="D140">
            <v>194</v>
          </cell>
        </row>
        <row r="145">
          <cell r="D145">
            <v>2685</v>
          </cell>
        </row>
        <row r="197">
          <cell r="D197">
            <v>51745114</v>
          </cell>
        </row>
        <row r="211">
          <cell r="D211">
            <v>2891.4427999999998</v>
          </cell>
        </row>
        <row r="223">
          <cell r="D223">
            <v>4412.645906645841</v>
          </cell>
        </row>
      </sheetData>
      <sheetData sheetId="27">
        <row r="138">
          <cell r="C138">
            <v>5251</v>
          </cell>
          <cell r="D138">
            <v>5144</v>
          </cell>
        </row>
        <row r="140">
          <cell r="D140">
            <v>3089</v>
          </cell>
        </row>
        <row r="145">
          <cell r="D145">
            <v>14294</v>
          </cell>
        </row>
        <row r="197">
          <cell r="D197">
            <v>482124601</v>
          </cell>
        </row>
        <row r="211">
          <cell r="D211">
            <v>18362.121879999999</v>
          </cell>
        </row>
        <row r="223">
          <cell r="D223">
            <v>26170.646523410316</v>
          </cell>
        </row>
      </sheetData>
      <sheetData sheetId="28">
        <row r="138">
          <cell r="C138">
            <v>5972</v>
          </cell>
          <cell r="D138">
            <v>5734</v>
          </cell>
        </row>
        <row r="140">
          <cell r="D140">
            <v>3210</v>
          </cell>
        </row>
        <row r="145">
          <cell r="D145">
            <v>12364</v>
          </cell>
        </row>
        <row r="197">
          <cell r="D197">
            <v>231658975</v>
          </cell>
        </row>
        <row r="211">
          <cell r="D211">
            <v>16253.1831</v>
          </cell>
        </row>
        <row r="223">
          <cell r="D223">
            <v>9251.0018344733799</v>
          </cell>
        </row>
      </sheetData>
      <sheetData sheetId="29">
        <row r="15">
          <cell r="X15">
            <v>10926316</v>
          </cell>
        </row>
        <row r="138">
          <cell r="D138">
            <v>2326</v>
          </cell>
        </row>
        <row r="140">
          <cell r="D140">
            <v>970</v>
          </cell>
        </row>
        <row r="145">
          <cell r="D145">
            <v>4506</v>
          </cell>
        </row>
        <row r="197">
          <cell r="D197">
            <v>100143393</v>
          </cell>
        </row>
        <row r="211">
          <cell r="D211">
            <v>5252.8738300000005</v>
          </cell>
        </row>
        <row r="223">
          <cell r="D223">
            <v>10505.266428585146</v>
          </cell>
        </row>
      </sheetData>
      <sheetData sheetId="30">
        <row r="15">
          <cell r="X15">
            <v>10267905</v>
          </cell>
        </row>
        <row r="138">
          <cell r="D138">
            <v>18100</v>
          </cell>
        </row>
        <row r="140">
          <cell r="D140">
            <v>17294</v>
          </cell>
        </row>
        <row r="145">
          <cell r="D145">
            <v>59426</v>
          </cell>
        </row>
        <row r="197">
          <cell r="D197">
            <v>1654251000</v>
          </cell>
        </row>
        <row r="211">
          <cell r="D211">
            <v>84994.533159999992</v>
          </cell>
        </row>
        <row r="223">
          <cell r="D223">
            <v>40591.188710301605</v>
          </cell>
        </row>
      </sheetData>
      <sheetData sheetId="31">
        <row r="15">
          <cell r="X15">
            <v>10926316</v>
          </cell>
        </row>
      </sheetData>
      <sheetData sheetId="32">
        <row r="15">
          <cell r="X15">
            <v>10267905</v>
          </cell>
        </row>
      </sheetData>
      <sheetData sheetId="33">
        <row r="138">
          <cell r="C138">
            <v>5972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E Payments SFY15"/>
      <sheetName val="GME_Calculation Line 17 For All"/>
      <sheetName val="GME_Calculation Hosp Speci"/>
      <sheetName val="MarketBasket"/>
      <sheetName val="ChildPsych"/>
    </sheetNames>
    <sheetDataSet>
      <sheetData sheetId="0"/>
      <sheetData sheetId="1"/>
      <sheetData sheetId="2"/>
      <sheetData sheetId="3">
        <row r="4">
          <cell r="S4">
            <v>2.5000000000000001E-2</v>
          </cell>
          <cell r="T4">
            <v>2.8999999999999998E-2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Haddon_km"/>
      <sheetName val="FY 2012 SSI Ratios"/>
      <sheetName val="Child Psych Days"/>
    </sheetNames>
    <sheetDataSet>
      <sheetData sheetId="0"/>
      <sheetData sheetId="1"/>
      <sheetData sheetId="2">
        <row r="9">
          <cell r="B9" t="str">
            <v>Bridgeport</v>
          </cell>
          <cell r="C9" t="str">
            <v>BRIDGEPORT HOSPITAL INC</v>
          </cell>
          <cell r="D9">
            <v>110</v>
          </cell>
        </row>
        <row r="10">
          <cell r="B10" t="str">
            <v>Bristol</v>
          </cell>
          <cell r="C10" t="str">
            <v>BRISTOL HOSPITAL</v>
          </cell>
          <cell r="D10">
            <v>20</v>
          </cell>
        </row>
        <row r="11">
          <cell r="C11" t="str">
            <v>CONNECTICUT CHILDRENS MEDICAL CENTER</v>
          </cell>
          <cell r="D11">
            <v>49</v>
          </cell>
        </row>
        <row r="12">
          <cell r="B12" t="str">
            <v>Danbury</v>
          </cell>
          <cell r="C12" t="str">
            <v>DANBURY HOSPITAL</v>
          </cell>
          <cell r="D12">
            <v>23</v>
          </cell>
        </row>
        <row r="13">
          <cell r="B13" t="str">
            <v>Day Kimball</v>
          </cell>
          <cell r="C13" t="str">
            <v>DAY KIMBALL HOSPITAL</v>
          </cell>
          <cell r="D13">
            <v>101</v>
          </cell>
        </row>
        <row r="14">
          <cell r="B14" t="str">
            <v>Greenwich</v>
          </cell>
          <cell r="C14" t="str">
            <v>GREENWICH HOSPITAL</v>
          </cell>
          <cell r="D14">
            <v>4</v>
          </cell>
        </row>
        <row r="15">
          <cell r="B15" t="str">
            <v>Griffin</v>
          </cell>
          <cell r="C15" t="str">
            <v>GRIFFIN HOSPITAL</v>
          </cell>
          <cell r="D15">
            <v>57</v>
          </cell>
        </row>
        <row r="16">
          <cell r="B16" t="str">
            <v>Hartford</v>
          </cell>
          <cell r="C16" t="str">
            <v>HARTFORD HOSPITAL</v>
          </cell>
          <cell r="D16">
            <v>5937</v>
          </cell>
        </row>
        <row r="17">
          <cell r="B17" t="str">
            <v>Johnson</v>
          </cell>
          <cell r="C17" t="str">
            <v>JOHNSON MEMORIAL HOSPITAL</v>
          </cell>
          <cell r="D17">
            <v>18</v>
          </cell>
        </row>
        <row r="18">
          <cell r="B18" t="str">
            <v>Lawrence &amp; Mem.</v>
          </cell>
          <cell r="C18" t="str">
            <v>LAWRENCE AND MEMORIAL HOSPITAL</v>
          </cell>
          <cell r="D18">
            <v>98</v>
          </cell>
        </row>
        <row r="19">
          <cell r="B19" t="str">
            <v>Manchester</v>
          </cell>
          <cell r="C19" t="str">
            <v>MANCHESTER MEMORIAL  HOSPITAL</v>
          </cell>
          <cell r="D19">
            <v>1094</v>
          </cell>
        </row>
        <row r="20">
          <cell r="B20" t="str">
            <v>Middlesex</v>
          </cell>
          <cell r="C20" t="str">
            <v>MIDDLESEX HOSPITAL</v>
          </cell>
          <cell r="D20">
            <v>122</v>
          </cell>
        </row>
        <row r="21">
          <cell r="B21" t="str">
            <v>Midstate</v>
          </cell>
          <cell r="C21" t="str">
            <v>MIDSTATE MEDICAL CENTER</v>
          </cell>
          <cell r="D21">
            <v>43</v>
          </cell>
        </row>
        <row r="22">
          <cell r="B22" t="str">
            <v>Norwalk</v>
          </cell>
          <cell r="C22" t="str">
            <v>NORWALK HOSPITAL ASSOCIATION</v>
          </cell>
          <cell r="D22">
            <v>64</v>
          </cell>
        </row>
        <row r="23">
          <cell r="B23" t="str">
            <v>Sharon</v>
          </cell>
          <cell r="C23" t="str">
            <v>SHARON HOSPITAL</v>
          </cell>
          <cell r="D23">
            <v>1</v>
          </cell>
        </row>
        <row r="24">
          <cell r="B24" t="str">
            <v>Stamford</v>
          </cell>
          <cell r="C24" t="str">
            <v>STAMFORD HOSPITAL</v>
          </cell>
          <cell r="D24">
            <v>89</v>
          </cell>
        </row>
        <row r="25">
          <cell r="B25" t="str">
            <v>Dempsey</v>
          </cell>
          <cell r="C25" t="str">
            <v>STATE OF CONNECTICUT</v>
          </cell>
          <cell r="D25">
            <v>28</v>
          </cell>
        </row>
        <row r="26">
          <cell r="B26" t="str">
            <v>St. Francis</v>
          </cell>
          <cell r="C26" t="str">
            <v>ST FRANCIS HOSPITAL MEDICAL CENTER</v>
          </cell>
          <cell r="D26">
            <v>3264</v>
          </cell>
        </row>
        <row r="27">
          <cell r="B27" t="str">
            <v>St. Mary's</v>
          </cell>
          <cell r="C27" t="str">
            <v>ST MARYS HOSPITAL</v>
          </cell>
          <cell r="D27">
            <v>106</v>
          </cell>
        </row>
        <row r="28">
          <cell r="B28" t="str">
            <v>St. Vincent</v>
          </cell>
          <cell r="C28" t="str">
            <v>ST VINCENTS MEDICAL CENTER</v>
          </cell>
          <cell r="D28">
            <v>3508</v>
          </cell>
        </row>
        <row r="29">
          <cell r="B29" t="str">
            <v>Hungerford</v>
          </cell>
          <cell r="C29" t="str">
            <v>THE CHARLOTTE HUNGERFORDHOSPITAL</v>
          </cell>
          <cell r="D29">
            <v>37</v>
          </cell>
        </row>
        <row r="30">
          <cell r="B30" t="str">
            <v>Central CT</v>
          </cell>
          <cell r="C30" t="str">
            <v>THE HOSPITAL OF CENTRAL CONNECTICUT</v>
          </cell>
          <cell r="D30">
            <v>203</v>
          </cell>
        </row>
        <row r="31">
          <cell r="B31" t="str">
            <v>Backus</v>
          </cell>
          <cell r="C31" t="str">
            <v>THE WILLIAM BACKUS HOSPITAL</v>
          </cell>
          <cell r="D31">
            <v>44</v>
          </cell>
        </row>
        <row r="32">
          <cell r="B32" t="str">
            <v>Waterbury</v>
          </cell>
          <cell r="C32" t="str">
            <v>WATERBURY HOSPITAL</v>
          </cell>
          <cell r="D32">
            <v>1317</v>
          </cell>
        </row>
        <row r="33">
          <cell r="B33" t="str">
            <v>Yale</v>
          </cell>
          <cell r="C33" t="str">
            <v>YALE NEW HAVEN HOSPITAL</v>
          </cell>
          <cell r="D33">
            <v>9157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3" Type="http://schemas.openxmlformats.org/officeDocument/2006/relationships/hyperlink" Target="http://www.innovations.cms.gov/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4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O68"/>
  <sheetViews>
    <sheetView tabSelected="1" zoomScaleNormal="100" zoomScaleSheetLayoutView="100" workbookViewId="0">
      <pane xSplit="1" topLeftCell="B1" activePane="topRight" state="frozen"/>
      <selection activeCell="D28" sqref="D28"/>
      <selection pane="topRight" activeCell="J21" sqref="J21"/>
    </sheetView>
  </sheetViews>
  <sheetFormatPr defaultColWidth="12.5546875" defaultRowHeight="13.2" x14ac:dyDescent="0.25"/>
  <cols>
    <col min="1" max="1" width="22.109375" style="2" customWidth="1"/>
    <col min="2" max="2" width="12.5546875" style="2" bestFit="1" customWidth="1"/>
    <col min="3" max="3" width="14.88671875" style="2" bestFit="1" customWidth="1"/>
    <col min="4" max="4" width="17.6640625" style="2" bestFit="1" customWidth="1"/>
    <col min="5" max="5" width="13.88671875" style="2" bestFit="1" customWidth="1"/>
    <col min="6" max="6" width="13.88671875" style="2" customWidth="1"/>
    <col min="7" max="7" width="15.33203125" style="2" customWidth="1"/>
    <col min="8" max="8" width="13.88671875" style="2" customWidth="1"/>
    <col min="9" max="9" width="7" style="2" bestFit="1" customWidth="1"/>
    <col min="10" max="10" width="15.5546875" style="2" bestFit="1" customWidth="1"/>
    <col min="11" max="11" width="16.109375" style="2" customWidth="1"/>
    <col min="12" max="12" width="13.88671875" style="2" customWidth="1"/>
    <col min="13" max="19" width="9.109375" style="2" customWidth="1"/>
    <col min="20" max="20" width="15.5546875" style="2" customWidth="1"/>
    <col min="21" max="32" width="9.109375" style="2" customWidth="1"/>
    <col min="33" max="33" width="12.33203125" style="2" bestFit="1" customWidth="1"/>
    <col min="34" max="245" width="9.109375" style="2" customWidth="1"/>
    <col min="246" max="246" width="12.88671875" style="2" customWidth="1"/>
    <col min="247" max="247" width="13.6640625" style="2" customWidth="1"/>
    <col min="248" max="248" width="15.33203125" style="2" customWidth="1"/>
    <col min="249" max="249" width="15.5546875" style="2" customWidth="1"/>
    <col min="250" max="16384" width="12.5546875" style="2"/>
  </cols>
  <sheetData>
    <row r="1" spans="1:16" ht="23.25" customHeight="1" x14ac:dyDescent="0.4">
      <c r="A1" s="94" t="s">
        <v>162</v>
      </c>
      <c r="B1" s="94"/>
      <c r="C1" s="18"/>
      <c r="E1" s="10"/>
      <c r="F1" s="10"/>
      <c r="G1" s="10"/>
      <c r="H1" s="10"/>
      <c r="I1" s="10"/>
      <c r="J1" s="10"/>
      <c r="K1" s="48"/>
      <c r="L1" s="8"/>
      <c r="M1" s="14"/>
      <c r="N1" s="6"/>
      <c r="O1" s="6"/>
      <c r="P1" s="49"/>
    </row>
    <row r="2" spans="1:16" ht="17.399999999999999" hidden="1" x14ac:dyDescent="0.3">
      <c r="A2" s="19"/>
      <c r="B2" s="19"/>
      <c r="C2" s="18"/>
      <c r="D2" s="10"/>
      <c r="E2" s="10"/>
      <c r="F2" s="10"/>
      <c r="G2" s="10"/>
      <c r="H2" s="10"/>
      <c r="I2" s="10"/>
      <c r="J2" s="10"/>
      <c r="K2" s="239"/>
      <c r="L2" s="240"/>
      <c r="M2" s="28"/>
      <c r="N2" s="27"/>
      <c r="O2" s="27"/>
      <c r="P2" s="15"/>
    </row>
    <row r="3" spans="1:16" ht="16.5" hidden="1" customHeight="1" x14ac:dyDescent="0.3">
      <c r="A3" s="23"/>
      <c r="B3" s="23"/>
      <c r="C3" s="18"/>
      <c r="D3" s="10"/>
      <c r="E3" s="10"/>
      <c r="F3" s="10"/>
      <c r="G3" s="10"/>
      <c r="H3" s="10"/>
      <c r="I3" s="10"/>
      <c r="J3" s="10"/>
      <c r="K3" s="241"/>
      <c r="L3" s="242"/>
      <c r="M3" s="26"/>
      <c r="N3" s="25"/>
      <c r="O3" s="24"/>
      <c r="P3" s="5"/>
    </row>
    <row r="4" spans="1:16" ht="18" hidden="1" customHeight="1" x14ac:dyDescent="0.3">
      <c r="A4" s="23"/>
      <c r="B4" s="23"/>
      <c r="C4" s="18"/>
      <c r="D4" s="8"/>
      <c r="E4" s="8"/>
      <c r="F4" s="8"/>
      <c r="G4" s="8"/>
      <c r="H4" s="8"/>
      <c r="I4" s="8"/>
      <c r="J4" s="8"/>
      <c r="K4" s="8"/>
      <c r="L4" s="8"/>
      <c r="M4" s="50"/>
      <c r="N4" s="27"/>
      <c r="O4" s="20"/>
      <c r="P4" s="5"/>
    </row>
    <row r="5" spans="1:16" ht="17.399999999999999" hidden="1" x14ac:dyDescent="0.3">
      <c r="A5" s="23"/>
      <c r="B5" s="23"/>
      <c r="C5" s="18"/>
      <c r="D5" s="10"/>
      <c r="E5" s="10"/>
      <c r="F5" s="10"/>
      <c r="G5" s="10"/>
      <c r="H5" s="10"/>
      <c r="I5" s="10"/>
      <c r="J5" s="10"/>
      <c r="K5" s="243"/>
      <c r="L5" s="244"/>
      <c r="M5" s="22"/>
      <c r="N5" s="21"/>
      <c r="O5" s="20"/>
      <c r="P5" s="5"/>
    </row>
    <row r="6" spans="1:16" x14ac:dyDescent="0.25">
      <c r="A6" s="10"/>
      <c r="B6" s="10"/>
      <c r="C6" s="17"/>
      <c r="D6" s="17"/>
      <c r="H6" s="17"/>
      <c r="I6" s="17"/>
      <c r="L6" s="17"/>
    </row>
    <row r="7" spans="1:16" x14ac:dyDescent="0.25">
      <c r="A7" s="14"/>
      <c r="B7" s="14"/>
      <c r="C7" s="35"/>
      <c r="D7" s="35"/>
      <c r="E7" s="35"/>
      <c r="F7" s="35"/>
      <c r="G7" s="121" t="s">
        <v>156</v>
      </c>
      <c r="H7" s="35"/>
      <c r="I7" s="7"/>
      <c r="J7" s="35"/>
      <c r="K7" s="35"/>
      <c r="L7" s="35"/>
      <c r="M7" s="35"/>
      <c r="N7" s="36"/>
    </row>
    <row r="8" spans="1:16" ht="39.6" x14ac:dyDescent="0.25">
      <c r="A8" s="14"/>
      <c r="B8" s="15" t="s">
        <v>73</v>
      </c>
      <c r="C8" s="15" t="s">
        <v>70</v>
      </c>
      <c r="D8" s="15" t="s">
        <v>71</v>
      </c>
      <c r="E8" s="15" t="s">
        <v>161</v>
      </c>
      <c r="F8" s="15" t="s">
        <v>160</v>
      </c>
      <c r="G8" s="15" t="s">
        <v>155</v>
      </c>
      <c r="H8" s="30" t="s">
        <v>101</v>
      </c>
      <c r="I8" s="15"/>
      <c r="J8" s="32"/>
      <c r="K8" s="16"/>
      <c r="L8" s="15"/>
      <c r="M8" s="15"/>
      <c r="N8" s="29"/>
      <c r="O8" s="36"/>
    </row>
    <row r="9" spans="1:16" ht="13.8" x14ac:dyDescent="0.25">
      <c r="A9" s="125" t="s">
        <v>26</v>
      </c>
      <c r="B9" s="126" t="s">
        <v>91</v>
      </c>
      <c r="C9" s="127">
        <v>1727027.7941946695</v>
      </c>
      <c r="D9" s="127">
        <f>VLOOKUP(A9,SFY15_Low_Cost_Hospitals!$A$9:$Q$38,17,FALSE)</f>
        <v>1362818.6838185308</v>
      </c>
      <c r="E9" s="127">
        <f>C9+D9</f>
        <v>3089846.4780132002</v>
      </c>
      <c r="F9" s="128">
        <f>ROUND(E9/4,0)</f>
        <v>772462</v>
      </c>
      <c r="G9" s="127">
        <v>0</v>
      </c>
      <c r="H9" s="129">
        <f>F9+G9</f>
        <v>772462</v>
      </c>
      <c r="I9" s="95"/>
      <c r="J9" s="96"/>
      <c r="K9" s="37"/>
      <c r="L9" s="34"/>
      <c r="M9" s="34"/>
      <c r="N9" s="34"/>
      <c r="O9" s="36"/>
    </row>
    <row r="10" spans="1:16" ht="13.8" x14ac:dyDescent="0.25">
      <c r="A10" s="125" t="s">
        <v>25</v>
      </c>
      <c r="B10" s="126" t="s">
        <v>80</v>
      </c>
      <c r="C10" s="127">
        <v>6573143.770246896</v>
      </c>
      <c r="D10" s="127">
        <f>VLOOKUP(A10,SFY15_Low_Cost_Hospitals!$A$9:$Q$38,17,FALSE)</f>
        <v>100000</v>
      </c>
      <c r="E10" s="130">
        <f t="shared" ref="E10:E37" si="0">C10+D10</f>
        <v>6673143.770246896</v>
      </c>
      <c r="F10" s="128">
        <f t="shared" ref="F10:F37" si="1">ROUND(E10/4,0)</f>
        <v>1668286</v>
      </c>
      <c r="G10" s="130">
        <f>'01-01-15_GME_Calculation'!C26</f>
        <v>298743.25</v>
      </c>
      <c r="H10" s="129">
        <f t="shared" ref="H10:H37" si="2">F10+G10</f>
        <v>1967029.25</v>
      </c>
      <c r="J10" s="96"/>
      <c r="K10" s="37"/>
      <c r="L10" s="34"/>
      <c r="M10" s="34"/>
      <c r="N10" s="34"/>
      <c r="O10" s="36"/>
    </row>
    <row r="11" spans="1:16" ht="13.8" x14ac:dyDescent="0.25">
      <c r="A11" s="125" t="s">
        <v>24</v>
      </c>
      <c r="B11" s="126" t="s">
        <v>95</v>
      </c>
      <c r="C11" s="127">
        <v>1283749.9650970148</v>
      </c>
      <c r="D11" s="127">
        <f>VLOOKUP(A11,SFY15_Low_Cost_Hospitals!$A$9:$Q$38,17,FALSE)</f>
        <v>1961372.8133005735</v>
      </c>
      <c r="E11" s="130">
        <f t="shared" si="0"/>
        <v>3245122.7783975881</v>
      </c>
      <c r="F11" s="128">
        <f t="shared" si="1"/>
        <v>811281</v>
      </c>
      <c r="G11" s="130">
        <v>0</v>
      </c>
      <c r="H11" s="129">
        <f t="shared" si="2"/>
        <v>811281</v>
      </c>
      <c r="J11" s="96"/>
      <c r="K11" s="37"/>
      <c r="L11" s="34"/>
      <c r="M11" s="34"/>
      <c r="N11" s="34"/>
      <c r="O11" s="36"/>
    </row>
    <row r="12" spans="1:16" ht="13.8" x14ac:dyDescent="0.25">
      <c r="A12" s="125" t="s">
        <v>152</v>
      </c>
      <c r="B12" s="131" t="s">
        <v>153</v>
      </c>
      <c r="C12" s="127">
        <v>0</v>
      </c>
      <c r="D12" s="127">
        <v>0</v>
      </c>
      <c r="E12" s="130">
        <v>0</v>
      </c>
      <c r="F12" s="128">
        <f t="shared" si="1"/>
        <v>0</v>
      </c>
      <c r="G12" s="130">
        <f>'01-01-15_GME_Calculation'!D26</f>
        <v>54488.75</v>
      </c>
      <c r="H12" s="129">
        <f t="shared" si="2"/>
        <v>54488.75</v>
      </c>
      <c r="J12" s="96"/>
      <c r="K12" s="37"/>
      <c r="L12" s="34"/>
      <c r="M12" s="34"/>
      <c r="N12" s="34"/>
      <c r="O12" s="36"/>
    </row>
    <row r="13" spans="1:16" ht="13.8" x14ac:dyDescent="0.25">
      <c r="A13" s="125" t="s">
        <v>22</v>
      </c>
      <c r="B13" s="126" t="s">
        <v>97</v>
      </c>
      <c r="C13" s="127">
        <v>3728148.3216876113</v>
      </c>
      <c r="D13" s="127">
        <f>VLOOKUP(A13,SFY15_Low_Cost_Hospitals!$A$9:$Q$38,17,FALSE)</f>
        <v>0</v>
      </c>
      <c r="E13" s="130">
        <f t="shared" si="0"/>
        <v>3728148.3216876113</v>
      </c>
      <c r="F13" s="128">
        <f t="shared" si="1"/>
        <v>932037</v>
      </c>
      <c r="G13" s="130">
        <f>'01-01-15_GME_Calculation'!E26</f>
        <v>108549.25</v>
      </c>
      <c r="H13" s="129">
        <f t="shared" si="2"/>
        <v>1040586.25</v>
      </c>
      <c r="I13" s="39" t="s">
        <v>158</v>
      </c>
      <c r="J13" s="96"/>
      <c r="K13" s="37"/>
      <c r="L13" s="34"/>
      <c r="M13" s="34"/>
      <c r="N13" s="34"/>
      <c r="O13" s="36"/>
    </row>
    <row r="14" spans="1:16" ht="13.8" x14ac:dyDescent="0.25">
      <c r="A14" s="125" t="s">
        <v>21</v>
      </c>
      <c r="B14" s="126" t="s">
        <v>75</v>
      </c>
      <c r="C14" s="127">
        <v>1115186.4257725477</v>
      </c>
      <c r="D14" s="127">
        <f>VLOOKUP(A14,SFY15_Low_Cost_Hospitals!$A$9:$Q$38,17,FALSE)</f>
        <v>1327807.309741488</v>
      </c>
      <c r="E14" s="130">
        <f t="shared" si="0"/>
        <v>2442993.7355140354</v>
      </c>
      <c r="F14" s="128">
        <f t="shared" si="1"/>
        <v>610748</v>
      </c>
      <c r="G14" s="130">
        <v>0</v>
      </c>
      <c r="H14" s="129">
        <f t="shared" si="2"/>
        <v>610748</v>
      </c>
      <c r="J14" s="96"/>
      <c r="K14" s="37"/>
      <c r="L14" s="34"/>
      <c r="M14" s="34"/>
      <c r="N14" s="34"/>
      <c r="O14" s="36"/>
    </row>
    <row r="15" spans="1:16" ht="13.8" x14ac:dyDescent="0.25">
      <c r="A15" s="125" t="s">
        <v>31</v>
      </c>
      <c r="B15" s="131" t="s">
        <v>154</v>
      </c>
      <c r="C15" s="127">
        <v>0</v>
      </c>
      <c r="D15" s="127">
        <v>0</v>
      </c>
      <c r="E15" s="130">
        <f t="shared" si="0"/>
        <v>0</v>
      </c>
      <c r="F15" s="128">
        <f t="shared" si="1"/>
        <v>0</v>
      </c>
      <c r="G15" s="130">
        <f>'01-01-15_GME_Calculation'!F26</f>
        <v>328609.75</v>
      </c>
      <c r="H15" s="129">
        <f t="shared" si="2"/>
        <v>328609.75</v>
      </c>
      <c r="J15" s="96"/>
      <c r="K15" s="37"/>
      <c r="L15" s="34"/>
      <c r="M15" s="34"/>
      <c r="N15" s="34"/>
      <c r="O15" s="36"/>
    </row>
    <row r="16" spans="1:16" ht="13.8" x14ac:dyDescent="0.25">
      <c r="A16" s="125" t="s">
        <v>20</v>
      </c>
      <c r="B16" s="126" t="s">
        <v>86</v>
      </c>
      <c r="C16" s="127">
        <v>546099.1507638694</v>
      </c>
      <c r="D16" s="127">
        <f>VLOOKUP(A16,SFY15_Low_Cost_Hospitals!$A$9:$Q$38,17,FALSE)</f>
        <v>0</v>
      </c>
      <c r="E16" s="130">
        <f t="shared" si="0"/>
        <v>546099.1507638694</v>
      </c>
      <c r="F16" s="128">
        <f t="shared" si="1"/>
        <v>136525</v>
      </c>
      <c r="G16" s="130">
        <f>'01-01-15_GME_Calculation'!G26</f>
        <v>6671.25</v>
      </c>
      <c r="H16" s="129">
        <f t="shared" si="2"/>
        <v>143196.25</v>
      </c>
      <c r="J16" s="96"/>
      <c r="K16" s="37"/>
      <c r="L16" s="34"/>
      <c r="M16" s="34"/>
      <c r="N16" s="34"/>
      <c r="O16" s="36"/>
    </row>
    <row r="17" spans="1:15" ht="13.8" x14ac:dyDescent="0.25">
      <c r="A17" s="125" t="s">
        <v>19</v>
      </c>
      <c r="B17" s="126" t="s">
        <v>96</v>
      </c>
      <c r="C17" s="127">
        <v>1603498.4403946686</v>
      </c>
      <c r="D17" s="127">
        <f>VLOOKUP(A17,SFY15_Low_Cost_Hospitals!$A$9:$Q$38,17,FALSE)</f>
        <v>734130.87351669942</v>
      </c>
      <c r="E17" s="130">
        <f t="shared" si="0"/>
        <v>2337629.3139113681</v>
      </c>
      <c r="F17" s="128">
        <f t="shared" si="1"/>
        <v>584407</v>
      </c>
      <c r="G17" s="130">
        <f>'01-01-15_GME_Calculation'!H26</f>
        <v>46484.75</v>
      </c>
      <c r="H17" s="129">
        <f t="shared" si="2"/>
        <v>630891.75</v>
      </c>
      <c r="J17" s="96"/>
      <c r="K17" s="37"/>
      <c r="L17" s="34"/>
      <c r="M17" s="34"/>
      <c r="N17" s="34"/>
      <c r="O17" s="36"/>
    </row>
    <row r="18" spans="1:15" ht="13.8" x14ac:dyDescent="0.25">
      <c r="A18" s="125" t="s">
        <v>18</v>
      </c>
      <c r="B18" s="126" t="s">
        <v>92</v>
      </c>
      <c r="C18" s="127">
        <v>6573143.770246896</v>
      </c>
      <c r="D18" s="127">
        <f>VLOOKUP(A18,SFY15_Low_Cost_Hospitals!$A$9:$Q$38,17,FALSE)</f>
        <v>0</v>
      </c>
      <c r="E18" s="130">
        <f t="shared" si="0"/>
        <v>6573143.770246896</v>
      </c>
      <c r="F18" s="128">
        <f t="shared" si="1"/>
        <v>1643286</v>
      </c>
      <c r="G18" s="130">
        <f>'01-01-15_GME_Calculation'!I26</f>
        <v>829200.25</v>
      </c>
      <c r="H18" s="129">
        <f t="shared" si="2"/>
        <v>2472486.25</v>
      </c>
      <c r="J18" s="96"/>
      <c r="K18" s="37"/>
      <c r="L18" s="34"/>
      <c r="M18" s="34"/>
      <c r="N18" s="34"/>
      <c r="O18" s="36"/>
    </row>
    <row r="19" spans="1:15" ht="13.8" x14ac:dyDescent="0.25">
      <c r="A19" s="125" t="s">
        <v>28</v>
      </c>
      <c r="B19" s="126" t="s">
        <v>99</v>
      </c>
      <c r="C19" s="127">
        <v>5368460.8369334256</v>
      </c>
      <c r="D19" s="127">
        <f>VLOOKUP(A19,SFY15_Low_Cost_Hospitals!$A$9:$Q$38,17,FALSE)</f>
        <v>2727479.5836825198</v>
      </c>
      <c r="E19" s="130">
        <f t="shared" si="0"/>
        <v>8095940.420615945</v>
      </c>
      <c r="F19" s="128">
        <f t="shared" si="1"/>
        <v>2023985</v>
      </c>
      <c r="G19" s="130">
        <f>'01-01-15_GME_Calculation'!J26</f>
        <v>123053.75</v>
      </c>
      <c r="H19" s="129">
        <f t="shared" si="2"/>
        <v>2147038.75</v>
      </c>
      <c r="J19" s="96"/>
      <c r="K19" s="37"/>
      <c r="L19" s="34"/>
      <c r="M19" s="34"/>
      <c r="N19" s="34"/>
      <c r="O19" s="36"/>
    </row>
    <row r="20" spans="1:15" ht="13.8" x14ac:dyDescent="0.25">
      <c r="A20" s="125" t="s">
        <v>17</v>
      </c>
      <c r="B20" s="126" t="s">
        <v>81</v>
      </c>
      <c r="C20" s="127">
        <v>1152639.9360496639</v>
      </c>
      <c r="D20" s="127">
        <f>VLOOKUP(A20,SFY15_Low_Cost_Hospitals!$A$9:$Q$38,17,FALSE)</f>
        <v>768855.6957357123</v>
      </c>
      <c r="E20" s="130">
        <f t="shared" si="0"/>
        <v>1921495.6317853762</v>
      </c>
      <c r="F20" s="128">
        <f t="shared" si="1"/>
        <v>480374</v>
      </c>
      <c r="G20" s="130">
        <v>0</v>
      </c>
      <c r="H20" s="129">
        <f t="shared" si="2"/>
        <v>480374</v>
      </c>
      <c r="J20" s="96"/>
      <c r="K20" s="37"/>
      <c r="L20" s="34"/>
      <c r="M20" s="34"/>
      <c r="N20" s="34"/>
      <c r="O20" s="36"/>
    </row>
    <row r="21" spans="1:15" ht="13.8" x14ac:dyDescent="0.25">
      <c r="A21" s="125" t="s">
        <v>16</v>
      </c>
      <c r="B21" s="126" t="s">
        <v>79</v>
      </c>
      <c r="C21" s="127">
        <v>540833.01090089837</v>
      </c>
      <c r="D21" s="127">
        <f>VLOOKUP(A21,SFY15_Low_Cost_Hospitals!$A$9:$Q$38,17,FALSE)</f>
        <v>1015627.4107028741</v>
      </c>
      <c r="E21" s="130">
        <f t="shared" si="0"/>
        <v>1556460.4216037723</v>
      </c>
      <c r="F21" s="128">
        <f t="shared" si="1"/>
        <v>389115</v>
      </c>
      <c r="G21" s="130">
        <v>0</v>
      </c>
      <c r="H21" s="129">
        <f t="shared" si="2"/>
        <v>389115</v>
      </c>
      <c r="J21" s="96"/>
      <c r="K21" s="37"/>
      <c r="L21" s="34"/>
      <c r="M21" s="34"/>
      <c r="N21" s="34"/>
      <c r="O21" s="36"/>
    </row>
    <row r="22" spans="1:15" ht="13.8" x14ac:dyDescent="0.25">
      <c r="A22" s="125" t="s">
        <v>29</v>
      </c>
      <c r="B22" s="126" t="s">
        <v>78</v>
      </c>
      <c r="C22" s="127">
        <v>3251057.9781100564</v>
      </c>
      <c r="D22" s="127">
        <f>VLOOKUP(A22,SFY15_Low_Cost_Hospitals!$A$9:$Q$38,17,FALSE)</f>
        <v>837147.08533792966</v>
      </c>
      <c r="E22" s="130">
        <f t="shared" si="0"/>
        <v>4088205.0634479858</v>
      </c>
      <c r="F22" s="128">
        <f t="shared" si="1"/>
        <v>1022051</v>
      </c>
      <c r="G22" s="130">
        <f>'01-01-15_GME_Calculation'!K26</f>
        <v>2505</v>
      </c>
      <c r="H22" s="129">
        <f t="shared" si="2"/>
        <v>1024556</v>
      </c>
      <c r="J22" s="96"/>
      <c r="K22" s="37"/>
      <c r="L22" s="34"/>
      <c r="M22" s="34"/>
      <c r="N22" s="34"/>
      <c r="O22" s="36"/>
    </row>
    <row r="23" spans="1:15" ht="13.8" x14ac:dyDescent="0.25">
      <c r="A23" s="125" t="s">
        <v>15</v>
      </c>
      <c r="B23" s="126" t="s">
        <v>93</v>
      </c>
      <c r="C23" s="127">
        <v>1469606.9198294999</v>
      </c>
      <c r="D23" s="127">
        <f>VLOOKUP(A23,SFY15_Low_Cost_Hospitals!$A$9:$Q$38,17,FALSE)</f>
        <v>0</v>
      </c>
      <c r="E23" s="130">
        <f t="shared" si="0"/>
        <v>1469606.9198294999</v>
      </c>
      <c r="F23" s="128">
        <f t="shared" si="1"/>
        <v>367402</v>
      </c>
      <c r="G23" s="130">
        <v>0</v>
      </c>
      <c r="H23" s="129">
        <f t="shared" si="2"/>
        <v>367402</v>
      </c>
      <c r="J23" s="96"/>
      <c r="K23" s="37"/>
      <c r="L23" s="34"/>
      <c r="M23" s="34"/>
      <c r="N23" s="34"/>
      <c r="O23" s="36"/>
    </row>
    <row r="24" spans="1:15" ht="13.8" x14ac:dyDescent="0.25">
      <c r="A24" s="125" t="s">
        <v>13</v>
      </c>
      <c r="B24" s="126" t="s">
        <v>85</v>
      </c>
      <c r="C24" s="127">
        <v>2031098.5328230318</v>
      </c>
      <c r="D24" s="127">
        <f>VLOOKUP(A24,SFY15_Low_Cost_Hospitals!$A$9:$Q$38,17,FALSE)</f>
        <v>1928669.7454827898</v>
      </c>
      <c r="E24" s="130">
        <f t="shared" si="0"/>
        <v>3959768.2783058216</v>
      </c>
      <c r="F24" s="128">
        <f t="shared" si="1"/>
        <v>989942</v>
      </c>
      <c r="G24" s="130">
        <v>0</v>
      </c>
      <c r="H24" s="129">
        <f t="shared" si="2"/>
        <v>989942</v>
      </c>
      <c r="J24" s="96"/>
      <c r="K24" s="37"/>
      <c r="L24" s="34"/>
      <c r="M24" s="34"/>
      <c r="N24" s="34"/>
      <c r="O24" s="36"/>
    </row>
    <row r="25" spans="1:15" ht="13.8" x14ac:dyDescent="0.25">
      <c r="A25" s="125" t="s">
        <v>14</v>
      </c>
      <c r="B25" s="126" t="s">
        <v>88</v>
      </c>
      <c r="C25" s="127">
        <v>2623484.1844624747</v>
      </c>
      <c r="D25" s="127">
        <f>VLOOKUP(A25,SFY15_Low_Cost_Hospitals!$A$9:$Q$38,17,FALSE)</f>
        <v>536635.12297638447</v>
      </c>
      <c r="E25" s="130">
        <f t="shared" si="0"/>
        <v>3160119.3074388593</v>
      </c>
      <c r="F25" s="128">
        <f t="shared" si="1"/>
        <v>790030</v>
      </c>
      <c r="G25" s="130">
        <f>'01-01-15_GME_Calculation'!C52</f>
        <v>57179.25</v>
      </c>
      <c r="H25" s="129">
        <f t="shared" si="2"/>
        <v>847209.25</v>
      </c>
      <c r="J25" s="96"/>
      <c r="K25" s="37"/>
      <c r="L25" s="34"/>
      <c r="M25" s="34"/>
      <c r="N25" s="34"/>
      <c r="O25" s="36"/>
    </row>
    <row r="26" spans="1:15" ht="13.8" x14ac:dyDescent="0.25">
      <c r="A26" s="125" t="s">
        <v>12</v>
      </c>
      <c r="B26" s="126" t="s">
        <v>87</v>
      </c>
      <c r="C26" s="127">
        <v>408988.63023153535</v>
      </c>
      <c r="D26" s="127">
        <f>VLOOKUP(A26,SFY15_Low_Cost_Hospitals!$A$9:$Q$38,17,FALSE)</f>
        <v>0</v>
      </c>
      <c r="E26" s="130">
        <f t="shared" si="0"/>
        <v>408988.63023153535</v>
      </c>
      <c r="F26" s="128">
        <f t="shared" si="1"/>
        <v>102247</v>
      </c>
      <c r="G26" s="130">
        <v>0</v>
      </c>
      <c r="H26" s="129">
        <f t="shared" si="2"/>
        <v>102247</v>
      </c>
      <c r="J26" s="96"/>
      <c r="K26" s="37"/>
      <c r="L26" s="34"/>
      <c r="M26" s="34"/>
      <c r="N26" s="34"/>
      <c r="O26" s="36"/>
    </row>
    <row r="27" spans="1:15" ht="13.8" x14ac:dyDescent="0.25">
      <c r="A27" s="125" t="s">
        <v>11</v>
      </c>
      <c r="B27" s="126" t="s">
        <v>83</v>
      </c>
      <c r="C27" s="127">
        <v>320165.21261268744</v>
      </c>
      <c r="D27" s="127">
        <f>VLOOKUP(A27,SFY15_Low_Cost_Hospitals!$A$9:$Q$38,17,FALSE)</f>
        <v>0</v>
      </c>
      <c r="E27" s="130">
        <f t="shared" si="0"/>
        <v>320165.21261268744</v>
      </c>
      <c r="F27" s="128">
        <f t="shared" si="1"/>
        <v>80041</v>
      </c>
      <c r="G27" s="130">
        <v>0</v>
      </c>
      <c r="H27" s="129">
        <f t="shared" si="2"/>
        <v>80041</v>
      </c>
      <c r="I27" s="39" t="s">
        <v>158</v>
      </c>
      <c r="J27" s="96"/>
      <c r="K27" s="37"/>
      <c r="L27" s="34"/>
      <c r="M27" s="34"/>
      <c r="N27" s="34"/>
      <c r="O27" s="36"/>
    </row>
    <row r="28" spans="1:15" ht="13.8" x14ac:dyDescent="0.25">
      <c r="A28" s="125" t="s">
        <v>10</v>
      </c>
      <c r="B28" s="126" t="s">
        <v>98</v>
      </c>
      <c r="C28" s="127">
        <v>3673055.9115659134</v>
      </c>
      <c r="D28" s="127">
        <f>VLOOKUP(A28,SFY15_Low_Cost_Hospitals!$A$9:$Q$38,17,FALSE)</f>
        <v>0</v>
      </c>
      <c r="E28" s="130">
        <f t="shared" si="0"/>
        <v>3673055.9115659134</v>
      </c>
      <c r="F28" s="128">
        <f t="shared" si="1"/>
        <v>918264</v>
      </c>
      <c r="G28" s="130">
        <f>'01-01-15_GME_Calculation'!D52</f>
        <v>166816.5</v>
      </c>
      <c r="H28" s="129">
        <f t="shared" si="2"/>
        <v>1085080.5</v>
      </c>
      <c r="J28" s="96"/>
      <c r="K28" s="37"/>
      <c r="L28" s="34"/>
      <c r="M28" s="34"/>
      <c r="N28" s="34"/>
      <c r="O28" s="36"/>
    </row>
    <row r="29" spans="1:15" ht="13.8" x14ac:dyDescent="0.25">
      <c r="A29" s="125" t="s">
        <v>9</v>
      </c>
      <c r="B29" s="126" t="s">
        <v>82</v>
      </c>
      <c r="C29" s="127">
        <v>544982.50510017981</v>
      </c>
      <c r="D29" s="127">
        <f>VLOOKUP(A29,SFY15_Low_Cost_Hospitals!$A$9:$Q$38,17,FALSE)</f>
        <v>297470.10205412464</v>
      </c>
      <c r="E29" s="130">
        <f t="shared" si="0"/>
        <v>842452.60715430439</v>
      </c>
      <c r="F29" s="128">
        <f t="shared" si="1"/>
        <v>210613</v>
      </c>
      <c r="G29" s="130">
        <v>0</v>
      </c>
      <c r="H29" s="129">
        <f t="shared" si="2"/>
        <v>210613</v>
      </c>
      <c r="J29" s="96"/>
      <c r="K29" s="37"/>
      <c r="L29" s="34"/>
      <c r="M29" s="34"/>
      <c r="N29" s="34"/>
      <c r="O29" s="36"/>
    </row>
    <row r="30" spans="1:15" ht="13.8" x14ac:dyDescent="0.25">
      <c r="A30" s="125" t="s">
        <v>8</v>
      </c>
      <c r="B30" s="126" t="s">
        <v>74</v>
      </c>
      <c r="C30" s="127">
        <v>6573143.770246896</v>
      </c>
      <c r="D30" s="127">
        <f>VLOOKUP(A30,SFY15_Low_Cost_Hospitals!$A$9:$Q$38,17,FALSE)</f>
        <v>0</v>
      </c>
      <c r="E30" s="130">
        <f t="shared" si="0"/>
        <v>6573143.770246896</v>
      </c>
      <c r="F30" s="128">
        <f t="shared" si="1"/>
        <v>1643286</v>
      </c>
      <c r="G30" s="130">
        <f>'01-01-15_GME_Calculation'!E52</f>
        <v>461625.75</v>
      </c>
      <c r="H30" s="129">
        <f t="shared" si="2"/>
        <v>2104911.75</v>
      </c>
      <c r="J30" s="96"/>
      <c r="K30" s="37"/>
      <c r="L30" s="34"/>
      <c r="M30" s="34"/>
      <c r="N30" s="34"/>
      <c r="O30" s="36"/>
    </row>
    <row r="31" spans="1:15" ht="13.8" x14ac:dyDescent="0.25">
      <c r="A31" s="125" t="s">
        <v>7</v>
      </c>
      <c r="B31" s="126" t="s">
        <v>84</v>
      </c>
      <c r="C31" s="127">
        <v>3314437.5449715308</v>
      </c>
      <c r="D31" s="127">
        <f>VLOOKUP(A31,SFY15_Low_Cost_Hospitals!$A$9:$Q$38,17,FALSE)</f>
        <v>100000</v>
      </c>
      <c r="E31" s="130">
        <f t="shared" si="0"/>
        <v>3414437.5449715308</v>
      </c>
      <c r="F31" s="128">
        <f t="shared" si="1"/>
        <v>853609</v>
      </c>
      <c r="G31" s="130">
        <f>'01-01-15_GME_Calculation'!F52</f>
        <v>131222.75</v>
      </c>
      <c r="H31" s="129">
        <f t="shared" si="2"/>
        <v>984831.75</v>
      </c>
      <c r="J31" s="96"/>
      <c r="K31" s="37"/>
      <c r="L31" s="34"/>
      <c r="M31" s="34"/>
      <c r="N31" s="34"/>
      <c r="O31" s="36"/>
    </row>
    <row r="32" spans="1:15" ht="13.8" x14ac:dyDescent="0.25">
      <c r="A32" s="125" t="s">
        <v>5</v>
      </c>
      <c r="B32" s="126" t="s">
        <v>94</v>
      </c>
      <c r="C32" s="127">
        <v>6311366.4791165572</v>
      </c>
      <c r="D32" s="127">
        <f>VLOOKUP(A32,SFY15_Low_Cost_Hospitals!$A$9:$Q$38,17,FALSE)</f>
        <v>100000</v>
      </c>
      <c r="E32" s="130">
        <f t="shared" si="0"/>
        <v>6411366.4791165572</v>
      </c>
      <c r="F32" s="128">
        <f t="shared" si="1"/>
        <v>1602842</v>
      </c>
      <c r="G32" s="130">
        <f>'01-01-15_GME_Calculation'!G52</f>
        <v>195276.5</v>
      </c>
      <c r="H32" s="129">
        <f t="shared" si="2"/>
        <v>1798118.5</v>
      </c>
      <c r="J32" s="96"/>
      <c r="K32" s="37"/>
      <c r="L32" s="34"/>
      <c r="M32" s="34"/>
      <c r="N32" s="34"/>
      <c r="O32" s="36"/>
    </row>
    <row r="33" spans="1:119" ht="13.8" x14ac:dyDescent="0.25">
      <c r="A33" s="125" t="s">
        <v>4</v>
      </c>
      <c r="B33" s="126" t="s">
        <v>100</v>
      </c>
      <c r="C33" s="127">
        <v>197384.93427674402</v>
      </c>
      <c r="D33" s="127">
        <f>VLOOKUP(A33,SFY15_Low_Cost_Hospitals!$A$9:$Q$38,17,FALSE)</f>
        <v>261950.17894172997</v>
      </c>
      <c r="E33" s="130">
        <f t="shared" si="0"/>
        <v>459335.11321847397</v>
      </c>
      <c r="F33" s="128">
        <f t="shared" si="1"/>
        <v>114834</v>
      </c>
      <c r="G33" s="130">
        <v>0</v>
      </c>
      <c r="H33" s="129">
        <f t="shared" si="2"/>
        <v>114834</v>
      </c>
      <c r="J33" s="96"/>
      <c r="K33" s="37"/>
      <c r="L33" s="34"/>
      <c r="M33" s="34"/>
      <c r="N33" s="34"/>
      <c r="O33" s="36"/>
    </row>
    <row r="34" spans="1:119" ht="13.8" x14ac:dyDescent="0.25">
      <c r="A34" s="125" t="s">
        <v>3</v>
      </c>
      <c r="B34" s="126" t="s">
        <v>77</v>
      </c>
      <c r="C34" s="127">
        <v>3080158.8693411448</v>
      </c>
      <c r="D34" s="127">
        <f>VLOOKUP(A34,SFY15_Low_Cost_Hospitals!$A$9:$Q$38,17,FALSE)</f>
        <v>0</v>
      </c>
      <c r="E34" s="130">
        <f t="shared" si="0"/>
        <v>3080158.8693411448</v>
      </c>
      <c r="F34" s="128">
        <f t="shared" si="1"/>
        <v>770040</v>
      </c>
      <c r="G34" s="130">
        <f>'01-01-15_GME_Calculation'!H52</f>
        <v>80187.5</v>
      </c>
      <c r="H34" s="129">
        <f t="shared" si="2"/>
        <v>850227.5</v>
      </c>
      <c r="J34" s="96"/>
      <c r="K34" s="37"/>
      <c r="L34" s="34"/>
      <c r="M34" s="34"/>
      <c r="N34" s="34"/>
      <c r="O34" s="36"/>
    </row>
    <row r="35" spans="1:119" ht="13.8" x14ac:dyDescent="0.25">
      <c r="A35" s="125" t="s">
        <v>2</v>
      </c>
      <c r="B35" s="126" t="s">
        <v>76</v>
      </c>
      <c r="C35" s="127">
        <v>2811597.5679884106</v>
      </c>
      <c r="D35" s="127">
        <f>VLOOKUP(A35,SFY15_Low_Cost_Hospitals!$A$9:$Q$38,17,FALSE)</f>
        <v>100000</v>
      </c>
      <c r="E35" s="130">
        <f t="shared" si="0"/>
        <v>2911597.5679884106</v>
      </c>
      <c r="F35" s="128">
        <f t="shared" si="1"/>
        <v>727899</v>
      </c>
      <c r="G35" s="130">
        <f>'01-01-15_GME_Calculation'!I52</f>
        <v>160093.25</v>
      </c>
      <c r="H35" s="129">
        <f t="shared" si="2"/>
        <v>887992.25</v>
      </c>
      <c r="J35" s="96"/>
      <c r="K35" s="37"/>
      <c r="L35" s="34"/>
      <c r="M35" s="34"/>
      <c r="N35" s="34"/>
      <c r="O35" s="36"/>
    </row>
    <row r="36" spans="1:119" ht="13.8" x14ac:dyDescent="0.25">
      <c r="A36" s="125" t="s">
        <v>1</v>
      </c>
      <c r="B36" s="126" t="s">
        <v>89</v>
      </c>
      <c r="C36" s="127">
        <v>1326190.9139412434</v>
      </c>
      <c r="D36" s="127">
        <f>VLOOKUP(A36,SFY15_Low_Cost_Hospitals!$A$9:$Q$38,17,FALSE)</f>
        <v>940035.39470864972</v>
      </c>
      <c r="E36" s="130">
        <f t="shared" si="0"/>
        <v>2266226.3086498929</v>
      </c>
      <c r="F36" s="128">
        <f t="shared" si="1"/>
        <v>566557</v>
      </c>
      <c r="G36" s="130">
        <v>0</v>
      </c>
      <c r="H36" s="129">
        <f t="shared" si="2"/>
        <v>566557</v>
      </c>
      <c r="J36" s="96"/>
      <c r="K36" s="37"/>
      <c r="L36" s="34"/>
      <c r="M36" s="34"/>
      <c r="N36" s="34"/>
      <c r="O36" s="36"/>
      <c r="P36" s="12"/>
    </row>
    <row r="37" spans="1:119" s="42" customFormat="1" ht="13.8" x14ac:dyDescent="0.25">
      <c r="A37" s="125" t="s">
        <v>72</v>
      </c>
      <c r="B37" s="126" t="s">
        <v>90</v>
      </c>
      <c r="C37" s="127">
        <f>6573143.7702469+5778204.85284704</f>
        <v>12351348.62309394</v>
      </c>
      <c r="D37" s="127">
        <f>SFY15_Low_Cost_Hospitals!Q38+SFY15_Low_Cost_Hospitals!Q33</f>
        <v>0</v>
      </c>
      <c r="E37" s="130">
        <f t="shared" si="0"/>
        <v>12351348.62309394</v>
      </c>
      <c r="F37" s="128">
        <f t="shared" si="1"/>
        <v>3087837</v>
      </c>
      <c r="G37" s="130">
        <f>'01-01-15_GME_Calculation'!J52</f>
        <v>2083909.75</v>
      </c>
      <c r="H37" s="129">
        <f t="shared" si="2"/>
        <v>5171746.75</v>
      </c>
      <c r="I37" s="2"/>
      <c r="J37" s="96"/>
      <c r="K37" s="37"/>
      <c r="L37" s="43"/>
      <c r="M37" s="43"/>
      <c r="N37" s="43"/>
      <c r="O37" s="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s="8" customFormat="1" ht="13.8" x14ac:dyDescent="0.25">
      <c r="A38" s="13" t="s">
        <v>0</v>
      </c>
      <c r="B38" s="13"/>
      <c r="C38" s="93">
        <f>SUM(C9:C37)</f>
        <v>80500000.00000003</v>
      </c>
      <c r="D38" s="44">
        <f t="shared" ref="D38:F38" si="3">SUM(D9:D37)</f>
        <v>15100000.000000007</v>
      </c>
      <c r="E38" s="44">
        <f t="shared" si="3"/>
        <v>95600000</v>
      </c>
      <c r="F38" s="44">
        <f t="shared" si="3"/>
        <v>23900000</v>
      </c>
      <c r="G38" s="44">
        <f>SUM(G9:G37)</f>
        <v>5134617.25</v>
      </c>
      <c r="H38" s="124">
        <f>SUM(H9:H37)</f>
        <v>29034617.25</v>
      </c>
      <c r="I38" s="2"/>
      <c r="J38" s="96"/>
      <c r="K38" s="33"/>
      <c r="L38" s="34"/>
      <c r="M38" s="34"/>
      <c r="N38" s="34"/>
      <c r="O38" s="5"/>
    </row>
    <row r="39" spans="1:119" ht="13.8" x14ac:dyDescent="0.25">
      <c r="A39" s="10"/>
      <c r="B39" s="10"/>
      <c r="E39" s="11"/>
      <c r="F39" s="11"/>
      <c r="G39" s="11"/>
      <c r="H39" s="11"/>
      <c r="J39" s="96"/>
      <c r="K39" s="34"/>
      <c r="L39" s="34"/>
      <c r="M39" s="37"/>
      <c r="N39" s="34"/>
      <c r="O39" s="36"/>
      <c r="Y39" s="39"/>
    </row>
    <row r="40" spans="1:119" ht="13.8" x14ac:dyDescent="0.25">
      <c r="D40" s="47"/>
      <c r="E40" s="37"/>
      <c r="F40" s="37"/>
      <c r="G40" s="37"/>
      <c r="H40" s="37"/>
      <c r="J40" s="96"/>
      <c r="K40" s="34"/>
      <c r="L40" s="34"/>
      <c r="M40" s="37"/>
      <c r="N40" s="34"/>
      <c r="O40" s="36"/>
    </row>
    <row r="41" spans="1:119" ht="13.8" x14ac:dyDescent="0.25">
      <c r="A41" s="122" t="s">
        <v>157</v>
      </c>
      <c r="B41" s="39"/>
      <c r="E41" s="37"/>
      <c r="F41" s="37"/>
      <c r="G41" s="37"/>
      <c r="H41" s="37"/>
      <c r="I41" s="95"/>
      <c r="J41" s="96"/>
      <c r="K41" s="34"/>
      <c r="L41" s="34"/>
      <c r="M41" s="37"/>
      <c r="N41" s="34"/>
      <c r="O41" s="36"/>
    </row>
    <row r="42" spans="1:119" ht="7.5" customHeight="1" x14ac:dyDescent="0.25">
      <c r="A42" s="39"/>
      <c r="B42" s="39"/>
      <c r="E42" s="37"/>
      <c r="F42" s="37"/>
      <c r="G42" s="37"/>
      <c r="H42" s="37"/>
      <c r="I42" s="95"/>
      <c r="J42" s="96"/>
      <c r="K42" s="34"/>
      <c r="L42" s="34"/>
      <c r="M42" s="37"/>
      <c r="N42" s="34"/>
      <c r="O42" s="36"/>
    </row>
    <row r="43" spans="1:119" ht="13.8" x14ac:dyDescent="0.25">
      <c r="A43" s="123" t="s">
        <v>159</v>
      </c>
      <c r="B43" s="40"/>
      <c r="C43" s="37"/>
      <c r="D43" s="37"/>
      <c r="E43" s="37"/>
      <c r="F43" s="37"/>
      <c r="G43" s="37"/>
      <c r="H43" s="37"/>
      <c r="I43" s="95"/>
      <c r="J43" s="96"/>
      <c r="K43" s="9"/>
      <c r="L43" s="9"/>
      <c r="M43" s="9"/>
      <c r="N43" s="9"/>
      <c r="O43" s="36"/>
      <c r="T43" s="44"/>
      <c r="AG43" s="37"/>
    </row>
    <row r="44" spans="1:119" ht="13.8" x14ac:dyDescent="0.25">
      <c r="A44" s="41"/>
      <c r="B44" s="41"/>
      <c r="C44" s="38"/>
      <c r="D44" s="38"/>
      <c r="E44" s="37"/>
      <c r="F44" s="37"/>
      <c r="G44" s="37"/>
      <c r="H44" s="37"/>
      <c r="I44" s="95"/>
      <c r="J44" s="96"/>
      <c r="K44" s="9"/>
      <c r="L44" s="9"/>
      <c r="M44" s="9"/>
      <c r="N44" s="9"/>
      <c r="O44" s="36"/>
      <c r="T44" s="44"/>
      <c r="AG44" s="38"/>
    </row>
    <row r="45" spans="1:119" ht="13.8" x14ac:dyDescent="0.25">
      <c r="A45" s="41"/>
      <c r="B45" s="41"/>
      <c r="C45" s="38"/>
      <c r="D45" s="38"/>
      <c r="E45" s="37"/>
      <c r="F45" s="37"/>
      <c r="G45" s="37"/>
      <c r="H45" s="37"/>
      <c r="I45" s="95"/>
      <c r="J45" s="96"/>
      <c r="K45" s="9"/>
      <c r="L45" s="9"/>
      <c r="M45" s="9"/>
      <c r="N45" s="9"/>
      <c r="O45" s="36"/>
      <c r="T45" s="44"/>
      <c r="AG45" s="38"/>
    </row>
    <row r="46" spans="1:119" ht="13.8" x14ac:dyDescent="0.25">
      <c r="A46" s="41"/>
      <c r="B46" s="41"/>
      <c r="C46" s="38"/>
      <c r="D46" s="38"/>
      <c r="E46" s="37"/>
      <c r="F46" s="37"/>
      <c r="G46" s="37"/>
      <c r="H46" s="37"/>
      <c r="I46" s="95"/>
      <c r="J46" s="96"/>
      <c r="K46" s="9"/>
      <c r="L46" s="9"/>
      <c r="M46" s="9"/>
      <c r="N46" s="9"/>
      <c r="O46" s="36"/>
      <c r="T46" s="44"/>
      <c r="AG46" s="38"/>
    </row>
    <row r="47" spans="1:119" ht="13.8" x14ac:dyDescent="0.25">
      <c r="A47" s="45"/>
      <c r="B47" s="45"/>
      <c r="C47" s="38"/>
      <c r="D47" s="38"/>
      <c r="E47" s="37"/>
      <c r="F47" s="37"/>
      <c r="G47" s="37"/>
      <c r="H47" s="37"/>
      <c r="I47" s="95"/>
      <c r="J47" s="96"/>
      <c r="K47" s="9"/>
      <c r="L47" s="9"/>
      <c r="M47" s="9"/>
      <c r="N47" s="9"/>
      <c r="O47" s="36"/>
      <c r="S47" s="31"/>
      <c r="T47" s="44"/>
      <c r="AF47" s="45"/>
      <c r="AG47" s="46"/>
    </row>
    <row r="48" spans="1:119" ht="13.8" x14ac:dyDescent="0.25">
      <c r="A48" s="45"/>
      <c r="B48" s="45"/>
      <c r="C48" s="38"/>
      <c r="D48" s="38"/>
      <c r="E48" s="37"/>
      <c r="F48" s="37"/>
      <c r="G48" s="37"/>
      <c r="H48" s="37"/>
      <c r="I48" s="95"/>
      <c r="J48" s="96"/>
      <c r="K48" s="9"/>
      <c r="L48" s="9"/>
      <c r="M48" s="9"/>
      <c r="N48" s="9"/>
      <c r="O48" s="36"/>
      <c r="S48" s="31"/>
      <c r="T48" s="44"/>
      <c r="AF48" s="45"/>
      <c r="AG48" s="46"/>
    </row>
    <row r="49" spans="1:33" ht="13.8" x14ac:dyDescent="0.25">
      <c r="A49" s="39"/>
      <c r="B49" s="39"/>
      <c r="C49" s="38"/>
      <c r="D49" s="38"/>
      <c r="E49" s="37"/>
      <c r="F49" s="37"/>
      <c r="G49" s="37"/>
      <c r="H49" s="37"/>
      <c r="I49" s="95"/>
      <c r="J49" s="96"/>
      <c r="K49" s="9"/>
      <c r="L49" s="9"/>
      <c r="M49" s="9"/>
      <c r="N49" s="9"/>
      <c r="O49" s="36"/>
      <c r="S49" s="31"/>
      <c r="T49" s="44"/>
      <c r="AF49" s="45"/>
      <c r="AG49" s="46"/>
    </row>
    <row r="50" spans="1:33" ht="13.8" x14ac:dyDescent="0.25">
      <c r="A50" s="39"/>
      <c r="B50" s="39"/>
      <c r="C50" s="38"/>
      <c r="D50" s="38"/>
      <c r="E50" s="37"/>
      <c r="F50" s="37"/>
      <c r="G50" s="37"/>
      <c r="H50" s="37"/>
      <c r="I50" s="95"/>
      <c r="J50" s="96"/>
      <c r="K50" s="9"/>
      <c r="L50" s="9"/>
      <c r="M50" s="9"/>
      <c r="N50" s="9"/>
      <c r="O50" s="36"/>
      <c r="S50" s="31"/>
      <c r="T50" s="44"/>
      <c r="AF50" s="45"/>
      <c r="AG50" s="46"/>
    </row>
    <row r="51" spans="1:33" ht="13.8" x14ac:dyDescent="0.25">
      <c r="A51" s="39"/>
      <c r="B51" s="39"/>
      <c r="C51" s="38"/>
      <c r="D51" s="38"/>
      <c r="E51" s="37"/>
      <c r="F51" s="37"/>
      <c r="G51" s="37"/>
      <c r="H51" s="37"/>
      <c r="I51" s="95"/>
      <c r="J51" s="96"/>
      <c r="K51" s="9"/>
      <c r="L51" s="9"/>
      <c r="M51" s="9"/>
      <c r="N51" s="9"/>
      <c r="O51" s="36"/>
      <c r="S51" s="31"/>
      <c r="T51" s="44"/>
      <c r="AF51" s="45"/>
      <c r="AG51" s="46"/>
    </row>
    <row r="52" spans="1:33" ht="13.8" x14ac:dyDescent="0.25">
      <c r="A52" s="4"/>
      <c r="B52" s="4"/>
      <c r="C52" s="3"/>
      <c r="E52" s="37"/>
      <c r="F52" s="37"/>
      <c r="G52" s="37"/>
      <c r="H52" s="37"/>
      <c r="I52" s="95"/>
      <c r="J52" s="96"/>
    </row>
    <row r="53" spans="1:33" ht="13.8" x14ac:dyDescent="0.25">
      <c r="A53" s="4"/>
      <c r="E53" s="37"/>
      <c r="F53" s="37"/>
      <c r="G53" s="37"/>
      <c r="H53" s="37"/>
      <c r="I53" s="95"/>
      <c r="J53" s="96"/>
    </row>
    <row r="54" spans="1:33" ht="13.8" x14ac:dyDescent="0.25">
      <c r="A54" s="4"/>
      <c r="B54" s="4"/>
      <c r="C54" s="3"/>
      <c r="D54" s="3"/>
      <c r="E54" s="37"/>
      <c r="F54" s="37"/>
      <c r="G54" s="37"/>
      <c r="H54" s="37"/>
      <c r="I54" s="95"/>
      <c r="J54" s="96"/>
    </row>
    <row r="55" spans="1:33" ht="13.8" x14ac:dyDescent="0.25">
      <c r="A55" s="4"/>
      <c r="B55" s="4"/>
      <c r="C55" s="3"/>
      <c r="E55" s="37"/>
      <c r="F55" s="37"/>
      <c r="G55" s="37"/>
      <c r="H55" s="37"/>
      <c r="I55" s="95"/>
      <c r="J55" s="96"/>
    </row>
    <row r="56" spans="1:33" ht="13.8" x14ac:dyDescent="0.25">
      <c r="A56" s="4"/>
      <c r="C56" s="3"/>
      <c r="E56" s="37"/>
      <c r="F56" s="37"/>
      <c r="G56" s="37"/>
      <c r="H56" s="37"/>
      <c r="I56" s="95"/>
      <c r="J56" s="96"/>
    </row>
    <row r="57" spans="1:33" ht="13.8" x14ac:dyDescent="0.25">
      <c r="G57" s="37"/>
      <c r="H57" s="37"/>
      <c r="I57" s="95"/>
      <c r="J57" s="96"/>
    </row>
    <row r="58" spans="1:33" ht="13.8" x14ac:dyDescent="0.25">
      <c r="G58" s="37"/>
      <c r="H58" s="37"/>
      <c r="I58" s="95"/>
      <c r="J58" s="96"/>
    </row>
    <row r="59" spans="1:33" ht="13.8" x14ac:dyDescent="0.25">
      <c r="G59" s="37"/>
      <c r="H59" s="37"/>
      <c r="I59" s="95"/>
      <c r="J59" s="96"/>
    </row>
    <row r="60" spans="1:33" ht="13.8" x14ac:dyDescent="0.25">
      <c r="G60" s="37"/>
      <c r="H60" s="37"/>
      <c r="I60" s="95"/>
      <c r="J60" s="96"/>
    </row>
    <row r="61" spans="1:33" ht="13.8" x14ac:dyDescent="0.25">
      <c r="E61" s="37"/>
      <c r="F61" s="37"/>
      <c r="G61" s="37"/>
      <c r="H61" s="37"/>
      <c r="I61" s="95"/>
      <c r="J61" s="96"/>
    </row>
    <row r="62" spans="1:33" ht="13.8" x14ac:dyDescent="0.25">
      <c r="E62" s="37"/>
      <c r="F62" s="37"/>
      <c r="G62" s="37"/>
      <c r="H62" s="37"/>
      <c r="I62" s="95"/>
      <c r="J62" s="96"/>
    </row>
    <row r="63" spans="1:33" ht="13.8" x14ac:dyDescent="0.25">
      <c r="E63" s="37"/>
      <c r="F63" s="37"/>
      <c r="G63" s="37"/>
      <c r="H63" s="37"/>
      <c r="I63" s="95"/>
      <c r="J63" s="96"/>
    </row>
    <row r="64" spans="1:33" x14ac:dyDescent="0.25">
      <c r="E64" s="37"/>
      <c r="F64" s="37"/>
      <c r="G64" s="37"/>
      <c r="H64" s="37"/>
    </row>
    <row r="65" spans="5:8" x14ac:dyDescent="0.25">
      <c r="E65" s="37"/>
      <c r="F65" s="37"/>
      <c r="G65" s="37"/>
      <c r="H65" s="37"/>
    </row>
    <row r="66" spans="5:8" x14ac:dyDescent="0.25">
      <c r="E66" s="37"/>
      <c r="F66" s="37"/>
      <c r="G66" s="37"/>
      <c r="H66" s="37"/>
    </row>
    <row r="67" spans="5:8" x14ac:dyDescent="0.25">
      <c r="H67" s="37"/>
    </row>
    <row r="68" spans="5:8" x14ac:dyDescent="0.25">
      <c r="H68" s="37"/>
    </row>
  </sheetData>
  <mergeCells count="3">
    <mergeCell ref="K2:L2"/>
    <mergeCell ref="K3:L3"/>
    <mergeCell ref="K5:L5"/>
  </mergeCells>
  <conditionalFormatting sqref="N39:N42">
    <cfRule type="cellIs" dxfId="7" priority="8" operator="greaterThan">
      <formula>M39</formula>
    </cfRule>
  </conditionalFormatting>
  <conditionalFormatting sqref="N9:N20 N22:N38">
    <cfRule type="cellIs" dxfId="6" priority="9" operator="greaterThan">
      <formula>#REF!</formula>
    </cfRule>
  </conditionalFormatting>
  <conditionalFormatting sqref="C9">
    <cfRule type="expression" priority="6" stopIfTrue="1">
      <formula>#REF!&gt;0</formula>
    </cfRule>
    <cfRule type="expression" dxfId="5" priority="7">
      <formula>H18e18&gt;#REF!</formula>
    </cfRule>
  </conditionalFormatting>
  <conditionalFormatting sqref="C10:C37">
    <cfRule type="expression" priority="4" stopIfTrue="1">
      <formula>#REF!&gt;0</formula>
    </cfRule>
    <cfRule type="expression" dxfId="4" priority="5">
      <formula>H18e18&gt;#REF!</formula>
    </cfRule>
  </conditionalFormatting>
  <conditionalFormatting sqref="M9:M37">
    <cfRule type="cellIs" dxfId="3" priority="3" stopIfTrue="1" operator="lessThan">
      <formula>0</formula>
    </cfRule>
  </conditionalFormatting>
  <conditionalFormatting sqref="I9">
    <cfRule type="cellIs" dxfId="2" priority="1" operator="lessThan">
      <formula>0</formula>
    </cfRule>
    <cfRule type="cellIs" dxfId="1" priority="2" stopIfTrue="1" operator="lessThan">
      <formula>#REF!</formula>
    </cfRule>
  </conditionalFormatting>
  <pageMargins left="0.75" right="0.75" top="0.6" bottom="0.59" header="0.25" footer="0.25"/>
  <pageSetup scale="91" orientation="landscape" r:id="rId1"/>
  <headerFooter alignWithMargins="0">
    <oddFooter>&amp;L&amp;7&amp;Z&amp;F,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36" sqref="C36"/>
    </sheetView>
  </sheetViews>
  <sheetFormatPr defaultColWidth="9.109375" defaultRowHeight="13.2" outlineLevelCol="1" x14ac:dyDescent="0.25"/>
  <cols>
    <col min="1" max="1" width="14.5546875" style="52" customWidth="1"/>
    <col min="2" max="2" width="10.6640625" style="52" bestFit="1" customWidth="1"/>
    <col min="3" max="3" width="15.44140625" style="52" bestFit="1" customWidth="1"/>
    <col min="4" max="4" width="11.33203125" style="52" customWidth="1"/>
    <col min="5" max="5" width="11.44140625" style="52" customWidth="1"/>
    <col min="6" max="7" width="8.6640625" style="52" customWidth="1"/>
    <col min="8" max="8" width="8.5546875" style="52" customWidth="1"/>
    <col min="9" max="9" width="9.109375" style="52" customWidth="1"/>
    <col min="10" max="10" width="7.44140625" style="52" customWidth="1"/>
    <col min="11" max="11" width="12" style="52" hidden="1" customWidth="1"/>
    <col min="12" max="12" width="7.44140625" style="52" customWidth="1"/>
    <col min="13" max="13" width="9.88671875" style="52" customWidth="1"/>
    <col min="14" max="14" width="9.6640625" style="52" bestFit="1" customWidth="1"/>
    <col min="15" max="15" width="6.6640625" style="51" bestFit="1" customWidth="1"/>
    <col min="16" max="16" width="11.109375" style="52" bestFit="1" customWidth="1"/>
    <col min="17" max="17" width="12.5546875" style="52" customWidth="1"/>
    <col min="18" max="18" width="12.6640625" style="52" customWidth="1"/>
    <col min="19" max="19" width="12.5546875" style="52" customWidth="1"/>
    <col min="20" max="20" width="12.44140625" style="52" customWidth="1"/>
    <col min="21" max="21" width="13.44140625" style="52" hidden="1" customWidth="1" outlineLevel="1"/>
    <col min="22" max="22" width="9.109375" style="52" collapsed="1"/>
    <col min="23" max="16384" width="9.109375" style="52"/>
  </cols>
  <sheetData>
    <row r="1" spans="1:21" x14ac:dyDescent="0.25">
      <c r="A1" s="51" t="s">
        <v>68</v>
      </c>
      <c r="O1" s="53"/>
      <c r="P1" s="53"/>
      <c r="Q1" s="54"/>
    </row>
    <row r="2" spans="1:21" ht="13.8" x14ac:dyDescent="0.25">
      <c r="A2" s="51"/>
      <c r="F2" s="1"/>
      <c r="G2" s="55"/>
      <c r="H2" s="55"/>
      <c r="I2" s="55"/>
      <c r="K2" s="56" t="s">
        <v>32</v>
      </c>
      <c r="O2" s="53"/>
      <c r="P2" s="57"/>
      <c r="Q2" s="57"/>
    </row>
    <row r="3" spans="1:21" x14ac:dyDescent="0.25">
      <c r="A3" s="51"/>
      <c r="B3" s="58">
        <v>-1</v>
      </c>
      <c r="C3" s="58">
        <v>-2</v>
      </c>
      <c r="D3" s="58">
        <v>-3</v>
      </c>
      <c r="E3" s="58">
        <v>-4</v>
      </c>
      <c r="F3" s="58">
        <v>-5</v>
      </c>
      <c r="G3" s="58">
        <v>-6</v>
      </c>
      <c r="H3" s="58">
        <v>-7</v>
      </c>
      <c r="I3" s="58">
        <v>-8</v>
      </c>
      <c r="J3" s="58">
        <v>-9</v>
      </c>
      <c r="K3" s="58">
        <v>-6.8636363636363598</v>
      </c>
      <c r="L3" s="58">
        <v>-10</v>
      </c>
      <c r="M3" s="59">
        <v>-11</v>
      </c>
      <c r="N3" s="59">
        <v>-12</v>
      </c>
      <c r="O3" s="60">
        <v>-13</v>
      </c>
      <c r="P3" s="61">
        <v>-14</v>
      </c>
      <c r="Q3" s="61">
        <v>-15</v>
      </c>
      <c r="R3" s="62"/>
      <c r="S3" s="62"/>
    </row>
    <row r="4" spans="1:21" x14ac:dyDescent="0.25">
      <c r="A4" s="51"/>
      <c r="B4" s="58"/>
      <c r="C4" s="59" t="s">
        <v>66</v>
      </c>
      <c r="D4" s="58" t="str">
        <f t="shared" ref="D4:I4" si="0">C4</f>
        <v>FFY 2012</v>
      </c>
      <c r="E4" s="58" t="str">
        <f t="shared" si="0"/>
        <v>FFY 2012</v>
      </c>
      <c r="F4" s="58" t="str">
        <f t="shared" si="0"/>
        <v>FFY 2012</v>
      </c>
      <c r="G4" s="58" t="str">
        <f t="shared" si="0"/>
        <v>FFY 2012</v>
      </c>
      <c r="H4" s="58" t="str">
        <f t="shared" si="0"/>
        <v>FFY 2012</v>
      </c>
      <c r="I4" s="58" t="str">
        <f t="shared" si="0"/>
        <v>FFY 2012</v>
      </c>
      <c r="J4" s="58"/>
      <c r="K4" s="58"/>
      <c r="L4" s="56" t="s">
        <v>33</v>
      </c>
      <c r="M4" s="63" t="s">
        <v>34</v>
      </c>
      <c r="N4" s="56" t="s">
        <v>33</v>
      </c>
      <c r="O4" s="53"/>
      <c r="P4" s="64" t="s">
        <v>35</v>
      </c>
      <c r="Q4" s="57"/>
      <c r="R4" s="53"/>
      <c r="S4" s="53"/>
    </row>
    <row r="5" spans="1:21" x14ac:dyDescent="0.25">
      <c r="A5" s="65"/>
      <c r="B5" s="66">
        <v>40909</v>
      </c>
      <c r="C5" s="65" t="s">
        <v>36</v>
      </c>
      <c r="D5" s="56" t="s">
        <v>27</v>
      </c>
      <c r="E5" s="56" t="s">
        <v>27</v>
      </c>
      <c r="F5" s="56" t="s">
        <v>37</v>
      </c>
      <c r="G5" s="56" t="s">
        <v>38</v>
      </c>
      <c r="H5" s="56" t="s">
        <v>39</v>
      </c>
      <c r="I5" s="56" t="s">
        <v>40</v>
      </c>
      <c r="J5" s="67" t="s">
        <v>41</v>
      </c>
      <c r="K5" s="56" t="s">
        <v>42</v>
      </c>
      <c r="L5" s="56" t="s">
        <v>43</v>
      </c>
      <c r="M5" s="56" t="s">
        <v>44</v>
      </c>
      <c r="N5" s="68" t="s">
        <v>45</v>
      </c>
      <c r="O5" s="53"/>
      <c r="P5" s="64" t="s">
        <v>46</v>
      </c>
      <c r="Q5" s="64"/>
      <c r="R5" s="53"/>
      <c r="S5" s="53"/>
    </row>
    <row r="6" spans="1:21" s="74" customFormat="1" ht="39.6" x14ac:dyDescent="0.25">
      <c r="A6" s="69" t="s">
        <v>47</v>
      </c>
      <c r="B6" s="64" t="s">
        <v>45</v>
      </c>
      <c r="C6" s="64" t="s">
        <v>48</v>
      </c>
      <c r="D6" s="64" t="s">
        <v>49</v>
      </c>
      <c r="E6" s="64" t="s">
        <v>50</v>
      </c>
      <c r="F6" s="64" t="s">
        <v>51</v>
      </c>
      <c r="G6" s="70" t="s">
        <v>52</v>
      </c>
      <c r="H6" s="70" t="s">
        <v>52</v>
      </c>
      <c r="I6" s="70" t="s">
        <v>52</v>
      </c>
      <c r="J6" s="71" t="s">
        <v>53</v>
      </c>
      <c r="K6" s="68" t="s">
        <v>54</v>
      </c>
      <c r="L6" s="71" t="s">
        <v>55</v>
      </c>
      <c r="M6" s="68" t="s">
        <v>56</v>
      </c>
      <c r="N6" s="72">
        <f>B40</f>
        <v>5371.2210480358926</v>
      </c>
      <c r="O6" s="68" t="s">
        <v>57</v>
      </c>
      <c r="P6" s="73">
        <v>4797.3886543388144</v>
      </c>
      <c r="Q6" s="71" t="s">
        <v>69</v>
      </c>
      <c r="R6" s="71"/>
      <c r="S6" s="71"/>
    </row>
    <row r="7" spans="1:21" s="74" customFormat="1" ht="39.6" x14ac:dyDescent="0.25">
      <c r="A7" s="69" t="s">
        <v>58</v>
      </c>
      <c r="B7" s="64"/>
      <c r="C7" s="64"/>
      <c r="D7" s="64"/>
      <c r="E7" s="64"/>
      <c r="F7" s="76" t="s">
        <v>59</v>
      </c>
      <c r="G7" s="68"/>
      <c r="H7" s="68"/>
      <c r="I7" s="68"/>
      <c r="J7" s="68"/>
      <c r="K7" s="68"/>
      <c r="L7" s="71" t="s">
        <v>60</v>
      </c>
      <c r="M7" s="71" t="s">
        <v>61</v>
      </c>
      <c r="N7" s="68"/>
      <c r="O7" s="77"/>
      <c r="P7" s="78"/>
      <c r="Q7" s="68"/>
    </row>
    <row r="8" spans="1:21" s="63" customFormat="1" ht="26.4" x14ac:dyDescent="0.25">
      <c r="A8" s="79" t="s">
        <v>62</v>
      </c>
      <c r="B8" s="56"/>
      <c r="C8" s="80" t="s">
        <v>67</v>
      </c>
      <c r="D8" s="80" t="str">
        <f>C8</f>
        <v>OHCA - Rep. 550</v>
      </c>
      <c r="E8" s="80" t="str">
        <f>D8</f>
        <v>OHCA - Rep. 550</v>
      </c>
      <c r="F8" s="75"/>
      <c r="G8" s="80" t="str">
        <f>E8</f>
        <v>OHCA - Rep. 550</v>
      </c>
      <c r="H8" s="80" t="str">
        <f>G8</f>
        <v>OHCA - Rep. 550</v>
      </c>
      <c r="I8" s="80" t="str">
        <f>H8</f>
        <v>OHCA - Rep. 550</v>
      </c>
      <c r="J8" s="68"/>
      <c r="K8" s="68"/>
      <c r="L8" s="80" t="str">
        <f>A40</f>
        <v>Weighted Avg</v>
      </c>
      <c r="M8" s="80" t="str">
        <f>L8</f>
        <v>Weighted Avg</v>
      </c>
      <c r="N8" s="68"/>
      <c r="O8" s="77"/>
      <c r="P8" s="81"/>
      <c r="Q8" s="68"/>
      <c r="R8" s="74"/>
      <c r="S8" s="74"/>
    </row>
    <row r="9" spans="1:21" s="105" customFormat="1" ht="13.8" x14ac:dyDescent="0.25">
      <c r="A9" s="10" t="s">
        <v>26</v>
      </c>
      <c r="B9" s="97">
        <v>4201.2299999999996</v>
      </c>
      <c r="C9" s="99">
        <f>[1]BCKUS!$D$197</f>
        <v>264111731</v>
      </c>
      <c r="D9" s="100">
        <f>[1]BCKUS!$D$211</f>
        <v>14894.275100000001</v>
      </c>
      <c r="E9" s="100">
        <f>[1]BCKUS!$D$223</f>
        <v>19896.495893239789</v>
      </c>
      <c r="F9" s="90">
        <f>C9/(D9+E9)</f>
        <v>7591.4308151239202</v>
      </c>
      <c r="G9" s="101">
        <f>[1]BCKUS!$D$138</f>
        <v>5508</v>
      </c>
      <c r="H9" s="101">
        <f>[1]BCKUS!$D$140</f>
        <v>2286</v>
      </c>
      <c r="I9" s="101">
        <f>[1]BCKUS!$D$145</f>
        <v>11911</v>
      </c>
      <c r="J9" s="102">
        <f>(+G9+H9)/I9</f>
        <v>0.65435311896566195</v>
      </c>
      <c r="K9" s="102">
        <v>0.39300000000000002</v>
      </c>
      <c r="L9" s="103">
        <f>IF(OR(AND(L8="Avg.",F9&lt;F$39),AND(L$8="Weighted Avg",F9&lt;F$40)),1,0)</f>
        <v>1</v>
      </c>
      <c r="M9" s="103">
        <f>IF(OR(AND(M$8="Avg.",J9&gt;J$39),AND(M$8="Weighted Avg",J9&gt;J$40)),1,0)</f>
        <v>1</v>
      </c>
      <c r="N9" s="103">
        <f t="shared" ref="N9:N38" si="1">IF(+B9&lt;$N$6,1,0)</f>
        <v>1</v>
      </c>
      <c r="O9" s="77">
        <f>IF(AND(L9+M9=2,N9=1),1,0)</f>
        <v>1</v>
      </c>
      <c r="P9" s="104">
        <f>IF(O9=1,$P$6-B9,0)</f>
        <v>596.15865433881481</v>
      </c>
      <c r="Q9" s="82">
        <f>+P9*H9</f>
        <v>1362818.6838185308</v>
      </c>
      <c r="R9" s="82"/>
      <c r="S9" s="82"/>
      <c r="U9" s="106">
        <f>B9*H9</f>
        <v>9604011.7799999993</v>
      </c>
    </row>
    <row r="10" spans="1:21" s="105" customFormat="1" ht="13.8" x14ac:dyDescent="0.25">
      <c r="A10" s="107" t="s">
        <v>25</v>
      </c>
      <c r="B10" s="97">
        <v>5356.54</v>
      </c>
      <c r="C10" s="99">
        <f>[1]BRGPT!$D$197</f>
        <v>403987000</v>
      </c>
      <c r="D10" s="100">
        <f>[1]BRGPT!$D$211</f>
        <v>24234.596359999996</v>
      </c>
      <c r="E10" s="100">
        <f>[1]BRGPT!$D$223</f>
        <v>16746.09005248185</v>
      </c>
      <c r="F10" s="90">
        <f t="shared" ref="F10:F38" si="2">C10/(D10+E10)</f>
        <v>9857.9851965816306</v>
      </c>
      <c r="G10" s="101">
        <f>[1]BRGPT!$D$138</f>
        <v>7260</v>
      </c>
      <c r="H10" s="101">
        <f>[1]BRGPT!$D$140</f>
        <v>5984</v>
      </c>
      <c r="I10" s="101">
        <f>[1]BRGPT!$D$145</f>
        <v>18936</v>
      </c>
      <c r="J10" s="102">
        <f t="shared" ref="J10:J38" si="3">(+G10+H10)/I10</f>
        <v>0.69940853400929448</v>
      </c>
      <c r="K10" s="102">
        <v>0.54300000000000004</v>
      </c>
      <c r="L10" s="103">
        <f t="shared" ref="L10:L38" si="4">IF(OR(AND(L9="Avg.",F10&lt;F$39),AND(L$8="Weighted Avg",F10&lt;F$40)),1,0)</f>
        <v>1</v>
      </c>
      <c r="M10" s="103">
        <f t="shared" ref="M10:M38" si="5">IF(OR(AND(M$8="Avg.",J10&gt;J$39),AND(M$8="Weighted Avg",J10&gt;J$40)),1,0)</f>
        <v>1</v>
      </c>
      <c r="N10" s="103">
        <f t="shared" si="1"/>
        <v>1</v>
      </c>
      <c r="O10" s="77">
        <f t="shared" ref="O10:O38" si="6">IF(AND(L10+M10=2,N10=1),1,0)</f>
        <v>1</v>
      </c>
      <c r="P10" s="108">
        <f>IF(AND(O10=1,$P$6-B10&gt;0),P6-B10,100000/H10)</f>
        <v>16.711229946524064</v>
      </c>
      <c r="Q10" s="109">
        <f>+P10*H10</f>
        <v>100000</v>
      </c>
      <c r="R10" s="82"/>
      <c r="S10" s="82"/>
      <c r="U10" s="106">
        <f t="shared" ref="U10:U38" si="7">B10*H10</f>
        <v>32053535.359999999</v>
      </c>
    </row>
    <row r="11" spans="1:21" s="105" customFormat="1" x14ac:dyDescent="0.25">
      <c r="A11" s="107" t="s">
        <v>24</v>
      </c>
      <c r="B11" s="97">
        <v>3590.39</v>
      </c>
      <c r="C11" s="89">
        <f>[1]BRSTL!$D$197</f>
        <v>134486303</v>
      </c>
      <c r="D11" s="92">
        <f>[1]BRSTL!$D$211</f>
        <v>8451.2489999999998</v>
      </c>
      <c r="E11" s="92">
        <f>[1]BRSTL!$D$223</f>
        <v>13581.794282234587</v>
      </c>
      <c r="F11" s="90">
        <f t="shared" si="2"/>
        <v>6103.8459951847572</v>
      </c>
      <c r="G11" s="91">
        <f>[1]BRSTL!$D$138</f>
        <v>3565</v>
      </c>
      <c r="H11" s="91">
        <f>[1]BRSTL!$D$140</f>
        <v>1625</v>
      </c>
      <c r="I11" s="91">
        <f>[1]BRSTL!$D$145</f>
        <v>7565</v>
      </c>
      <c r="J11" s="110">
        <f t="shared" si="3"/>
        <v>0.68605419695968273</v>
      </c>
      <c r="K11" s="110">
        <v>0.56499999999999995</v>
      </c>
      <c r="L11" s="103">
        <f t="shared" si="4"/>
        <v>1</v>
      </c>
      <c r="M11" s="103">
        <f t="shared" si="5"/>
        <v>1</v>
      </c>
      <c r="N11" s="103">
        <f t="shared" si="1"/>
        <v>1</v>
      </c>
      <c r="O11" s="77">
        <f t="shared" si="6"/>
        <v>1</v>
      </c>
      <c r="P11" s="111">
        <f>IF(O11=1,$P$6-B11,0)</f>
        <v>1206.9986543388145</v>
      </c>
      <c r="Q11" s="82">
        <f>+P11*H11</f>
        <v>1961372.8133005735</v>
      </c>
      <c r="R11" s="82"/>
      <c r="S11" s="82"/>
      <c r="U11" s="106">
        <f t="shared" si="7"/>
        <v>5834383.75</v>
      </c>
    </row>
    <row r="12" spans="1:21" s="105" customFormat="1" ht="13.8" x14ac:dyDescent="0.25">
      <c r="A12" s="107" t="s">
        <v>23</v>
      </c>
      <c r="B12" s="97"/>
      <c r="C12" s="89">
        <f>[1]CTCMC!$D$197</f>
        <v>251662045</v>
      </c>
      <c r="D12" s="92">
        <f>[1]CTCMC!$D$211</f>
        <v>10373.3649</v>
      </c>
      <c r="E12" s="92">
        <f>[1]CTCMC!$D$223</f>
        <v>4668.9300220537425</v>
      </c>
      <c r="F12" s="90">
        <f t="shared" ref="F12" si="8">C12/(D12+E12)</f>
        <v>16730.295895943003</v>
      </c>
      <c r="G12" s="91">
        <f>[1]CTCMC!$D$138</f>
        <v>3</v>
      </c>
      <c r="H12" s="91">
        <f>[1]CTCMC!$D$140</f>
        <v>3392</v>
      </c>
      <c r="I12" s="91">
        <f>[1]CTCMC!$D$145</f>
        <v>6642</v>
      </c>
      <c r="J12" s="110">
        <f>(+G12+H12)/I12</f>
        <v>0.51114122252333638</v>
      </c>
      <c r="K12" s="102">
        <v>0.39500000000000002</v>
      </c>
      <c r="L12" s="103">
        <f t="shared" si="4"/>
        <v>0</v>
      </c>
      <c r="M12" s="103">
        <f t="shared" si="5"/>
        <v>0</v>
      </c>
      <c r="N12" s="103">
        <f t="shared" si="1"/>
        <v>1</v>
      </c>
      <c r="O12" s="77">
        <f t="shared" si="6"/>
        <v>0</v>
      </c>
      <c r="P12" s="104">
        <f>IF(N12+O12=2,1,0)</f>
        <v>0</v>
      </c>
      <c r="Q12" s="104">
        <f>IF(P12=1,$N$4-B12,0)</f>
        <v>0</v>
      </c>
      <c r="R12" s="82"/>
      <c r="S12" s="82"/>
      <c r="U12" s="106">
        <f t="shared" si="7"/>
        <v>0</v>
      </c>
    </row>
    <row r="13" spans="1:21" s="105" customFormat="1" ht="13.8" x14ac:dyDescent="0.25">
      <c r="A13" s="107" t="s">
        <v>22</v>
      </c>
      <c r="B13" s="97">
        <v>5377.29</v>
      </c>
      <c r="C13" s="99">
        <f>[1]DANBY!$D$197</f>
        <v>514797196</v>
      </c>
      <c r="D13" s="100">
        <f>[1]DANBY!$D$211</f>
        <v>24023.6594</v>
      </c>
      <c r="E13" s="100">
        <f>[1]DANBY!$D$223</f>
        <v>24031.820060098344</v>
      </c>
      <c r="F13" s="90">
        <f t="shared" si="2"/>
        <v>10712.559770160005</v>
      </c>
      <c r="G13" s="101">
        <f>[1]DANBY!$D$138</f>
        <v>8736</v>
      </c>
      <c r="H13" s="101">
        <f>[1]DANBY!$D$140</f>
        <v>3326</v>
      </c>
      <c r="I13" s="101">
        <f>[1]DANBY!$D$145</f>
        <v>19668</v>
      </c>
      <c r="J13" s="102">
        <f t="shared" si="3"/>
        <v>0.61328045556233479</v>
      </c>
      <c r="K13" s="102">
        <v>0.40899999999999997</v>
      </c>
      <c r="L13" s="103">
        <f t="shared" si="4"/>
        <v>0</v>
      </c>
      <c r="M13" s="103">
        <f t="shared" si="5"/>
        <v>0</v>
      </c>
      <c r="N13" s="103">
        <f t="shared" si="1"/>
        <v>0</v>
      </c>
      <c r="O13" s="77">
        <f t="shared" si="6"/>
        <v>0</v>
      </c>
      <c r="P13" s="104">
        <f t="shared" ref="P13:P39" si="9">IF(O13=1,$P$6-B13,0)</f>
        <v>0</v>
      </c>
      <c r="Q13" s="82">
        <f t="shared" ref="Q13:Q38" si="10">+P13*H13</f>
        <v>0</v>
      </c>
      <c r="R13" s="82"/>
      <c r="S13" s="82"/>
      <c r="U13" s="106">
        <f t="shared" si="7"/>
        <v>17884866.539999999</v>
      </c>
    </row>
    <row r="14" spans="1:21" s="105" customFormat="1" x14ac:dyDescent="0.25">
      <c r="A14" s="107" t="s">
        <v>21</v>
      </c>
      <c r="B14" s="97">
        <v>3866.9</v>
      </c>
      <c r="C14" s="89">
        <f>[1]DAYKM!$D$197</f>
        <v>115241429</v>
      </c>
      <c r="D14" s="92">
        <f>[1]DAYKM!$D$211</f>
        <v>5242.5012999999999</v>
      </c>
      <c r="E14" s="92">
        <f>[1]DAYKM!$D$223</f>
        <v>13269.75137604852</v>
      </c>
      <c r="F14" s="90">
        <f t="shared" si="2"/>
        <v>6225.1434774926875</v>
      </c>
      <c r="G14" s="91">
        <f>[1]DAYKM!$D$138</f>
        <v>2208</v>
      </c>
      <c r="H14" s="91">
        <f>[1]DAYKM!$D$140</f>
        <v>1427</v>
      </c>
      <c r="I14" s="91">
        <f>[1]DAYKM!$D$145</f>
        <v>5097</v>
      </c>
      <c r="J14" s="110">
        <f t="shared" si="3"/>
        <v>0.71316460663135173</v>
      </c>
      <c r="K14" s="110">
        <v>0.53</v>
      </c>
      <c r="L14" s="103">
        <f t="shared" si="4"/>
        <v>1</v>
      </c>
      <c r="M14" s="103">
        <f t="shared" si="5"/>
        <v>1</v>
      </c>
      <c r="N14" s="103">
        <f t="shared" si="1"/>
        <v>1</v>
      </c>
      <c r="O14" s="77">
        <f t="shared" si="6"/>
        <v>1</v>
      </c>
      <c r="P14" s="111">
        <f t="shared" si="9"/>
        <v>930.48865433881429</v>
      </c>
      <c r="Q14" s="82">
        <f t="shared" si="10"/>
        <v>1327807.309741488</v>
      </c>
      <c r="R14" s="82"/>
      <c r="S14" s="82"/>
      <c r="U14" s="106">
        <f t="shared" si="7"/>
        <v>5518066.2999999998</v>
      </c>
    </row>
    <row r="15" spans="1:21" s="105" customFormat="1" ht="13.8" x14ac:dyDescent="0.25">
      <c r="A15" s="107" t="s">
        <v>31</v>
      </c>
      <c r="B15" s="97">
        <v>10142.98</v>
      </c>
      <c r="C15" s="99">
        <f>[1]DMPSY!$D$197</f>
        <v>296523349</v>
      </c>
      <c r="D15" s="100">
        <f>[1]DMPSY!$D$211</f>
        <v>11891.313699999999</v>
      </c>
      <c r="E15" s="100">
        <f>[1]DMPSY!$D$223</f>
        <v>11744.065089785869</v>
      </c>
      <c r="F15" s="90">
        <f t="shared" si="2"/>
        <v>12545.741349749125</v>
      </c>
      <c r="G15" s="101">
        <f>[1]DMPSY!$D$138</f>
        <v>3700</v>
      </c>
      <c r="H15" s="101">
        <f>[1]DMPSY!$D$140</f>
        <v>2050</v>
      </c>
      <c r="I15" s="101">
        <f>[1]DMPSY!$D$145</f>
        <v>8374</v>
      </c>
      <c r="J15" s="102">
        <f t="shared" si="3"/>
        <v>0.68664915213756872</v>
      </c>
      <c r="K15" s="102">
        <v>0.53800000000000003</v>
      </c>
      <c r="L15" s="103">
        <f t="shared" si="4"/>
        <v>0</v>
      </c>
      <c r="M15" s="103">
        <f t="shared" si="5"/>
        <v>1</v>
      </c>
      <c r="N15" s="103">
        <f t="shared" si="1"/>
        <v>0</v>
      </c>
      <c r="O15" s="77">
        <f t="shared" si="6"/>
        <v>0</v>
      </c>
      <c r="P15" s="104">
        <f t="shared" si="9"/>
        <v>0</v>
      </c>
      <c r="Q15" s="82">
        <f t="shared" si="10"/>
        <v>0</v>
      </c>
      <c r="R15" s="82"/>
      <c r="S15" s="82"/>
      <c r="U15" s="106">
        <f t="shared" si="7"/>
        <v>20793109</v>
      </c>
    </row>
    <row r="16" spans="1:21" s="105" customFormat="1" ht="13.8" x14ac:dyDescent="0.25">
      <c r="A16" s="10" t="s">
        <v>20</v>
      </c>
      <c r="B16" s="97">
        <v>5874.16</v>
      </c>
      <c r="C16" s="99">
        <f>[1]GRENH!$D$197</f>
        <v>312559000</v>
      </c>
      <c r="D16" s="100">
        <f>[1]GRENH!$D$211</f>
        <v>13646.560600000001</v>
      </c>
      <c r="E16" s="100">
        <f>[1]GRENH!$D$223</f>
        <v>18828.783753134077</v>
      </c>
      <c r="F16" s="90">
        <f t="shared" si="2"/>
        <v>9624.5014864587902</v>
      </c>
      <c r="G16" s="101">
        <f>[1]GRENH!$D$138</f>
        <v>4984</v>
      </c>
      <c r="H16" s="101">
        <f>[1]GRENH!$D$140</f>
        <v>425</v>
      </c>
      <c r="I16" s="101">
        <f>[1]GRENH!$D$145</f>
        <v>13027</v>
      </c>
      <c r="J16" s="102">
        <f t="shared" si="3"/>
        <v>0.4152145543870423</v>
      </c>
      <c r="K16" s="102">
        <v>0.29199999999999998</v>
      </c>
      <c r="L16" s="103">
        <f t="shared" si="4"/>
        <v>1</v>
      </c>
      <c r="M16" s="103">
        <f t="shared" si="5"/>
        <v>0</v>
      </c>
      <c r="N16" s="103">
        <f t="shared" si="1"/>
        <v>0</v>
      </c>
      <c r="O16" s="77">
        <f t="shared" si="6"/>
        <v>0</v>
      </c>
      <c r="P16" s="104">
        <f t="shared" si="9"/>
        <v>0</v>
      </c>
      <c r="Q16" s="82">
        <f t="shared" si="10"/>
        <v>0</v>
      </c>
      <c r="R16" s="82"/>
      <c r="S16" s="82"/>
      <c r="U16" s="106">
        <f t="shared" si="7"/>
        <v>2496518</v>
      </c>
    </row>
    <row r="17" spans="1:21" s="105" customFormat="1" x14ac:dyDescent="0.25">
      <c r="A17" s="10" t="s">
        <v>19</v>
      </c>
      <c r="B17" s="97">
        <v>4225.1899999999996</v>
      </c>
      <c r="C17" s="89">
        <f>[1]GRIFN!$D$197</f>
        <v>129115712</v>
      </c>
      <c r="D17" s="92">
        <f>[1]GRIFN!$D$211</f>
        <v>8015.6940000000013</v>
      </c>
      <c r="E17" s="92">
        <f>[1]GRIFN!$D$223</f>
        <v>9742.7409802424172</v>
      </c>
      <c r="F17" s="90">
        <f t="shared" si="2"/>
        <v>7270.6695237306012</v>
      </c>
      <c r="G17" s="91">
        <f>[1]GRIFN!$D$138</f>
        <v>3301</v>
      </c>
      <c r="H17" s="91">
        <f>[1]GRIFN!$D$140</f>
        <v>1283</v>
      </c>
      <c r="I17" s="91">
        <f>[1]GRIFN!$D$145</f>
        <v>7063</v>
      </c>
      <c r="J17" s="110">
        <f t="shared" si="3"/>
        <v>0.64901599886733685</v>
      </c>
      <c r="K17" s="110">
        <v>0.51300000000000001</v>
      </c>
      <c r="L17" s="103">
        <f t="shared" si="4"/>
        <v>1</v>
      </c>
      <c r="M17" s="103">
        <f t="shared" si="5"/>
        <v>1</v>
      </c>
      <c r="N17" s="103">
        <f t="shared" si="1"/>
        <v>1</v>
      </c>
      <c r="O17" s="77">
        <f t="shared" si="6"/>
        <v>1</v>
      </c>
      <c r="P17" s="111">
        <f t="shared" si="9"/>
        <v>572.19865433881478</v>
      </c>
      <c r="Q17" s="82">
        <f t="shared" si="10"/>
        <v>734130.87351669942</v>
      </c>
      <c r="R17" s="82"/>
      <c r="S17" s="82"/>
      <c r="U17" s="106">
        <f t="shared" si="7"/>
        <v>5420918.7699999996</v>
      </c>
    </row>
    <row r="18" spans="1:21" s="105" customFormat="1" ht="13.8" x14ac:dyDescent="0.25">
      <c r="A18" s="107" t="s">
        <v>18</v>
      </c>
      <c r="B18" s="97">
        <v>6694.01</v>
      </c>
      <c r="C18" s="99">
        <f>[1]HARTF!$D$197</f>
        <v>1080685090</v>
      </c>
      <c r="D18" s="100">
        <f>[1]HARTF!$D$211</f>
        <v>64832.832699999999</v>
      </c>
      <c r="E18" s="100">
        <f>[1]HARTF!$D$223</f>
        <v>22502.705365105263</v>
      </c>
      <c r="F18" s="90">
        <f t="shared" si="2"/>
        <v>12373.944375248378</v>
      </c>
      <c r="G18" s="101">
        <f>[1]HARTF!$D$138</f>
        <v>16556</v>
      </c>
      <c r="H18" s="101">
        <f>[1]HARTF!$D$140</f>
        <v>9311</v>
      </c>
      <c r="I18" s="101">
        <f>[1]HARTF!$D$145</f>
        <v>41251</v>
      </c>
      <c r="J18" s="102">
        <f t="shared" si="3"/>
        <v>0.62706358633730086</v>
      </c>
      <c r="K18" s="102">
        <v>0.52500000000000002</v>
      </c>
      <c r="L18" s="103">
        <f t="shared" si="4"/>
        <v>0</v>
      </c>
      <c r="M18" s="103">
        <f t="shared" si="5"/>
        <v>0</v>
      </c>
      <c r="N18" s="103">
        <f t="shared" si="1"/>
        <v>0</v>
      </c>
      <c r="O18" s="77">
        <f t="shared" si="6"/>
        <v>0</v>
      </c>
      <c r="P18" s="104">
        <f t="shared" si="9"/>
        <v>0</v>
      </c>
      <c r="Q18" s="82">
        <f t="shared" si="10"/>
        <v>0</v>
      </c>
      <c r="R18" s="82"/>
      <c r="S18" s="82"/>
      <c r="U18" s="106">
        <f t="shared" si="7"/>
        <v>62327927.109999999</v>
      </c>
    </row>
    <row r="19" spans="1:21" s="105" customFormat="1" x14ac:dyDescent="0.25">
      <c r="A19" s="107" t="s">
        <v>28</v>
      </c>
      <c r="B19" s="97">
        <v>4170.67</v>
      </c>
      <c r="C19" s="89">
        <f>[1]HOCCT!$D$197</f>
        <v>405668110</v>
      </c>
      <c r="D19" s="92">
        <f>[1]HOCCT!$D$211</f>
        <v>21905.514300000003</v>
      </c>
      <c r="E19" s="92">
        <f>[1]HOCCT!$D$223</f>
        <v>21931.607514075506</v>
      </c>
      <c r="F19" s="90">
        <f t="shared" si="2"/>
        <v>9253.98596469318</v>
      </c>
      <c r="G19" s="91">
        <f>[1]HOCCT!$D$138</f>
        <v>8524</v>
      </c>
      <c r="H19" s="91">
        <f>[1]HOCCT!$D$140</f>
        <v>4352</v>
      </c>
      <c r="I19" s="91">
        <f>[1]HOCCT!$D$145</f>
        <v>18252</v>
      </c>
      <c r="J19" s="110">
        <f t="shared" si="3"/>
        <v>0.70545693622616701</v>
      </c>
      <c r="K19" s="110">
        <v>0.52900000000000003</v>
      </c>
      <c r="L19" s="103">
        <f t="shared" si="4"/>
        <v>1</v>
      </c>
      <c r="M19" s="103">
        <f t="shared" si="5"/>
        <v>1</v>
      </c>
      <c r="N19" s="103">
        <f t="shared" si="1"/>
        <v>1</v>
      </c>
      <c r="O19" s="77">
        <f t="shared" si="6"/>
        <v>1</v>
      </c>
      <c r="P19" s="111">
        <f t="shared" si="9"/>
        <v>626.7186543388143</v>
      </c>
      <c r="Q19" s="82">
        <f t="shared" si="10"/>
        <v>2727479.5836825198</v>
      </c>
      <c r="R19" s="82"/>
      <c r="S19" s="82"/>
      <c r="U19" s="106">
        <f t="shared" si="7"/>
        <v>18150755.84</v>
      </c>
    </row>
    <row r="20" spans="1:21" s="105" customFormat="1" x14ac:dyDescent="0.25">
      <c r="A20" s="107" t="s">
        <v>17</v>
      </c>
      <c r="B20" s="97">
        <v>4100.33</v>
      </c>
      <c r="C20" s="89">
        <f>[1]HGRFD!$D$197</f>
        <v>121882681</v>
      </c>
      <c r="D20" s="92">
        <f>[1]HGRFD!$D$211</f>
        <v>7866.231600000001</v>
      </c>
      <c r="E20" s="92">
        <f>[1]HGRFD!$D$223</f>
        <v>11167.629508445505</v>
      </c>
      <c r="F20" s="90">
        <f t="shared" si="2"/>
        <v>6403.4659234704359</v>
      </c>
      <c r="G20" s="91">
        <f>[1]HGRFD!$D$138</f>
        <v>3482</v>
      </c>
      <c r="H20" s="91">
        <f>[1]HGRFD!$D$140</f>
        <v>1103</v>
      </c>
      <c r="I20" s="91">
        <f>[1]HGRFD!$D$145</f>
        <v>6338</v>
      </c>
      <c r="J20" s="110">
        <f t="shared" si="3"/>
        <v>0.72341432628589464</v>
      </c>
      <c r="K20" s="110">
        <v>0.61099999999999999</v>
      </c>
      <c r="L20" s="103">
        <f t="shared" si="4"/>
        <v>1</v>
      </c>
      <c r="M20" s="103">
        <f t="shared" si="5"/>
        <v>1</v>
      </c>
      <c r="N20" s="103">
        <f t="shared" si="1"/>
        <v>1</v>
      </c>
      <c r="O20" s="77">
        <f t="shared" si="6"/>
        <v>1</v>
      </c>
      <c r="P20" s="111">
        <f t="shared" si="9"/>
        <v>697.05865433881445</v>
      </c>
      <c r="Q20" s="82">
        <f t="shared" si="10"/>
        <v>768855.6957357123</v>
      </c>
      <c r="R20" s="82"/>
      <c r="S20" s="82"/>
      <c r="U20" s="106">
        <f t="shared" si="7"/>
        <v>4522663.99</v>
      </c>
    </row>
    <row r="21" spans="1:21" s="105" customFormat="1" x14ac:dyDescent="0.25">
      <c r="A21" s="107" t="s">
        <v>16</v>
      </c>
      <c r="B21" s="97">
        <v>3225.21</v>
      </c>
      <c r="C21" s="89">
        <f>[1]JNSON!$D$197</f>
        <v>65981058</v>
      </c>
      <c r="D21" s="92">
        <f>[1]JNSON!$D$211</f>
        <v>3792.2280000000001</v>
      </c>
      <c r="E21" s="92">
        <f>[1]JNSON!$D$223</f>
        <v>4854.3871310074937</v>
      </c>
      <c r="F21" s="90">
        <f t="shared" si="2"/>
        <v>7630.854039447916</v>
      </c>
      <c r="G21" s="91">
        <f>[1]JNSON!$D$138</f>
        <v>1601</v>
      </c>
      <c r="H21" s="91">
        <f>[1]JNSON!$D$140</f>
        <v>646</v>
      </c>
      <c r="I21" s="91">
        <f>[1]JNSON!$D$145</f>
        <v>3251</v>
      </c>
      <c r="J21" s="110">
        <f t="shared" si="3"/>
        <v>0.69117194709320207</v>
      </c>
      <c r="K21" s="110">
        <v>0.46500000000000002</v>
      </c>
      <c r="L21" s="103">
        <f t="shared" si="4"/>
        <v>1</v>
      </c>
      <c r="M21" s="103">
        <f t="shared" si="5"/>
        <v>1</v>
      </c>
      <c r="N21" s="103">
        <f t="shared" si="1"/>
        <v>1</v>
      </c>
      <c r="O21" s="77">
        <f t="shared" si="6"/>
        <v>1</v>
      </c>
      <c r="P21" s="111">
        <f t="shared" si="9"/>
        <v>1572.1786543388143</v>
      </c>
      <c r="Q21" s="82">
        <f t="shared" si="10"/>
        <v>1015627.4107028741</v>
      </c>
      <c r="R21" s="82"/>
      <c r="S21" s="82"/>
      <c r="U21" s="106">
        <f t="shared" si="7"/>
        <v>2083485.66</v>
      </c>
    </row>
    <row r="22" spans="1:21" s="105" customFormat="1" x14ac:dyDescent="0.25">
      <c r="A22" s="107" t="s">
        <v>29</v>
      </c>
      <c r="B22" s="97">
        <v>4520.92</v>
      </c>
      <c r="C22" s="89">
        <f>[1]lamem!$D$197</f>
        <v>318194716</v>
      </c>
      <c r="D22" s="92">
        <f>[1]lamem!$D$211</f>
        <v>18214.039199999999</v>
      </c>
      <c r="E22" s="92">
        <f>[1]lamem!$D$223</f>
        <v>21906.996476363551</v>
      </c>
      <c r="F22" s="90">
        <f t="shared" si="2"/>
        <v>7930.8699448019888</v>
      </c>
      <c r="G22" s="91">
        <f>[1]lamem!$D$138</f>
        <v>6829</v>
      </c>
      <c r="H22" s="91">
        <f>[1]lamem!$D$140</f>
        <v>3028</v>
      </c>
      <c r="I22" s="91">
        <f>[1]lamem!$D$145</f>
        <v>14932</v>
      </c>
      <c r="J22" s="110">
        <f t="shared" si="3"/>
        <v>0.66012590409858019</v>
      </c>
      <c r="K22" s="110">
        <v>0.45500000000000002</v>
      </c>
      <c r="L22" s="103">
        <f t="shared" si="4"/>
        <v>1</v>
      </c>
      <c r="M22" s="103">
        <f t="shared" si="5"/>
        <v>1</v>
      </c>
      <c r="N22" s="103">
        <f t="shared" si="1"/>
        <v>1</v>
      </c>
      <c r="O22" s="77">
        <f t="shared" si="6"/>
        <v>1</v>
      </c>
      <c r="P22" s="111">
        <f t="shared" si="9"/>
        <v>276.4686543388143</v>
      </c>
      <c r="Q22" s="82">
        <f t="shared" si="10"/>
        <v>837147.08533792966</v>
      </c>
      <c r="R22" s="82"/>
      <c r="S22" s="82"/>
      <c r="U22" s="106">
        <f t="shared" si="7"/>
        <v>13689345.76</v>
      </c>
    </row>
    <row r="23" spans="1:21" s="105" customFormat="1" ht="13.8" x14ac:dyDescent="0.25">
      <c r="A23" s="107" t="s">
        <v>15</v>
      </c>
      <c r="B23" s="97">
        <v>4842.67</v>
      </c>
      <c r="C23" s="99">
        <f>[1]MANCH!$D$197</f>
        <v>184446001</v>
      </c>
      <c r="D23" s="100">
        <f>[1]MANCH!$D$211</f>
        <v>10181.310729999999</v>
      </c>
      <c r="E23" s="100">
        <f>[1]MANCH!$D$223</f>
        <v>16802.09529251777</v>
      </c>
      <c r="F23" s="90">
        <f t="shared" si="2"/>
        <v>6835.534433498834</v>
      </c>
      <c r="G23" s="101">
        <f>[1]MANCH!$D$138</f>
        <v>3537</v>
      </c>
      <c r="H23" s="101">
        <f>[1]MANCH!$D$140</f>
        <v>1957</v>
      </c>
      <c r="I23" s="101">
        <f>[1]MANCH!$D$145</f>
        <v>8831</v>
      </c>
      <c r="J23" s="102">
        <f t="shared" si="3"/>
        <v>0.62212659947910764</v>
      </c>
      <c r="K23" s="102">
        <v>0.46</v>
      </c>
      <c r="L23" s="103">
        <f t="shared" si="4"/>
        <v>1</v>
      </c>
      <c r="M23" s="103">
        <f t="shared" si="5"/>
        <v>0</v>
      </c>
      <c r="N23" s="103">
        <f t="shared" si="1"/>
        <v>1</v>
      </c>
      <c r="O23" s="77">
        <f t="shared" si="6"/>
        <v>0</v>
      </c>
      <c r="P23" s="104">
        <f t="shared" si="9"/>
        <v>0</v>
      </c>
      <c r="Q23" s="82">
        <f t="shared" si="10"/>
        <v>0</v>
      </c>
      <c r="R23" s="82"/>
      <c r="S23" s="82"/>
      <c r="U23" s="106">
        <f t="shared" si="7"/>
        <v>9477105.1899999995</v>
      </c>
    </row>
    <row r="24" spans="1:21" s="105" customFormat="1" ht="13.8" x14ac:dyDescent="0.25">
      <c r="A24" s="107" t="s">
        <v>14</v>
      </c>
      <c r="B24" s="97">
        <v>4546.3900000000003</v>
      </c>
      <c r="C24" s="99">
        <f>[1]MIDSX!$D$197</f>
        <v>334537291</v>
      </c>
      <c r="D24" s="100">
        <f>[1]MIDSX!$D$211</f>
        <v>17451.388900000002</v>
      </c>
      <c r="E24" s="100">
        <f>[1]MIDSX!$D$223</f>
        <v>18025.257906205974</v>
      </c>
      <c r="F24" s="90">
        <f t="shared" si="2"/>
        <v>9429.7889207916633</v>
      </c>
      <c r="G24" s="101">
        <f>[1]MIDSX!$D$138</f>
        <v>7537</v>
      </c>
      <c r="H24" s="101">
        <f>[1]MIDSX!$D$140</f>
        <v>2138</v>
      </c>
      <c r="I24" s="101">
        <f>[1]MIDSX!$D$145</f>
        <v>14158</v>
      </c>
      <c r="J24" s="102">
        <f t="shared" si="3"/>
        <v>0.6833592315298771</v>
      </c>
      <c r="K24" s="102">
        <v>0.44400000000000001</v>
      </c>
      <c r="L24" s="103">
        <f t="shared" si="4"/>
        <v>1</v>
      </c>
      <c r="M24" s="103">
        <f t="shared" si="5"/>
        <v>1</v>
      </c>
      <c r="N24" s="103">
        <f t="shared" si="1"/>
        <v>1</v>
      </c>
      <c r="O24" s="77">
        <f t="shared" si="6"/>
        <v>1</v>
      </c>
      <c r="P24" s="104">
        <f t="shared" si="9"/>
        <v>250.99865433881405</v>
      </c>
      <c r="Q24" s="82">
        <f t="shared" si="10"/>
        <v>536635.12297638447</v>
      </c>
      <c r="R24" s="82"/>
      <c r="S24" s="82"/>
      <c r="U24" s="106">
        <f t="shared" si="7"/>
        <v>9720181.8200000003</v>
      </c>
    </row>
    <row r="25" spans="1:21" s="105" customFormat="1" x14ac:dyDescent="0.25">
      <c r="A25" s="107" t="s">
        <v>13</v>
      </c>
      <c r="B25" s="97">
        <v>3900.75</v>
      </c>
      <c r="C25" s="89">
        <f>[1]MIDST!$D$197</f>
        <v>229085475</v>
      </c>
      <c r="D25" s="92">
        <f>[1]MIDST!$D$211</f>
        <v>12409.08029</v>
      </c>
      <c r="E25" s="92">
        <f>[1]MIDST!$D$223</f>
        <v>14129.782951525336</v>
      </c>
      <c r="F25" s="90">
        <f t="shared" si="2"/>
        <v>8632.0756437506388</v>
      </c>
      <c r="G25" s="91">
        <f>[1]MIDST!$D$138</f>
        <v>5054</v>
      </c>
      <c r="H25" s="91">
        <f>[1]MIDST!$D$140</f>
        <v>2151</v>
      </c>
      <c r="I25" s="91">
        <f>[1]MIDST!$D$145</f>
        <v>10330</v>
      </c>
      <c r="J25" s="110">
        <f t="shared" si="3"/>
        <v>0.69748305905130692</v>
      </c>
      <c r="K25" s="110">
        <v>0.46899999999999997</v>
      </c>
      <c r="L25" s="103">
        <f t="shared" si="4"/>
        <v>1</v>
      </c>
      <c r="M25" s="103">
        <f t="shared" si="5"/>
        <v>1</v>
      </c>
      <c r="N25" s="103">
        <f t="shared" si="1"/>
        <v>1</v>
      </c>
      <c r="O25" s="77">
        <f t="shared" si="6"/>
        <v>1</v>
      </c>
      <c r="P25" s="111">
        <f t="shared" si="9"/>
        <v>896.63865433881438</v>
      </c>
      <c r="Q25" s="82">
        <f t="shared" si="10"/>
        <v>1928669.7454827898</v>
      </c>
      <c r="R25" s="82"/>
      <c r="S25" s="82"/>
      <c r="U25" s="106">
        <f t="shared" si="7"/>
        <v>8390513.25</v>
      </c>
    </row>
    <row r="26" spans="1:21" s="105" customFormat="1" ht="13.8" x14ac:dyDescent="0.25">
      <c r="A26" s="107" t="s">
        <v>12</v>
      </c>
      <c r="B26" s="97">
        <v>3822.82</v>
      </c>
      <c r="C26" s="99">
        <f>[1]MILFD!$D$197</f>
        <v>90685854</v>
      </c>
      <c r="D26" s="100">
        <f>[1]MILFD!$D$211</f>
        <v>4949.2500600000003</v>
      </c>
      <c r="E26" s="100">
        <f>[1]MILFD!$D$223</f>
        <v>3922.1704900540963</v>
      </c>
      <c r="F26" s="90">
        <f t="shared" si="2"/>
        <v>10222.247213773111</v>
      </c>
      <c r="G26" s="101">
        <f>[1]MILFD!$D$138</f>
        <v>1986</v>
      </c>
      <c r="H26" s="101">
        <f>[1]MILFD!$D$140</f>
        <v>349</v>
      </c>
      <c r="I26" s="101">
        <f>[1]MILFD!$D$145</f>
        <v>3580</v>
      </c>
      <c r="J26" s="102">
        <f t="shared" si="3"/>
        <v>0.6522346368715084</v>
      </c>
      <c r="K26" s="102">
        <v>0.496</v>
      </c>
      <c r="L26" s="103">
        <f t="shared" si="4"/>
        <v>0</v>
      </c>
      <c r="M26" s="103">
        <f t="shared" si="5"/>
        <v>1</v>
      </c>
      <c r="N26" s="103">
        <f t="shared" si="1"/>
        <v>1</v>
      </c>
      <c r="O26" s="77">
        <f t="shared" si="6"/>
        <v>0</v>
      </c>
      <c r="P26" s="104">
        <f t="shared" si="9"/>
        <v>0</v>
      </c>
      <c r="Q26" s="82">
        <f t="shared" si="10"/>
        <v>0</v>
      </c>
      <c r="R26" s="82"/>
      <c r="S26" s="82"/>
      <c r="U26" s="106">
        <f t="shared" si="7"/>
        <v>1334164.1800000002</v>
      </c>
    </row>
    <row r="27" spans="1:21" s="105" customFormat="1" ht="13.8" x14ac:dyDescent="0.25">
      <c r="A27" s="107" t="s">
        <v>11</v>
      </c>
      <c r="B27" s="97">
        <v>5975.37</v>
      </c>
      <c r="C27" s="99">
        <f>[1]NMILF!$D$197</f>
        <v>88958809</v>
      </c>
      <c r="D27" s="100">
        <f>[1]NMILF!$D$211</f>
        <v>2638.0852999999997</v>
      </c>
      <c r="E27" s="100">
        <f>[1]NMILF!$D$223</f>
        <v>6467.6723342896412</v>
      </c>
      <c r="F27" s="90">
        <f t="shared" si="2"/>
        <v>9769.5120574049706</v>
      </c>
      <c r="G27" s="101">
        <f>[1]NMILF!$D$138</f>
        <v>1118</v>
      </c>
      <c r="H27" s="101">
        <f>[1]NMILF!$D$140</f>
        <v>265</v>
      </c>
      <c r="I27" s="101">
        <f>[1]NMILF!$D$145</f>
        <v>2288</v>
      </c>
      <c r="J27" s="102">
        <f t="shared" si="3"/>
        <v>0.60445804195804198</v>
      </c>
      <c r="K27" s="102">
        <v>0.35899999999999999</v>
      </c>
      <c r="L27" s="103">
        <f t="shared" si="4"/>
        <v>1</v>
      </c>
      <c r="M27" s="103">
        <f t="shared" si="5"/>
        <v>0</v>
      </c>
      <c r="N27" s="103">
        <f t="shared" si="1"/>
        <v>0</v>
      </c>
      <c r="O27" s="77">
        <f t="shared" si="6"/>
        <v>0</v>
      </c>
      <c r="P27" s="104">
        <f t="shared" si="9"/>
        <v>0</v>
      </c>
      <c r="Q27" s="82">
        <f t="shared" si="10"/>
        <v>0</v>
      </c>
      <c r="R27" s="82"/>
      <c r="S27" s="82"/>
      <c r="U27" s="106">
        <f t="shared" si="7"/>
        <v>1583473.05</v>
      </c>
    </row>
    <row r="28" spans="1:21" s="105" customFormat="1" ht="13.8" x14ac:dyDescent="0.25">
      <c r="A28" s="107" t="s">
        <v>10</v>
      </c>
      <c r="B28" s="97">
        <v>5803.77</v>
      </c>
      <c r="C28" s="99">
        <f>[1]NRWLK!$D$197</f>
        <v>361951445</v>
      </c>
      <c r="D28" s="100">
        <f>[1]NRWLK!$D$211</f>
        <v>16958.1126</v>
      </c>
      <c r="E28" s="100">
        <f>[1]NRWLK!$D$223</f>
        <v>15358.744917300275</v>
      </c>
      <c r="F28" s="90">
        <f t="shared" si="2"/>
        <v>11200.081716059041</v>
      </c>
      <c r="G28" s="101">
        <f>[1]NRWLK!$D$138</f>
        <v>6147</v>
      </c>
      <c r="H28" s="101">
        <f>[1]NRWLK!$D$140</f>
        <v>3002</v>
      </c>
      <c r="I28" s="101">
        <f>[1]NRWLK!$D$145</f>
        <v>15003</v>
      </c>
      <c r="J28" s="102">
        <f t="shared" si="3"/>
        <v>0.60981137105912153</v>
      </c>
      <c r="K28" s="102">
        <v>0.39700000000000002</v>
      </c>
      <c r="L28" s="103">
        <f t="shared" si="4"/>
        <v>0</v>
      </c>
      <c r="M28" s="103">
        <f t="shared" si="5"/>
        <v>0</v>
      </c>
      <c r="N28" s="103">
        <f t="shared" si="1"/>
        <v>0</v>
      </c>
      <c r="O28" s="77">
        <f t="shared" si="6"/>
        <v>0</v>
      </c>
      <c r="P28" s="104">
        <f t="shared" si="9"/>
        <v>0</v>
      </c>
      <c r="Q28" s="82">
        <f t="shared" si="10"/>
        <v>0</v>
      </c>
      <c r="R28" s="82"/>
      <c r="S28" s="82"/>
      <c r="U28" s="106">
        <f t="shared" si="7"/>
        <v>17422917.540000003</v>
      </c>
    </row>
    <row r="29" spans="1:21" s="105" customFormat="1" x14ac:dyDescent="0.25">
      <c r="A29" s="107" t="s">
        <v>9</v>
      </c>
      <c r="B29" s="97">
        <v>3679.08</v>
      </c>
      <c r="C29" s="89">
        <f>[1]RKVLE!$D$197</f>
        <v>74038954</v>
      </c>
      <c r="D29" s="92">
        <f>[1]RKVLE!$D$211</f>
        <v>3772.1803600000003</v>
      </c>
      <c r="E29" s="92">
        <f>[1]RKVLE!$D$223</f>
        <v>4349.2085274158335</v>
      </c>
      <c r="F29" s="90">
        <f t="shared" si="2"/>
        <v>9116.5384426700748</v>
      </c>
      <c r="G29" s="91">
        <f>[1]RKVLE!$D$138</f>
        <v>1655</v>
      </c>
      <c r="H29" s="91">
        <f>[1]RKVLE!$D$140</f>
        <v>266</v>
      </c>
      <c r="I29" s="91">
        <f>[1]RKVLE!$D$145</f>
        <v>2519</v>
      </c>
      <c r="J29" s="110">
        <f t="shared" si="3"/>
        <v>0.76260420801905515</v>
      </c>
      <c r="K29" s="110">
        <v>0.47499999999999998</v>
      </c>
      <c r="L29" s="103">
        <f t="shared" si="4"/>
        <v>1</v>
      </c>
      <c r="M29" s="103">
        <f t="shared" si="5"/>
        <v>1</v>
      </c>
      <c r="N29" s="103">
        <f t="shared" si="1"/>
        <v>1</v>
      </c>
      <c r="O29" s="77">
        <f t="shared" si="6"/>
        <v>1</v>
      </c>
      <c r="P29" s="111">
        <f t="shared" si="9"/>
        <v>1118.3086543388144</v>
      </c>
      <c r="Q29" s="82">
        <f t="shared" si="10"/>
        <v>297470.10205412464</v>
      </c>
      <c r="R29" s="82"/>
      <c r="S29" s="82"/>
      <c r="U29" s="106">
        <f t="shared" si="7"/>
        <v>978635.28</v>
      </c>
    </row>
    <row r="30" spans="1:21" s="105" customFormat="1" x14ac:dyDescent="0.25">
      <c r="A30" s="107" t="s">
        <v>4</v>
      </c>
      <c r="B30" s="97">
        <v>3447.13</v>
      </c>
      <c r="C30" s="89">
        <f>[1]sharn!$D$197</f>
        <v>51745114</v>
      </c>
      <c r="D30" s="92">
        <f>[1]sharn!$D$211</f>
        <v>2891.4427999999998</v>
      </c>
      <c r="E30" s="92">
        <f>[1]sharn!$D$223</f>
        <v>4412.645906645841</v>
      </c>
      <c r="F30" s="90">
        <f t="shared" si="2"/>
        <v>7084.4038289017735</v>
      </c>
      <c r="G30" s="91">
        <f>[1]sharn!$D$138</f>
        <v>1554</v>
      </c>
      <c r="H30" s="91">
        <f>[1]sharn!$D$140</f>
        <v>194</v>
      </c>
      <c r="I30" s="91">
        <f>[1]sharn!$D$145</f>
        <v>2685</v>
      </c>
      <c r="J30" s="110">
        <f t="shared" si="3"/>
        <v>0.65102420856610799</v>
      </c>
      <c r="K30" s="110">
        <v>0.50800000000000001</v>
      </c>
      <c r="L30" s="103">
        <f t="shared" si="4"/>
        <v>1</v>
      </c>
      <c r="M30" s="103">
        <f t="shared" si="5"/>
        <v>1</v>
      </c>
      <c r="N30" s="103">
        <f t="shared" si="1"/>
        <v>1</v>
      </c>
      <c r="O30" s="77">
        <f t="shared" si="6"/>
        <v>1</v>
      </c>
      <c r="P30" s="111">
        <f t="shared" si="9"/>
        <v>1350.2586543388143</v>
      </c>
      <c r="Q30" s="82">
        <f t="shared" si="10"/>
        <v>261950.17894172997</v>
      </c>
      <c r="R30" s="82"/>
      <c r="S30" s="82"/>
      <c r="U30" s="106">
        <f t="shared" si="7"/>
        <v>668743.22</v>
      </c>
    </row>
    <row r="31" spans="1:21" s="105" customFormat="1" ht="13.8" x14ac:dyDescent="0.25">
      <c r="A31" s="107" t="s">
        <v>8</v>
      </c>
      <c r="B31" s="97">
        <v>5598.69</v>
      </c>
      <c r="C31" s="99">
        <f>[1]SAFNS!$D$197</f>
        <v>674830699</v>
      </c>
      <c r="D31" s="100">
        <f>[1]SAFNS!$D$211</f>
        <v>47123.364200000004</v>
      </c>
      <c r="E31" s="100">
        <f>[1]SAFNS!$D$223</f>
        <v>26512.250581933338</v>
      </c>
      <c r="F31" s="90">
        <f t="shared" si="2"/>
        <v>9164.460716440859</v>
      </c>
      <c r="G31" s="101">
        <f>[1]SAFNS!$D$138</f>
        <v>13861</v>
      </c>
      <c r="H31" s="101">
        <f>[1]SAFNS!$D$140</f>
        <v>7872</v>
      </c>
      <c r="I31" s="101">
        <f>[1]SAFNS!$D$145</f>
        <v>32111</v>
      </c>
      <c r="J31" s="102">
        <f t="shared" si="3"/>
        <v>0.67680857027186947</v>
      </c>
      <c r="K31" s="102">
        <v>0.55900000000000005</v>
      </c>
      <c r="L31" s="103">
        <f t="shared" si="4"/>
        <v>1</v>
      </c>
      <c r="M31" s="103">
        <f t="shared" si="5"/>
        <v>1</v>
      </c>
      <c r="N31" s="103">
        <f t="shared" si="1"/>
        <v>0</v>
      </c>
      <c r="O31" s="77">
        <f t="shared" si="6"/>
        <v>0</v>
      </c>
      <c r="P31" s="104">
        <f t="shared" si="9"/>
        <v>0</v>
      </c>
      <c r="Q31" s="82">
        <f t="shared" si="10"/>
        <v>0</v>
      </c>
      <c r="R31" s="82"/>
      <c r="S31" s="82"/>
      <c r="U31" s="106">
        <f t="shared" si="7"/>
        <v>44072887.68</v>
      </c>
    </row>
    <row r="32" spans="1:21" s="105" customFormat="1" x14ac:dyDescent="0.25">
      <c r="A32" s="107" t="s">
        <v>7</v>
      </c>
      <c r="B32" s="112">
        <v>5052.1400000000003</v>
      </c>
      <c r="C32" s="89">
        <f>[1]SAMRY!$D$197</f>
        <v>218384632</v>
      </c>
      <c r="D32" s="92">
        <f>[1]SAMRY!$D$211</f>
        <v>15481.6572</v>
      </c>
      <c r="E32" s="92">
        <f>[1]SAMRY!$D$223</f>
        <v>17543.930210817711</v>
      </c>
      <c r="F32" s="90">
        <f t="shared" si="2"/>
        <v>6612.5888779336883</v>
      </c>
      <c r="G32" s="91">
        <f>[1]SAMRY!$D$138</f>
        <v>5198</v>
      </c>
      <c r="H32" s="91">
        <f>[1]SAMRY!$D$140</f>
        <v>3231</v>
      </c>
      <c r="I32" s="91">
        <f>[1]SAMRY!$D$145</f>
        <v>12078</v>
      </c>
      <c r="J32" s="110">
        <f t="shared" si="3"/>
        <v>0.69788044378208314</v>
      </c>
      <c r="K32" s="110">
        <v>0.61599999999999999</v>
      </c>
      <c r="L32" s="103">
        <f t="shared" si="4"/>
        <v>1</v>
      </c>
      <c r="M32" s="103">
        <f t="shared" si="5"/>
        <v>1</v>
      </c>
      <c r="N32" s="103">
        <f t="shared" si="1"/>
        <v>1</v>
      </c>
      <c r="O32" s="77">
        <f t="shared" si="6"/>
        <v>1</v>
      </c>
      <c r="P32" s="108">
        <f>IF(AND(O32=1,$P$6-B32&gt;0),P6-B32,100000/H32)</f>
        <v>30.950170225936244</v>
      </c>
      <c r="Q32" s="109">
        <f t="shared" si="10"/>
        <v>100000</v>
      </c>
      <c r="R32" s="82"/>
      <c r="S32" s="82"/>
      <c r="U32" s="106">
        <f t="shared" si="7"/>
        <v>16323464.340000002</v>
      </c>
    </row>
    <row r="33" spans="1:21" s="105" customFormat="1" ht="13.8" x14ac:dyDescent="0.25">
      <c r="A33" s="107" t="s">
        <v>6</v>
      </c>
      <c r="B33" s="97">
        <v>5807.17</v>
      </c>
      <c r="C33" s="99">
        <f>[1]SARPH!$D$197</f>
        <v>465549726</v>
      </c>
      <c r="D33" s="100">
        <f>[1]SARPH!$D$211</f>
        <v>28945.421799999996</v>
      </c>
      <c r="E33" s="100">
        <f>[1]SARPH!$D$223</f>
        <v>11679.972483120873</v>
      </c>
      <c r="F33" s="90">
        <f t="shared" si="2"/>
        <v>11459.574342972657</v>
      </c>
      <c r="G33" s="101">
        <f>[1]SARPH!$D$138</f>
        <v>10750</v>
      </c>
      <c r="H33" s="101">
        <f>[1]SARPH!$D$140</f>
        <v>3554</v>
      </c>
      <c r="I33" s="101">
        <f>[1]SARPH!$D$145</f>
        <v>19676</v>
      </c>
      <c r="J33" s="102">
        <f t="shared" si="3"/>
        <v>0.72697702785118923</v>
      </c>
      <c r="K33" s="102">
        <v>0.61399999999999999</v>
      </c>
      <c r="L33" s="103">
        <f t="shared" si="4"/>
        <v>0</v>
      </c>
      <c r="M33" s="103">
        <f t="shared" si="5"/>
        <v>1</v>
      </c>
      <c r="N33" s="103">
        <f t="shared" si="1"/>
        <v>0</v>
      </c>
      <c r="O33" s="77">
        <f t="shared" si="6"/>
        <v>0</v>
      </c>
      <c r="P33" s="104">
        <f t="shared" si="9"/>
        <v>0</v>
      </c>
      <c r="Q33" s="82">
        <f t="shared" si="10"/>
        <v>0</v>
      </c>
      <c r="R33" s="82"/>
      <c r="S33" s="82"/>
      <c r="U33" s="106">
        <f t="shared" si="7"/>
        <v>20638682.18</v>
      </c>
    </row>
    <row r="34" spans="1:21" s="105" customFormat="1" ht="13.8" x14ac:dyDescent="0.25">
      <c r="A34" s="107" t="s">
        <v>5</v>
      </c>
      <c r="B34" s="97">
        <v>5190.2700000000004</v>
      </c>
      <c r="C34" s="99">
        <f>[1]SAVCT!$D$197</f>
        <v>373601000</v>
      </c>
      <c r="D34" s="100">
        <f>[1]SAVCT!$D$211</f>
        <v>28466.49</v>
      </c>
      <c r="E34" s="100">
        <f>[1]SAVCT!$D$223</f>
        <v>12633.83859305111</v>
      </c>
      <c r="F34" s="90">
        <f t="shared" si="2"/>
        <v>9089.9759877629112</v>
      </c>
      <c r="G34" s="101">
        <f>[1]SAVCT!$D$138</f>
        <v>10153</v>
      </c>
      <c r="H34" s="101">
        <f>[1]SAVCT!$D$140</f>
        <v>4773</v>
      </c>
      <c r="I34" s="101">
        <f>[1]SAVCT!$D$145</f>
        <v>21912</v>
      </c>
      <c r="J34" s="102">
        <f t="shared" si="3"/>
        <v>0.68117926250456373</v>
      </c>
      <c r="K34" s="102">
        <v>0.55400000000000005</v>
      </c>
      <c r="L34" s="103">
        <f t="shared" si="4"/>
        <v>1</v>
      </c>
      <c r="M34" s="103">
        <f t="shared" si="5"/>
        <v>1</v>
      </c>
      <c r="N34" s="103">
        <f t="shared" si="1"/>
        <v>1</v>
      </c>
      <c r="O34" s="77">
        <f t="shared" si="6"/>
        <v>1</v>
      </c>
      <c r="P34" s="108">
        <f>IF(AND(O34=1,$P$6-B34&gt;0),P6-B34,100000/H34)</f>
        <v>20.951183741881415</v>
      </c>
      <c r="Q34" s="109">
        <f t="shared" si="10"/>
        <v>100000</v>
      </c>
      <c r="R34" s="82"/>
      <c r="S34" s="82"/>
      <c r="U34" s="106">
        <f t="shared" si="7"/>
        <v>24773158.710000001</v>
      </c>
    </row>
    <row r="35" spans="1:21" s="105" customFormat="1" ht="13.8" x14ac:dyDescent="0.25">
      <c r="A35" s="107" t="s">
        <v>3</v>
      </c>
      <c r="B35" s="97">
        <v>4568.92</v>
      </c>
      <c r="C35" s="99">
        <f>[1]STMFD!$D$197</f>
        <v>482124601</v>
      </c>
      <c r="D35" s="100">
        <f>[1]STMFD!$D$211</f>
        <v>18362.121879999999</v>
      </c>
      <c r="E35" s="100">
        <f>[1]STMFD!$D$223</f>
        <v>26170.646523410316</v>
      </c>
      <c r="F35" s="90">
        <f t="shared" si="2"/>
        <v>10826.288557508115</v>
      </c>
      <c r="G35" s="101">
        <f>[1]STMFD!$D$138</f>
        <v>5144</v>
      </c>
      <c r="H35" s="101">
        <f>[1]STMFD!$D$140</f>
        <v>3089</v>
      </c>
      <c r="I35" s="101">
        <f>[1]STMFD!$D$145</f>
        <v>14294</v>
      </c>
      <c r="J35" s="102">
        <f t="shared" si="3"/>
        <v>0.57597593395830415</v>
      </c>
      <c r="K35" s="102">
        <v>0.30299999999999999</v>
      </c>
      <c r="L35" s="103">
        <f t="shared" si="4"/>
        <v>0</v>
      </c>
      <c r="M35" s="103">
        <f t="shared" si="5"/>
        <v>0</v>
      </c>
      <c r="N35" s="103">
        <f t="shared" si="1"/>
        <v>1</v>
      </c>
      <c r="O35" s="77">
        <f t="shared" si="6"/>
        <v>0</v>
      </c>
      <c r="P35" s="104">
        <f t="shared" si="9"/>
        <v>0</v>
      </c>
      <c r="Q35" s="82">
        <f t="shared" si="10"/>
        <v>0</v>
      </c>
      <c r="R35" s="82"/>
      <c r="S35" s="82"/>
      <c r="U35" s="106">
        <f t="shared" si="7"/>
        <v>14113393.880000001</v>
      </c>
    </row>
    <row r="36" spans="1:21" s="105" customFormat="1" x14ac:dyDescent="0.25">
      <c r="A36" s="107" t="s">
        <v>2</v>
      </c>
      <c r="B36" s="97">
        <v>4868.0200000000004</v>
      </c>
      <c r="C36" s="89">
        <f>[1]WATBY!$D$197</f>
        <v>231658975</v>
      </c>
      <c r="D36" s="92">
        <f>[1]WATBY!$D$211</f>
        <v>16253.1831</v>
      </c>
      <c r="E36" s="92">
        <f>[1]WATBY!$D$223</f>
        <v>9251.0018344733799</v>
      </c>
      <c r="F36" s="90">
        <f t="shared" si="2"/>
        <v>9083.1750003064117</v>
      </c>
      <c r="G36" s="91">
        <f>[1]WATBY!$D$138</f>
        <v>5734</v>
      </c>
      <c r="H36" s="91">
        <f>[1]WATBY!$D$140</f>
        <v>3210</v>
      </c>
      <c r="I36" s="91">
        <f>[1]WATBY!$D$145</f>
        <v>12364</v>
      </c>
      <c r="J36" s="110">
        <f t="shared" si="3"/>
        <v>0.72339048851504373</v>
      </c>
      <c r="K36" s="110">
        <v>0.58499999999999996</v>
      </c>
      <c r="L36" s="103">
        <f t="shared" si="4"/>
        <v>1</v>
      </c>
      <c r="M36" s="103">
        <f t="shared" si="5"/>
        <v>1</v>
      </c>
      <c r="N36" s="103">
        <f t="shared" si="1"/>
        <v>1</v>
      </c>
      <c r="O36" s="77">
        <f t="shared" si="6"/>
        <v>1</v>
      </c>
      <c r="P36" s="108">
        <f>IF(AND(O36=1,$P$6-B36&gt;0),P6-B36,100000/H36)</f>
        <v>31.152647975077883</v>
      </c>
      <c r="Q36" s="109">
        <f t="shared" si="10"/>
        <v>100000</v>
      </c>
      <c r="R36" s="82"/>
      <c r="S36" s="82"/>
      <c r="U36" s="106">
        <f t="shared" si="7"/>
        <v>15626344.200000001</v>
      </c>
    </row>
    <row r="37" spans="1:21" s="105" customFormat="1" x14ac:dyDescent="0.25">
      <c r="A37" s="107" t="s">
        <v>1</v>
      </c>
      <c r="B37" s="97">
        <v>3828.28</v>
      </c>
      <c r="C37" s="89">
        <f>[1]WNDHM!$D$197</f>
        <v>100143393</v>
      </c>
      <c r="D37" s="92">
        <f>[1]WNDHM!$D$211</f>
        <v>5252.8738300000005</v>
      </c>
      <c r="E37" s="92">
        <f>[1]WNDHM!$D$223</f>
        <v>10505.266428585146</v>
      </c>
      <c r="F37" s="90">
        <f t="shared" si="2"/>
        <v>6355.0261234311056</v>
      </c>
      <c r="G37" s="91">
        <f>[1]WNDHM!$D$138</f>
        <v>2326</v>
      </c>
      <c r="H37" s="91">
        <f>[1]WNDHM!$D$140</f>
        <v>970</v>
      </c>
      <c r="I37" s="91">
        <f>[1]WNDHM!$D$145</f>
        <v>4506</v>
      </c>
      <c r="J37" s="110">
        <f t="shared" si="3"/>
        <v>0.73146915224145581</v>
      </c>
      <c r="K37" s="110">
        <v>0.56599999999999995</v>
      </c>
      <c r="L37" s="103">
        <f t="shared" si="4"/>
        <v>1</v>
      </c>
      <c r="M37" s="103">
        <f t="shared" si="5"/>
        <v>1</v>
      </c>
      <c r="N37" s="103">
        <f t="shared" si="1"/>
        <v>1</v>
      </c>
      <c r="O37" s="77">
        <f t="shared" si="6"/>
        <v>1</v>
      </c>
      <c r="P37" s="111">
        <f t="shared" si="9"/>
        <v>969.10865433881418</v>
      </c>
      <c r="Q37" s="82">
        <f t="shared" si="10"/>
        <v>940035.39470864972</v>
      </c>
      <c r="R37" s="82"/>
      <c r="S37" s="82"/>
      <c r="U37" s="106">
        <f t="shared" si="7"/>
        <v>3713431.6</v>
      </c>
    </row>
    <row r="38" spans="1:21" s="105" customFormat="1" ht="13.8" x14ac:dyDescent="0.25">
      <c r="A38" s="107" t="s">
        <v>30</v>
      </c>
      <c r="B38" s="97">
        <v>5807.17</v>
      </c>
      <c r="C38" s="99">
        <f>[1]YNHAV!$D$197</f>
        <v>1654251000</v>
      </c>
      <c r="D38" s="100">
        <f>[1]YNHAV!$D$211</f>
        <v>84994.533159999992</v>
      </c>
      <c r="E38" s="100">
        <f>[1]YNHAV!$D$223</f>
        <v>40591.188710301605</v>
      </c>
      <c r="F38" s="90">
        <f t="shared" si="2"/>
        <v>13172.285633779487</v>
      </c>
      <c r="G38" s="101">
        <f>[1]YNHAV!$D$138</f>
        <v>18100</v>
      </c>
      <c r="H38" s="101">
        <f>[1]YNHAV!$D$140</f>
        <v>17294</v>
      </c>
      <c r="I38" s="101">
        <f>[1]YNHAV!$D$145</f>
        <v>59426</v>
      </c>
      <c r="J38" s="102">
        <f t="shared" si="3"/>
        <v>0.59559788644700973</v>
      </c>
      <c r="K38" s="102">
        <v>0.46700000000000003</v>
      </c>
      <c r="L38" s="103">
        <f t="shared" si="4"/>
        <v>0</v>
      </c>
      <c r="M38" s="103">
        <f t="shared" si="5"/>
        <v>0</v>
      </c>
      <c r="N38" s="103">
        <f t="shared" si="1"/>
        <v>0</v>
      </c>
      <c r="O38" s="77">
        <f t="shared" si="6"/>
        <v>0</v>
      </c>
      <c r="P38" s="104">
        <f t="shared" si="9"/>
        <v>0</v>
      </c>
      <c r="Q38" s="82">
        <f t="shared" si="10"/>
        <v>0</v>
      </c>
      <c r="R38" s="82"/>
      <c r="S38" s="82"/>
      <c r="U38" s="113">
        <f t="shared" si="7"/>
        <v>100429197.98</v>
      </c>
    </row>
    <row r="39" spans="1:21" s="105" customFormat="1" ht="13.8" x14ac:dyDescent="0.25">
      <c r="A39" s="105" t="s">
        <v>63</v>
      </c>
      <c r="B39" s="114">
        <f>AVERAGE(B9:B38)</f>
        <v>4899.4641379310351</v>
      </c>
      <c r="C39" s="115">
        <f>SUM(C9:C38)</f>
        <v>10030888389</v>
      </c>
      <c r="D39" s="116">
        <f>SUM(D9:D38)</f>
        <v>553514.55637000012</v>
      </c>
      <c r="E39" s="116">
        <f>SUM(E9:E38)</f>
        <v>453229.47119596496</v>
      </c>
      <c r="F39" s="117">
        <f>AVERAGE(F9:F38)</f>
        <v>9276.961708502391</v>
      </c>
      <c r="G39" s="118">
        <f>SUM(G9:G38)</f>
        <v>176111</v>
      </c>
      <c r="H39" s="118">
        <f>SUM(H9:H38)</f>
        <v>94553</v>
      </c>
      <c r="I39" s="118">
        <f>SUM(I9:I38)</f>
        <v>418068</v>
      </c>
      <c r="J39" s="102">
        <f>AVERAGE(J9:J38)</f>
        <v>0.65759648873968002</v>
      </c>
      <c r="K39" s="102">
        <f>AVERAGE(K9:K38)</f>
        <v>0.4878333333333334</v>
      </c>
      <c r="L39" s="103">
        <f>SUM(L9:L38)</f>
        <v>21</v>
      </c>
      <c r="M39" s="103">
        <f>SUM(M9:M38)</f>
        <v>21</v>
      </c>
      <c r="N39" s="103">
        <f>SUM(N9:N38)</f>
        <v>21</v>
      </c>
      <c r="O39" s="77">
        <f>SUM(O9:O38)</f>
        <v>17</v>
      </c>
      <c r="P39" s="104">
        <f t="shared" si="9"/>
        <v>0</v>
      </c>
      <c r="Q39" s="109">
        <f>SUM(Q9:Q38)</f>
        <v>15100000.000000007</v>
      </c>
      <c r="R39" s="109"/>
      <c r="S39" s="109"/>
      <c r="U39" s="106">
        <f>SUM(U9:U38)</f>
        <v>489645881.95999998</v>
      </c>
    </row>
    <row r="40" spans="1:21" s="105" customFormat="1" ht="13.8" x14ac:dyDescent="0.25">
      <c r="A40" s="107" t="s">
        <v>64</v>
      </c>
      <c r="B40" s="114">
        <f>U41</f>
        <v>5371.2210480358926</v>
      </c>
      <c r="F40" s="117">
        <f>C39/(D39+E39)</f>
        <v>9963.6929689585304</v>
      </c>
      <c r="J40" s="102">
        <f>(+G39+H39)/I39</f>
        <v>0.64741620980318992</v>
      </c>
      <c r="L40" s="103"/>
      <c r="M40" s="103"/>
      <c r="N40" s="103"/>
      <c r="O40" s="77"/>
      <c r="P40" s="119"/>
      <c r="Q40" s="120"/>
      <c r="R40" s="119"/>
      <c r="S40" s="119"/>
      <c r="U40" s="118">
        <f>H39-H12</f>
        <v>91161</v>
      </c>
    </row>
    <row r="41" spans="1:21" ht="13.8" x14ac:dyDescent="0.25">
      <c r="A41" s="63"/>
      <c r="B41" s="84"/>
      <c r="F41" s="86"/>
      <c r="J41" s="83"/>
      <c r="L41" s="65"/>
      <c r="M41" s="65"/>
      <c r="N41" s="65"/>
      <c r="O41" s="87"/>
      <c r="U41" s="98">
        <f>U39/U40</f>
        <v>5371.2210480358926</v>
      </c>
    </row>
    <row r="42" spans="1:21" ht="13.8" x14ac:dyDescent="0.25">
      <c r="A42" s="51"/>
      <c r="B42" s="84"/>
      <c r="F42" s="86"/>
      <c r="J42" s="83"/>
      <c r="L42" s="65"/>
      <c r="M42" s="65"/>
      <c r="N42" s="65"/>
      <c r="O42" s="87"/>
    </row>
    <row r="43" spans="1:21" ht="13.8" x14ac:dyDescent="0.25">
      <c r="A43" s="51"/>
      <c r="F43" s="86"/>
      <c r="L43" s="65"/>
      <c r="M43" s="65"/>
      <c r="N43" s="65"/>
      <c r="O43" s="87"/>
      <c r="P43" s="65"/>
    </row>
    <row r="44" spans="1:21" x14ac:dyDescent="0.25">
      <c r="H44" s="85"/>
    </row>
    <row r="45" spans="1:21" ht="30.75" customHeight="1" x14ac:dyDescent="0.25">
      <c r="A45" s="88" t="s">
        <v>65</v>
      </c>
    </row>
    <row r="46" spans="1:21" x14ac:dyDescent="0.25">
      <c r="A46" s="63"/>
      <c r="F46" s="63"/>
    </row>
    <row r="47" spans="1:21" x14ac:dyDescent="0.25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21" x14ac:dyDescent="0.25">
      <c r="F48" s="63"/>
    </row>
    <row r="49" spans="6:6" x14ac:dyDescent="0.25">
      <c r="F49" s="63"/>
    </row>
    <row r="50" spans="6:6" x14ac:dyDescent="0.25">
      <c r="F50" s="63"/>
    </row>
    <row r="51" spans="6:6" x14ac:dyDescent="0.25">
      <c r="F51" s="63"/>
    </row>
    <row r="52" spans="6:6" x14ac:dyDescent="0.25">
      <c r="F52" s="63"/>
    </row>
    <row r="53" spans="6:6" x14ac:dyDescent="0.25">
      <c r="F53" s="63"/>
    </row>
    <row r="54" spans="6:6" x14ac:dyDescent="0.25">
      <c r="F54" s="63"/>
    </row>
    <row r="55" spans="6:6" x14ac:dyDescent="0.25">
      <c r="F55" s="63"/>
    </row>
    <row r="56" spans="6:6" x14ac:dyDescent="0.25">
      <c r="F56" s="63"/>
    </row>
    <row r="57" spans="6:6" x14ac:dyDescent="0.25">
      <c r="F57" s="63"/>
    </row>
    <row r="58" spans="6:6" x14ac:dyDescent="0.25">
      <c r="F58" s="63"/>
    </row>
    <row r="59" spans="6:6" x14ac:dyDescent="0.25">
      <c r="F59" s="63"/>
    </row>
    <row r="60" spans="6:6" x14ac:dyDescent="0.25">
      <c r="F60" s="63"/>
    </row>
    <row r="61" spans="6:6" x14ac:dyDescent="0.25">
      <c r="F61" s="63"/>
    </row>
    <row r="62" spans="6:6" x14ac:dyDescent="0.25">
      <c r="F62" s="63"/>
    </row>
    <row r="63" spans="6:6" x14ac:dyDescent="0.25">
      <c r="F63" s="63"/>
    </row>
    <row r="64" spans="6:6" x14ac:dyDescent="0.25">
      <c r="F64" s="63"/>
    </row>
    <row r="65" spans="6:6" x14ac:dyDescent="0.25">
      <c r="F65" s="63"/>
    </row>
    <row r="66" spans="6:6" x14ac:dyDescent="0.25">
      <c r="F66" s="63"/>
    </row>
    <row r="67" spans="6:6" x14ac:dyDescent="0.25">
      <c r="F67" s="63"/>
    </row>
  </sheetData>
  <mergeCells count="1">
    <mergeCell ref="A47:Q47"/>
  </mergeCells>
  <printOptions gridLines="1"/>
  <pageMargins left="0.45" right="0.45" top="0.5" bottom="0.5" header="0.5" footer="0.25"/>
  <pageSetup scale="81" orientation="landscape" r:id="rId1"/>
  <headerFooter alignWithMargins="0">
    <oddFooter>&amp;L&amp;8&amp;Z&amp;F, &amp;A&amp;R&amp;D,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zoomScale="90" zoomScaleNormal="90" workbookViewId="0">
      <selection activeCell="D10" sqref="D10"/>
    </sheetView>
  </sheetViews>
  <sheetFormatPr defaultColWidth="9.109375" defaultRowHeight="14.4" x14ac:dyDescent="0.3"/>
  <cols>
    <col min="1" max="1" width="7" style="135" bestFit="1" customWidth="1"/>
    <col min="2" max="2" width="66.5546875" style="135" bestFit="1" customWidth="1"/>
    <col min="3" max="3" width="17.44140625" style="134" bestFit="1" customWidth="1"/>
    <col min="4" max="4" width="15.6640625" style="134" bestFit="1" customWidth="1"/>
    <col min="5" max="5" width="17.44140625" style="134" bestFit="1" customWidth="1"/>
    <col min="6" max="6" width="15.6640625" style="134" bestFit="1" customWidth="1"/>
    <col min="7" max="9" width="17.44140625" style="134" bestFit="1" customWidth="1"/>
    <col min="10" max="10" width="18.33203125" style="134" bestFit="1" customWidth="1"/>
    <col min="11" max="12" width="16.109375" style="135" bestFit="1" customWidth="1"/>
    <col min="13" max="13" width="16.33203125" style="135" bestFit="1" customWidth="1"/>
    <col min="14" max="14" width="13.33203125" style="135" bestFit="1" customWidth="1"/>
    <col min="15" max="15" width="16.44140625" style="135" customWidth="1"/>
    <col min="16" max="16384" width="9.109375" style="135"/>
  </cols>
  <sheetData>
    <row r="1" spans="1:15" ht="17.399999999999999" x14ac:dyDescent="0.3">
      <c r="A1" s="132" t="s">
        <v>163</v>
      </c>
      <c r="B1" s="133"/>
      <c r="K1" s="134"/>
    </row>
    <row r="2" spans="1:15" x14ac:dyDescent="0.3">
      <c r="B2" s="184"/>
      <c r="D2" s="136"/>
      <c r="K2" s="134"/>
    </row>
    <row r="3" spans="1:15" s="141" customFormat="1" ht="27.6" x14ac:dyDescent="0.3">
      <c r="A3" s="137"/>
      <c r="B3" s="138" t="s">
        <v>118</v>
      </c>
      <c r="C3" s="139" t="s">
        <v>102</v>
      </c>
      <c r="D3" s="139" t="s">
        <v>103</v>
      </c>
      <c r="E3" s="139" t="s">
        <v>104</v>
      </c>
      <c r="F3" s="139" t="s">
        <v>105</v>
      </c>
      <c r="G3" s="139" t="s">
        <v>106</v>
      </c>
      <c r="H3" s="139" t="s">
        <v>107</v>
      </c>
      <c r="I3" s="139" t="s">
        <v>108</v>
      </c>
      <c r="J3" s="140" t="s">
        <v>119</v>
      </c>
      <c r="K3" s="140" t="s">
        <v>109</v>
      </c>
    </row>
    <row r="4" spans="1:15" x14ac:dyDescent="0.3">
      <c r="A4" s="142"/>
      <c r="B4" s="142"/>
      <c r="K4" s="134"/>
    </row>
    <row r="5" spans="1:15" x14ac:dyDescent="0.3">
      <c r="A5" s="143"/>
      <c r="B5" s="144" t="s">
        <v>120</v>
      </c>
      <c r="C5" s="145"/>
      <c r="E5" s="145"/>
      <c r="F5" s="145"/>
      <c r="G5" s="145"/>
      <c r="H5" s="145"/>
      <c r="I5" s="145"/>
      <c r="J5" s="145"/>
      <c r="K5" s="145"/>
      <c r="L5" s="146"/>
      <c r="M5" s="147"/>
    </row>
    <row r="6" spans="1:15" x14ac:dyDescent="0.3">
      <c r="A6" s="148" t="s">
        <v>121</v>
      </c>
      <c r="B6" s="149" t="s">
        <v>122</v>
      </c>
      <c r="C6" s="150">
        <v>49.48</v>
      </c>
      <c r="D6" s="150">
        <v>9.31</v>
      </c>
      <c r="E6" s="150">
        <v>42.44</v>
      </c>
      <c r="F6" s="150">
        <v>33.1</v>
      </c>
      <c r="G6" s="150">
        <v>21.84</v>
      </c>
      <c r="H6" s="150">
        <v>27.62</v>
      </c>
      <c r="I6" s="150">
        <v>61.23</v>
      </c>
      <c r="J6" s="150">
        <v>35.200000000000003</v>
      </c>
      <c r="K6" s="150">
        <v>0</v>
      </c>
      <c r="L6" s="151"/>
      <c r="M6" s="152"/>
    </row>
    <row r="7" spans="1:15" x14ac:dyDescent="0.3">
      <c r="A7" s="148" t="s">
        <v>123</v>
      </c>
      <c r="B7" s="149" t="s">
        <v>124</v>
      </c>
      <c r="C7" s="150">
        <v>42.47</v>
      </c>
      <c r="D7" s="150">
        <v>5.27</v>
      </c>
      <c r="E7" s="150">
        <v>24.11</v>
      </c>
      <c r="F7" s="150">
        <v>90.73</v>
      </c>
      <c r="G7" s="150">
        <v>0.05</v>
      </c>
      <c r="H7" s="150">
        <v>0</v>
      </c>
      <c r="I7" s="150">
        <v>153.68</v>
      </c>
      <c r="J7" s="150">
        <v>5.84</v>
      </c>
      <c r="K7" s="150">
        <v>0.86</v>
      </c>
      <c r="L7" s="151"/>
      <c r="M7" s="152"/>
    </row>
    <row r="8" spans="1:15" x14ac:dyDescent="0.3">
      <c r="A8" s="148" t="s">
        <v>125</v>
      </c>
      <c r="B8" s="149" t="s">
        <v>126</v>
      </c>
      <c r="C8" s="153">
        <v>96550.58</v>
      </c>
      <c r="D8" s="153">
        <v>85862.8</v>
      </c>
      <c r="E8" s="153">
        <v>96878.71</v>
      </c>
      <c r="F8" s="153">
        <v>93831.07</v>
      </c>
      <c r="G8" s="153">
        <v>115838.88</v>
      </c>
      <c r="H8" s="153">
        <v>92626.37</v>
      </c>
      <c r="I8" s="153">
        <v>113469.43</v>
      </c>
      <c r="J8" s="153">
        <v>108417</v>
      </c>
      <c r="K8" s="153">
        <v>0</v>
      </c>
      <c r="L8" s="151"/>
      <c r="M8" s="154"/>
    </row>
    <row r="9" spans="1:15" x14ac:dyDescent="0.3">
      <c r="A9" s="148" t="s">
        <v>127</v>
      </c>
      <c r="B9" s="149" t="s">
        <v>128</v>
      </c>
      <c r="C9" s="153">
        <v>93385.91</v>
      </c>
      <c r="D9" s="153">
        <v>27.48</v>
      </c>
      <c r="E9" s="153">
        <v>92626.37</v>
      </c>
      <c r="F9" s="153">
        <v>93831.07</v>
      </c>
      <c r="G9" s="153">
        <v>109818.65</v>
      </c>
      <c r="H9" s="153">
        <v>0</v>
      </c>
      <c r="I9" s="153">
        <v>107572.33</v>
      </c>
      <c r="J9" s="153">
        <v>102782</v>
      </c>
      <c r="K9" s="153">
        <v>154498.06</v>
      </c>
      <c r="L9" s="151"/>
      <c r="M9" s="155"/>
    </row>
    <row r="10" spans="1:15" x14ac:dyDescent="0.3">
      <c r="A10" s="148" t="s">
        <v>129</v>
      </c>
      <c r="B10" s="149" t="s">
        <v>130</v>
      </c>
      <c r="C10" s="156">
        <f>(ROUND(C6*C8,0)+(C7*C9))*(1+[2]MarketBasket!$S$4)*(1+[2]MarketBasket!$T$4)</f>
        <v>9221906.3993591312</v>
      </c>
      <c r="D10" s="156">
        <f>(ROUND(D6*D8,0)+(D7*D9))*(1+[2]MarketBasket!$S$4)*(1+[2]MarketBasket!$T$4)</f>
        <v>843281.97952760989</v>
      </c>
      <c r="E10" s="156">
        <f>(ROUND(E6*E8,0)+(E7*E9))*(1+[2]MarketBasket!$S$4)*(1+[2]MarketBasket!$T$4)</f>
        <v>6691970.4313488062</v>
      </c>
      <c r="F10" s="156">
        <f>(ROUND(F6*F8,0)+(F7*F9))*(1+[2]MarketBasket!$S$4)*(1+[2]MarketBasket!$T$4)</f>
        <v>12254956.282290697</v>
      </c>
      <c r="G10" s="156">
        <f>(ROUND(G6*G8,0)+(G7*G9))*(1+[2]MarketBasket!$S$4)*(1+[2]MarketBasket!$T$4)</f>
        <v>2674162.3505060622</v>
      </c>
      <c r="H10" s="156">
        <f>(ROUND(H6*H8,0)+(H7*H9))*(1+[2]MarketBasket!$S$4)*(1+[2]MarketBasket!$T$4)</f>
        <v>2698345.1564999996</v>
      </c>
      <c r="I10" s="156">
        <f>(ROUND(I6*I8,0)+(I7*I9))*(1+[2]MarketBasket!$S$4)*(1+[2]MarketBasket!$T$4)</f>
        <v>24764361.503106534</v>
      </c>
      <c r="J10" s="156">
        <f>(ROUND(J6*J8,0)+(J7*J9))*(1+[2]MarketBasket!$S$4)*(1+[2]MarketBasket!$T$4)</f>
        <v>4658219.204057999</v>
      </c>
      <c r="K10" s="156">
        <f>(ROUND(K6*K8,0)+(K7*K9))*(1+[2]MarketBasket!$S$4)*(1+[2]MarketBasket!$T$4)</f>
        <v>140139.55104680997</v>
      </c>
      <c r="L10" s="157"/>
      <c r="M10" s="155"/>
      <c r="O10" s="158"/>
    </row>
    <row r="11" spans="1:15" x14ac:dyDescent="0.3">
      <c r="A11" s="159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1"/>
      <c r="M11" s="155"/>
    </row>
    <row r="12" spans="1:15" x14ac:dyDescent="0.3">
      <c r="A12" s="162"/>
      <c r="B12" s="144" t="s">
        <v>131</v>
      </c>
      <c r="C12" s="160"/>
      <c r="D12" s="160"/>
      <c r="E12" s="160"/>
      <c r="F12" s="160"/>
      <c r="G12" s="163"/>
      <c r="H12" s="164"/>
      <c r="I12" s="160"/>
      <c r="J12" s="160"/>
      <c r="K12" s="160"/>
      <c r="L12" s="165"/>
      <c r="M12" s="155"/>
    </row>
    <row r="13" spans="1:15" x14ac:dyDescent="0.3">
      <c r="A13" s="148" t="s">
        <v>132</v>
      </c>
      <c r="B13" s="166" t="s">
        <v>133</v>
      </c>
      <c r="C13" s="167">
        <f>24894+80-2573</f>
        <v>22401</v>
      </c>
      <c r="D13" s="167">
        <f>23978+49-4236</f>
        <v>19791</v>
      </c>
      <c r="E13" s="167">
        <f>16020+18-3687</f>
        <v>12351</v>
      </c>
      <c r="F13" s="167">
        <f>10818+9-451-44</f>
        <v>10332</v>
      </c>
      <c r="G13" s="167">
        <f>1477-360</f>
        <v>1117</v>
      </c>
      <c r="H13" s="167">
        <f>5268+17-784</f>
        <v>4501</v>
      </c>
      <c r="I13" s="167">
        <f>44663-3231+5610</f>
        <v>47042</v>
      </c>
      <c r="J13" s="167">
        <f>19189+31-2958</f>
        <v>16262</v>
      </c>
      <c r="K13" s="167">
        <f>13766+57-2729</f>
        <v>11094</v>
      </c>
      <c r="L13" s="151"/>
      <c r="M13" s="155"/>
    </row>
    <row r="14" spans="1:15" x14ac:dyDescent="0.3">
      <c r="A14" s="148" t="s">
        <v>134</v>
      </c>
      <c r="B14" s="166" t="s">
        <v>135</v>
      </c>
      <c r="C14" s="167">
        <f>74419+6153+5468+5335</f>
        <v>91375</v>
      </c>
      <c r="D14" s="167">
        <v>46107</v>
      </c>
      <c r="E14" s="167">
        <f>64292+11809+6128+4020</f>
        <v>86249</v>
      </c>
      <c r="F14" s="167">
        <f>30443+3712+5410</f>
        <v>39565</v>
      </c>
      <c r="G14" s="167">
        <f>40270+4729</f>
        <v>44999</v>
      </c>
      <c r="H14" s="167">
        <f>22355+2822+3884</f>
        <v>29061</v>
      </c>
      <c r="I14" s="167">
        <f>171309+24010+30670</f>
        <v>225989</v>
      </c>
      <c r="J14" s="167">
        <f>57140+7353+7151</f>
        <v>71644</v>
      </c>
      <c r="K14" s="167">
        <f>45663+2665+2217+2626+5486+4636</f>
        <v>63293</v>
      </c>
      <c r="L14" s="151"/>
      <c r="M14" s="155"/>
    </row>
    <row r="15" spans="1:15" x14ac:dyDescent="0.3">
      <c r="A15" s="148" t="s">
        <v>136</v>
      </c>
      <c r="B15" s="166" t="s">
        <v>137</v>
      </c>
      <c r="C15" s="168">
        <f>+C13/C14</f>
        <v>0.2451545827633379</v>
      </c>
      <c r="D15" s="168">
        <f t="shared" ref="D15:K15" si="0">+D13/D14</f>
        <v>0.42924067928947884</v>
      </c>
      <c r="E15" s="168">
        <f t="shared" si="0"/>
        <v>0.14320166030910503</v>
      </c>
      <c r="F15" s="168">
        <f t="shared" si="0"/>
        <v>0.26113989637305701</v>
      </c>
      <c r="G15" s="168">
        <f t="shared" si="0"/>
        <v>2.4822773839418655E-2</v>
      </c>
      <c r="H15" s="168">
        <f t="shared" si="0"/>
        <v>0.15488111214342246</v>
      </c>
      <c r="I15" s="168">
        <f t="shared" si="0"/>
        <v>0.20816057418723921</v>
      </c>
      <c r="J15" s="168">
        <f t="shared" si="0"/>
        <v>0.226983418011278</v>
      </c>
      <c r="K15" s="168">
        <f t="shared" si="0"/>
        <v>0.17528004676662506</v>
      </c>
      <c r="L15" s="169"/>
      <c r="M15" s="151"/>
    </row>
    <row r="16" spans="1:15" x14ac:dyDescent="0.3">
      <c r="A16" s="148"/>
      <c r="B16" s="133"/>
      <c r="C16" s="160"/>
      <c r="D16" s="160"/>
      <c r="E16" s="160"/>
      <c r="F16" s="160"/>
      <c r="G16" s="160"/>
      <c r="H16" s="160"/>
      <c r="I16" s="160"/>
      <c r="J16" s="160"/>
      <c r="K16" s="160"/>
      <c r="L16" s="169"/>
      <c r="M16" s="161"/>
    </row>
    <row r="17" spans="1:14" x14ac:dyDescent="0.3">
      <c r="A17" s="148"/>
      <c r="B17" s="170" t="s">
        <v>138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71"/>
      <c r="M17" s="172"/>
    </row>
    <row r="18" spans="1:14" x14ac:dyDescent="0.3">
      <c r="A18" s="148" t="s">
        <v>139</v>
      </c>
      <c r="B18" s="173" t="s">
        <v>140</v>
      </c>
      <c r="C18" s="156">
        <v>799463426</v>
      </c>
      <c r="D18" s="156">
        <v>345933051</v>
      </c>
      <c r="E18" s="156">
        <v>558157413</v>
      </c>
      <c r="F18" s="156">
        <v>239025709</v>
      </c>
      <c r="G18" s="156">
        <v>434620881</v>
      </c>
      <c r="H18" s="156">
        <v>197406205</v>
      </c>
      <c r="I18" s="156">
        <v>1551885696</v>
      </c>
      <c r="J18" s="156">
        <v>415386626</v>
      </c>
      <c r="K18" s="156">
        <v>293038528</v>
      </c>
      <c r="L18" s="171"/>
      <c r="M18" s="174"/>
      <c r="N18" s="175"/>
    </row>
    <row r="19" spans="1:14" x14ac:dyDescent="0.3">
      <c r="A19" s="148" t="s">
        <v>141</v>
      </c>
      <c r="B19" s="173" t="s">
        <v>142</v>
      </c>
      <c r="C19" s="156">
        <v>1512520851</v>
      </c>
      <c r="D19" s="156">
        <v>574512885</v>
      </c>
      <c r="E19" s="156">
        <v>1231890672</v>
      </c>
      <c r="F19" s="156">
        <v>581954467</v>
      </c>
      <c r="G19" s="156">
        <v>1081143000</v>
      </c>
      <c r="H19" s="156">
        <v>443697092</v>
      </c>
      <c r="I19" s="156">
        <v>2411937033</v>
      </c>
      <c r="J19" s="156">
        <v>892301788</v>
      </c>
      <c r="K19" s="156">
        <v>718354285</v>
      </c>
      <c r="L19" s="161"/>
      <c r="M19" s="155"/>
    </row>
    <row r="20" spans="1:14" x14ac:dyDescent="0.3">
      <c r="A20" s="148" t="s">
        <v>143</v>
      </c>
      <c r="B20" s="176" t="s">
        <v>144</v>
      </c>
      <c r="C20" s="177">
        <f>+C18/C19</f>
        <v>0.52856357350144056</v>
      </c>
      <c r="D20" s="177">
        <f t="shared" ref="D20:K20" si="1">+D18/D19</f>
        <v>0.60213279811818321</v>
      </c>
      <c r="E20" s="177">
        <f t="shared" si="1"/>
        <v>0.45309005554350035</v>
      </c>
      <c r="F20" s="177">
        <f t="shared" si="1"/>
        <v>0.41072922806519158</v>
      </c>
      <c r="G20" s="177">
        <f t="shared" si="1"/>
        <v>0.40200129030109799</v>
      </c>
      <c r="H20" s="177">
        <f t="shared" si="1"/>
        <v>0.44491210007750059</v>
      </c>
      <c r="I20" s="177">
        <f t="shared" si="1"/>
        <v>0.64341882676337681</v>
      </c>
      <c r="J20" s="177">
        <f t="shared" si="1"/>
        <v>0.46552257496989347</v>
      </c>
      <c r="K20" s="177">
        <f t="shared" si="1"/>
        <v>0.4079303682304895</v>
      </c>
      <c r="L20" s="161"/>
      <c r="M20" s="155"/>
    </row>
    <row r="21" spans="1:14" x14ac:dyDescent="0.3">
      <c r="A21" s="159"/>
      <c r="B21" s="159"/>
      <c r="C21" s="178"/>
      <c r="D21" s="178"/>
      <c r="E21" s="178"/>
      <c r="F21" s="178"/>
      <c r="G21" s="178"/>
      <c r="H21" s="178"/>
      <c r="I21" s="178"/>
      <c r="J21" s="178"/>
      <c r="K21" s="178"/>
      <c r="L21" s="161"/>
      <c r="M21" s="155"/>
    </row>
    <row r="22" spans="1:14" x14ac:dyDescent="0.3">
      <c r="A22" s="159"/>
      <c r="B22" s="144" t="s">
        <v>145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61"/>
      <c r="M22" s="155"/>
    </row>
    <row r="23" spans="1:14" x14ac:dyDescent="0.3">
      <c r="A23" s="148" t="s">
        <v>146</v>
      </c>
      <c r="B23" s="179" t="s">
        <v>147</v>
      </c>
      <c r="C23" s="156">
        <f>ROUND(+C10*C15,0)</f>
        <v>2260793</v>
      </c>
      <c r="D23" s="156">
        <f t="shared" ref="D23:K23" si="2">ROUND(+D10*D15,0)</f>
        <v>361971</v>
      </c>
      <c r="E23" s="156">
        <f t="shared" si="2"/>
        <v>958301</v>
      </c>
      <c r="F23" s="156">
        <f t="shared" si="2"/>
        <v>3200258</v>
      </c>
      <c r="G23" s="156">
        <f t="shared" si="2"/>
        <v>66380</v>
      </c>
      <c r="H23" s="156">
        <f t="shared" si="2"/>
        <v>417923</v>
      </c>
      <c r="I23" s="156">
        <f t="shared" si="2"/>
        <v>5154964</v>
      </c>
      <c r="J23" s="156">
        <f t="shared" si="2"/>
        <v>1057339</v>
      </c>
      <c r="K23" s="156">
        <f t="shared" si="2"/>
        <v>24564</v>
      </c>
      <c r="L23" s="161"/>
      <c r="M23" s="155"/>
    </row>
    <row r="24" spans="1:14" x14ac:dyDescent="0.3">
      <c r="A24" s="180" t="s">
        <v>148</v>
      </c>
      <c r="B24" s="181" t="s">
        <v>149</v>
      </c>
      <c r="C24" s="156">
        <f>ROUND(C20*C23,0)</f>
        <v>1194973</v>
      </c>
      <c r="D24" s="156">
        <f t="shared" ref="D24:K24" si="3">ROUND(D20*D23,0)</f>
        <v>217955</v>
      </c>
      <c r="E24" s="156">
        <f t="shared" si="3"/>
        <v>434197</v>
      </c>
      <c r="F24" s="156">
        <f t="shared" si="3"/>
        <v>1314439</v>
      </c>
      <c r="G24" s="156">
        <f t="shared" si="3"/>
        <v>26685</v>
      </c>
      <c r="H24" s="156">
        <f t="shared" si="3"/>
        <v>185939</v>
      </c>
      <c r="I24" s="156">
        <f t="shared" si="3"/>
        <v>3316801</v>
      </c>
      <c r="J24" s="156">
        <f t="shared" si="3"/>
        <v>492215</v>
      </c>
      <c r="K24" s="156">
        <f t="shared" si="3"/>
        <v>10020</v>
      </c>
      <c r="L24" s="161"/>
      <c r="M24" s="155"/>
    </row>
    <row r="25" spans="1:14" x14ac:dyDescent="0.3">
      <c r="A25" s="142"/>
      <c r="B25" s="142"/>
      <c r="C25" s="160"/>
      <c r="D25" s="160"/>
      <c r="E25" s="160"/>
      <c r="F25" s="160"/>
      <c r="G25" s="160"/>
      <c r="H25" s="160"/>
      <c r="I25" s="160"/>
      <c r="J25" s="160"/>
      <c r="K25" s="160"/>
      <c r="L25" s="161"/>
      <c r="M25" s="155"/>
    </row>
    <row r="26" spans="1:14" s="141" customFormat="1" x14ac:dyDescent="0.3">
      <c r="A26" s="137"/>
      <c r="B26" s="138" t="s">
        <v>150</v>
      </c>
      <c r="C26" s="182">
        <f>+C24/4</f>
        <v>298743.25</v>
      </c>
      <c r="D26" s="182">
        <f t="shared" ref="D26:K26" si="4">+D24/4</f>
        <v>54488.75</v>
      </c>
      <c r="E26" s="182">
        <f t="shared" si="4"/>
        <v>108549.25</v>
      </c>
      <c r="F26" s="182">
        <f t="shared" si="4"/>
        <v>328609.75</v>
      </c>
      <c r="G26" s="182">
        <f t="shared" si="4"/>
        <v>6671.25</v>
      </c>
      <c r="H26" s="182">
        <f t="shared" si="4"/>
        <v>46484.75</v>
      </c>
      <c r="I26" s="182">
        <f t="shared" si="4"/>
        <v>829200.25</v>
      </c>
      <c r="J26" s="182">
        <f t="shared" si="4"/>
        <v>123053.75</v>
      </c>
      <c r="K26" s="182">
        <f t="shared" si="4"/>
        <v>2505</v>
      </c>
      <c r="L26" s="183"/>
      <c r="M26" s="184"/>
    </row>
    <row r="27" spans="1:14" s="185" customFormat="1" ht="15" thickBot="1" x14ac:dyDescent="0.35">
      <c r="C27" s="186"/>
      <c r="D27" s="186"/>
      <c r="E27" s="186"/>
      <c r="F27" s="186"/>
      <c r="G27" s="186"/>
      <c r="H27" s="186"/>
      <c r="I27" s="186"/>
      <c r="J27" s="186"/>
      <c r="K27" s="187"/>
      <c r="L27" s="187"/>
      <c r="M27" s="187"/>
    </row>
    <row r="28" spans="1:14" x14ac:dyDescent="0.3">
      <c r="C28" s="160"/>
      <c r="D28" s="160"/>
      <c r="E28" s="160"/>
      <c r="F28" s="160"/>
      <c r="G28" s="160"/>
      <c r="H28" s="160"/>
      <c r="I28" s="160"/>
      <c r="J28" s="160"/>
      <c r="K28" s="155"/>
      <c r="L28" s="161"/>
      <c r="M28" s="155"/>
    </row>
    <row r="29" spans="1:14" s="141" customFormat="1" x14ac:dyDescent="0.3">
      <c r="A29" s="137"/>
      <c r="B29" s="138" t="s">
        <v>118</v>
      </c>
      <c r="C29" s="140" t="s">
        <v>110</v>
      </c>
      <c r="D29" s="139" t="s">
        <v>111</v>
      </c>
      <c r="E29" s="139" t="s">
        <v>112</v>
      </c>
      <c r="F29" s="139" t="s">
        <v>113</v>
      </c>
      <c r="G29" s="139" t="s">
        <v>114</v>
      </c>
      <c r="H29" s="139" t="s">
        <v>115</v>
      </c>
      <c r="I29" s="139" t="s">
        <v>116</v>
      </c>
      <c r="J29" s="139" t="s">
        <v>117</v>
      </c>
      <c r="K29" s="184"/>
      <c r="L29" s="183"/>
      <c r="M29" s="184"/>
    </row>
    <row r="30" spans="1:14" x14ac:dyDescent="0.3">
      <c r="A30" s="142"/>
      <c r="B30" s="142"/>
      <c r="C30" s="160"/>
      <c r="D30" s="160"/>
      <c r="E30" s="160"/>
      <c r="F30" s="160"/>
      <c r="G30" s="160"/>
      <c r="H30" s="160"/>
      <c r="I30" s="160"/>
      <c r="J30" s="160"/>
      <c r="K30" s="155"/>
      <c r="L30" s="161"/>
      <c r="M30" s="155"/>
    </row>
    <row r="31" spans="1:14" x14ac:dyDescent="0.3">
      <c r="A31" s="143"/>
      <c r="B31" s="144" t="s">
        <v>120</v>
      </c>
      <c r="C31" s="188"/>
      <c r="D31" s="160"/>
      <c r="E31" s="160"/>
      <c r="F31" s="160"/>
      <c r="G31" s="160"/>
      <c r="H31" s="160"/>
      <c r="I31" s="160"/>
      <c r="J31" s="160"/>
      <c r="K31" s="155"/>
      <c r="L31" s="161"/>
      <c r="M31" s="155"/>
    </row>
    <row r="32" spans="1:14" x14ac:dyDescent="0.3">
      <c r="A32" s="148" t="s">
        <v>121</v>
      </c>
      <c r="B32" s="149" t="s">
        <v>122</v>
      </c>
      <c r="C32" s="150">
        <v>17.55</v>
      </c>
      <c r="D32" s="150">
        <v>35.25</v>
      </c>
      <c r="E32" s="150">
        <v>83.6</v>
      </c>
      <c r="F32" s="150">
        <v>31.95</v>
      </c>
      <c r="G32" s="150">
        <v>29.31</v>
      </c>
      <c r="H32" s="150">
        <v>32.26</v>
      </c>
      <c r="I32" s="150">
        <v>34.130000000000003</v>
      </c>
      <c r="J32" s="150">
        <v>203.04</v>
      </c>
      <c r="K32" s="155"/>
      <c r="L32" s="161"/>
      <c r="M32" s="155"/>
    </row>
    <row r="33" spans="1:13" x14ac:dyDescent="0.3">
      <c r="A33" s="148" t="s">
        <v>123</v>
      </c>
      <c r="B33" s="149" t="s">
        <v>124</v>
      </c>
      <c r="C33" s="150">
        <v>0</v>
      </c>
      <c r="D33" s="150">
        <v>11.66</v>
      </c>
      <c r="E33" s="150">
        <v>53.86</v>
      </c>
      <c r="F33" s="150">
        <v>15.21</v>
      </c>
      <c r="G33" s="150">
        <v>23.65</v>
      </c>
      <c r="H33" s="150">
        <v>11.23</v>
      </c>
      <c r="I33" s="150">
        <v>11.1</v>
      </c>
      <c r="J33" s="150">
        <v>372.98</v>
      </c>
      <c r="K33" s="155"/>
      <c r="L33" s="161"/>
      <c r="M33" s="155"/>
    </row>
    <row r="34" spans="1:13" x14ac:dyDescent="0.3">
      <c r="A34" s="148" t="s">
        <v>125</v>
      </c>
      <c r="B34" s="149" t="s">
        <v>126</v>
      </c>
      <c r="C34" s="153">
        <v>173244.1</v>
      </c>
      <c r="D34" s="153">
        <v>151334.81</v>
      </c>
      <c r="E34" s="153">
        <v>101319.43</v>
      </c>
      <c r="F34" s="153">
        <v>94275.8</v>
      </c>
      <c r="G34" s="153">
        <v>103474</v>
      </c>
      <c r="H34" s="153">
        <v>93802</v>
      </c>
      <c r="I34" s="153">
        <v>100699.32</v>
      </c>
      <c r="J34" s="153">
        <v>94663.77</v>
      </c>
      <c r="K34" s="155"/>
      <c r="L34" s="161"/>
      <c r="M34" s="155"/>
    </row>
    <row r="35" spans="1:13" x14ac:dyDescent="0.3">
      <c r="A35" s="148" t="s">
        <v>127</v>
      </c>
      <c r="B35" s="149" t="s">
        <v>128</v>
      </c>
      <c r="C35" s="153">
        <v>0</v>
      </c>
      <c r="D35" s="153">
        <v>143469.82</v>
      </c>
      <c r="E35" s="153">
        <v>96053.81</v>
      </c>
      <c r="F35" s="153">
        <v>93398.93</v>
      </c>
      <c r="G35" s="153">
        <v>98096</v>
      </c>
      <c r="H35" s="153">
        <v>93802</v>
      </c>
      <c r="I35" s="153">
        <v>96465.9</v>
      </c>
      <c r="J35" s="153">
        <v>92799.72</v>
      </c>
      <c r="K35" s="155"/>
      <c r="L35" s="161"/>
      <c r="M35" s="155"/>
    </row>
    <row r="36" spans="1:13" x14ac:dyDescent="0.3">
      <c r="A36" s="148" t="s">
        <v>129</v>
      </c>
      <c r="B36" s="149" t="s">
        <v>130</v>
      </c>
      <c r="C36" s="156">
        <f>(ROUND(C32*C34,0)+(C33*C35))*(1+[2]MarketBasket!$S$4)*(1+[2]MarketBasket!$T$4)</f>
        <v>3206821.7506499994</v>
      </c>
      <c r="D36" s="156">
        <f>(ROUND(D32*D34,0)+(D33*D35))*(1+[2]MarketBasket!$S$4)*(1+[2]MarketBasket!$T$4)</f>
        <v>7390890.6189881694</v>
      </c>
      <c r="E36" s="156">
        <f>(ROUND(E32*E34,0)+(E33*E35))*(1+[2]MarketBasket!$S$4)*(1+[2]MarketBasket!$T$4)</f>
        <v>14390417.093356181</v>
      </c>
      <c r="F36" s="156">
        <f>(ROUND(F32*F34,0)+(F33*F35))*(1+[2]MarketBasket!$S$4)*(1+[2]MarketBasket!$T$4)</f>
        <v>4675289.7650170419</v>
      </c>
      <c r="G36" s="156">
        <f>(ROUND(G32*G34,0)+(G33*G35))*(1+[2]MarketBasket!$S$4)*(1+[2]MarketBasket!$T$4)</f>
        <v>5645725.0188149996</v>
      </c>
      <c r="H36" s="156">
        <f>(ROUND(H32*H34,0)+(H33*H35))*(1+[2]MarketBasket!$S$4)*(1+[2]MarketBasket!$T$4)</f>
        <v>4302697.3316984996</v>
      </c>
      <c r="I36" s="156">
        <f>(ROUND(I32*I34,0)+(I33*I35))*(1+[2]MarketBasket!$S$4)*(1+[2]MarketBasket!$T$4)</f>
        <v>4754320.0610902496</v>
      </c>
      <c r="J36" s="156">
        <f>(ROUND(J32*J34,0)+(J33*J35))*(1+[2]MarketBasket!$S$4)*(1+[2]MarketBasket!$T$4)</f>
        <v>56778980.934527449</v>
      </c>
      <c r="K36" s="155"/>
      <c r="L36" s="161"/>
      <c r="M36" s="155"/>
    </row>
    <row r="37" spans="1:13" x14ac:dyDescent="0.3">
      <c r="A37" s="159"/>
      <c r="B37" s="159"/>
      <c r="C37" s="160"/>
      <c r="D37" s="160"/>
      <c r="E37" s="160"/>
      <c r="F37" s="160"/>
      <c r="G37" s="160"/>
      <c r="H37" s="160"/>
      <c r="I37" s="160"/>
      <c r="J37" s="160"/>
      <c r="K37" s="155"/>
      <c r="L37" s="161"/>
      <c r="M37" s="155"/>
    </row>
    <row r="38" spans="1:13" x14ac:dyDescent="0.3">
      <c r="A38" s="162"/>
      <c r="B38" s="144" t="s">
        <v>131</v>
      </c>
      <c r="C38" s="163"/>
      <c r="D38" s="160"/>
      <c r="E38" s="160"/>
      <c r="F38" s="160"/>
      <c r="G38" s="160"/>
      <c r="H38" s="160"/>
      <c r="I38" s="160"/>
      <c r="J38" s="160"/>
      <c r="K38" s="155"/>
      <c r="L38" s="165"/>
      <c r="M38" s="155"/>
    </row>
    <row r="39" spans="1:13" x14ac:dyDescent="0.3">
      <c r="A39" s="148" t="s">
        <v>132</v>
      </c>
      <c r="B39" s="166" t="s">
        <v>133</v>
      </c>
      <c r="C39" s="167">
        <f>9593+57-1099-5</f>
        <v>8546</v>
      </c>
      <c r="D39" s="167">
        <f>11371+33-1217</f>
        <v>10187</v>
      </c>
      <c r="E39" s="167">
        <f>37221+3224-6077</f>
        <v>34368</v>
      </c>
      <c r="F39" s="167">
        <f>13571+49-1773</f>
        <v>11847</v>
      </c>
      <c r="G39" s="167">
        <f>25155+3275-2014</f>
        <v>26416</v>
      </c>
      <c r="H39" s="167">
        <f>16645+47-2523</f>
        <v>14169</v>
      </c>
      <c r="I39" s="167">
        <f>13569+1043-2210</f>
        <v>12402</v>
      </c>
      <c r="J39" s="167">
        <f>107732+8799-5334</f>
        <v>111197</v>
      </c>
      <c r="K39" s="155"/>
      <c r="L39" s="151"/>
      <c r="M39" s="155"/>
    </row>
    <row r="40" spans="1:13" x14ac:dyDescent="0.3">
      <c r="A40" s="148" t="s">
        <v>134</v>
      </c>
      <c r="B40" s="166" t="s">
        <v>135</v>
      </c>
      <c r="C40" s="167">
        <f>43748+7081+5787</f>
        <v>56616</v>
      </c>
      <c r="D40" s="167">
        <f>36434+12009+1761+3204+2295</f>
        <v>55703</v>
      </c>
      <c r="E40" s="167">
        <f>121040+11230+5610+14999</f>
        <v>152879</v>
      </c>
      <c r="F40" s="167">
        <f>40932+3755+1303+3921</f>
        <v>49911</v>
      </c>
      <c r="G40" s="167">
        <f>77616+6756+30719+2745</f>
        <v>117836</v>
      </c>
      <c r="H40" s="167">
        <f>49732+6719+4518+3927</f>
        <v>64896</v>
      </c>
      <c r="I40" s="167">
        <f>36448+5585+9361</f>
        <v>51394</v>
      </c>
      <c r="J40" s="167">
        <f>327743+12309+11602+9783+4031+16898+4638+8466+36782+3325</f>
        <v>435577</v>
      </c>
      <c r="K40" s="155"/>
      <c r="L40" s="151"/>
      <c r="M40" s="155"/>
    </row>
    <row r="41" spans="1:13" x14ac:dyDescent="0.3">
      <c r="A41" s="148" t="s">
        <v>136</v>
      </c>
      <c r="B41" s="166" t="s">
        <v>137</v>
      </c>
      <c r="C41" s="168">
        <f>+C39/C40</f>
        <v>0.15094672883990393</v>
      </c>
      <c r="D41" s="168">
        <f t="shared" ref="D41:J41" si="5">+D39/D40</f>
        <v>0.18288063479525341</v>
      </c>
      <c r="E41" s="168">
        <f t="shared" si="5"/>
        <v>0.22480523812950109</v>
      </c>
      <c r="F41" s="168">
        <f t="shared" si="5"/>
        <v>0.23736250525936167</v>
      </c>
      <c r="G41" s="168">
        <f t="shared" si="5"/>
        <v>0.22417597338674089</v>
      </c>
      <c r="H41" s="168">
        <f t="shared" si="5"/>
        <v>0.21833394970414202</v>
      </c>
      <c r="I41" s="168">
        <f t="shared" si="5"/>
        <v>0.2413122154337082</v>
      </c>
      <c r="J41" s="168">
        <f t="shared" si="5"/>
        <v>0.25528666573303915</v>
      </c>
      <c r="K41" s="155"/>
      <c r="L41" s="165"/>
      <c r="M41" s="155"/>
    </row>
    <row r="42" spans="1:13" x14ac:dyDescent="0.3">
      <c r="A42" s="148"/>
      <c r="B42" s="133"/>
      <c r="C42" s="160"/>
      <c r="D42" s="160"/>
      <c r="E42" s="160"/>
      <c r="F42" s="160"/>
      <c r="G42" s="160"/>
      <c r="H42" s="160"/>
      <c r="I42" s="160"/>
      <c r="J42" s="160"/>
      <c r="K42" s="155"/>
      <c r="L42" s="171"/>
      <c r="M42" s="171"/>
    </row>
    <row r="43" spans="1:13" x14ac:dyDescent="0.3">
      <c r="A43" s="148"/>
      <c r="B43" s="170" t="s">
        <v>138</v>
      </c>
      <c r="C43" s="160"/>
      <c r="D43" s="160"/>
      <c r="E43" s="160"/>
      <c r="F43" s="160"/>
      <c r="G43" s="160"/>
      <c r="H43" s="160"/>
      <c r="I43" s="160"/>
      <c r="J43" s="160"/>
      <c r="K43" s="155"/>
      <c r="L43" s="161"/>
      <c r="M43" s="155"/>
    </row>
    <row r="44" spans="1:13" x14ac:dyDescent="0.3">
      <c r="A44" s="148" t="s">
        <v>139</v>
      </c>
      <c r="B44" s="173" t="s">
        <v>140</v>
      </c>
      <c r="C44" s="156">
        <v>574805000</v>
      </c>
      <c r="D44" s="156">
        <v>450913513</v>
      </c>
      <c r="E44" s="156">
        <v>1102155507</v>
      </c>
      <c r="F44" s="156">
        <v>284542316</v>
      </c>
      <c r="G44" s="156">
        <v>790100839</v>
      </c>
      <c r="H44" s="156">
        <v>608201036</v>
      </c>
      <c r="I44" s="156">
        <v>478761130</v>
      </c>
      <c r="J44" s="156">
        <v>4928493458</v>
      </c>
      <c r="K44" s="155"/>
      <c r="L44" s="151"/>
      <c r="M44" s="155"/>
    </row>
    <row r="45" spans="1:13" x14ac:dyDescent="0.3">
      <c r="A45" s="148" t="s">
        <v>141</v>
      </c>
      <c r="B45" s="173" t="s">
        <v>142</v>
      </c>
      <c r="C45" s="156">
        <v>1216521000</v>
      </c>
      <c r="D45" s="156">
        <v>913394783</v>
      </c>
      <c r="E45" s="156">
        <v>1930957099</v>
      </c>
      <c r="F45" s="156">
        <v>601586237</v>
      </c>
      <c r="G45" s="156">
        <v>1280210826</v>
      </c>
      <c r="H45" s="156">
        <v>1781321000</v>
      </c>
      <c r="I45" s="156">
        <v>857736453</v>
      </c>
      <c r="J45" s="156">
        <v>8570200765</v>
      </c>
      <c r="K45" s="155"/>
      <c r="L45" s="171"/>
      <c r="M45" s="171"/>
    </row>
    <row r="46" spans="1:13" x14ac:dyDescent="0.3">
      <c r="A46" s="148" t="s">
        <v>143</v>
      </c>
      <c r="B46" s="176" t="s">
        <v>144</v>
      </c>
      <c r="C46" s="177">
        <f>+C44/C45</f>
        <v>0.47249903618597622</v>
      </c>
      <c r="D46" s="177">
        <f t="shared" ref="D46:J46" si="6">+D44/D45</f>
        <v>0.49366771235434131</v>
      </c>
      <c r="E46" s="177">
        <f t="shared" si="6"/>
        <v>0.57078197520327201</v>
      </c>
      <c r="F46" s="177">
        <f t="shared" si="6"/>
        <v>0.47298674487461723</v>
      </c>
      <c r="G46" s="177">
        <f t="shared" si="6"/>
        <v>0.61716462863281552</v>
      </c>
      <c r="H46" s="177">
        <f t="shared" si="6"/>
        <v>0.34143258626603518</v>
      </c>
      <c r="I46" s="177">
        <f t="shared" si="6"/>
        <v>0.55816810434661568</v>
      </c>
      <c r="J46" s="177">
        <f t="shared" si="6"/>
        <v>0.57507327927807306</v>
      </c>
      <c r="K46" s="155"/>
      <c r="L46" s="161"/>
      <c r="M46" s="155"/>
    </row>
    <row r="47" spans="1:13" x14ac:dyDescent="0.3">
      <c r="A47" s="159"/>
      <c r="B47" s="159"/>
      <c r="C47" s="178"/>
      <c r="D47" s="178"/>
      <c r="E47" s="178"/>
      <c r="F47" s="178"/>
      <c r="G47" s="178"/>
      <c r="H47" s="178"/>
      <c r="I47" s="178"/>
      <c r="J47" s="178"/>
      <c r="K47" s="155"/>
      <c r="L47" s="155"/>
      <c r="M47" s="155"/>
    </row>
    <row r="48" spans="1:13" x14ac:dyDescent="0.3">
      <c r="A48" s="159"/>
      <c r="B48" s="144" t="s">
        <v>145</v>
      </c>
      <c r="C48" s="178"/>
      <c r="D48" s="178"/>
      <c r="E48" s="178"/>
      <c r="F48" s="178"/>
      <c r="G48" s="178"/>
      <c r="H48" s="178"/>
      <c r="I48" s="178"/>
      <c r="J48" s="178"/>
      <c r="K48" s="155"/>
      <c r="L48" s="155"/>
      <c r="M48" s="155"/>
    </row>
    <row r="49" spans="1:13" x14ac:dyDescent="0.3">
      <c r="A49" s="148" t="s">
        <v>146</v>
      </c>
      <c r="B49" s="179" t="s">
        <v>147</v>
      </c>
      <c r="C49" s="156">
        <f>ROUND(+C36*C41,0)</f>
        <v>484059</v>
      </c>
      <c r="D49" s="156">
        <f t="shared" ref="D49:J49" si="7">ROUND(+D36*D41,0)</f>
        <v>1351651</v>
      </c>
      <c r="E49" s="156">
        <f t="shared" si="7"/>
        <v>3235041</v>
      </c>
      <c r="F49" s="156">
        <f t="shared" si="7"/>
        <v>1109738</v>
      </c>
      <c r="G49" s="156">
        <f t="shared" si="7"/>
        <v>1265636</v>
      </c>
      <c r="H49" s="156">
        <f t="shared" si="7"/>
        <v>939425</v>
      </c>
      <c r="I49" s="156">
        <f t="shared" si="7"/>
        <v>1147276</v>
      </c>
      <c r="J49" s="156">
        <f t="shared" si="7"/>
        <v>14494917</v>
      </c>
      <c r="K49" s="155"/>
      <c r="L49" s="155"/>
      <c r="M49" s="155"/>
    </row>
    <row r="50" spans="1:13" x14ac:dyDescent="0.3">
      <c r="A50" s="180" t="s">
        <v>148</v>
      </c>
      <c r="B50" s="181" t="s">
        <v>149</v>
      </c>
      <c r="C50" s="156">
        <f>ROUND(C46*C49,0)</f>
        <v>228717</v>
      </c>
      <c r="D50" s="156">
        <f t="shared" ref="D50:J50" si="8">ROUND(D46*D49,0)</f>
        <v>667266</v>
      </c>
      <c r="E50" s="156">
        <f t="shared" si="8"/>
        <v>1846503</v>
      </c>
      <c r="F50" s="156">
        <f t="shared" si="8"/>
        <v>524891</v>
      </c>
      <c r="G50" s="156">
        <f t="shared" si="8"/>
        <v>781106</v>
      </c>
      <c r="H50" s="156">
        <f t="shared" si="8"/>
        <v>320750</v>
      </c>
      <c r="I50" s="156">
        <f t="shared" si="8"/>
        <v>640373</v>
      </c>
      <c r="J50" s="156">
        <f t="shared" si="8"/>
        <v>8335639</v>
      </c>
      <c r="K50" s="155"/>
      <c r="L50" s="155"/>
      <c r="M50" s="155"/>
    </row>
    <row r="51" spans="1:13" x14ac:dyDescent="0.3">
      <c r="A51" s="142"/>
      <c r="B51" s="142"/>
      <c r="C51" s="160"/>
      <c r="D51" s="160"/>
      <c r="E51" s="160"/>
      <c r="F51" s="160"/>
      <c r="G51" s="160"/>
      <c r="H51" s="160"/>
      <c r="I51" s="160"/>
      <c r="J51" s="160"/>
      <c r="K51" s="155"/>
      <c r="L51" s="155"/>
      <c r="M51" s="155"/>
    </row>
    <row r="52" spans="1:13" s="141" customFormat="1" x14ac:dyDescent="0.3">
      <c r="A52" s="137"/>
      <c r="B52" s="138" t="s">
        <v>150</v>
      </c>
      <c r="C52" s="182">
        <f t="shared" ref="C52:J52" si="9">+C50/4</f>
        <v>57179.25</v>
      </c>
      <c r="D52" s="182">
        <f t="shared" si="9"/>
        <v>166816.5</v>
      </c>
      <c r="E52" s="182">
        <f t="shared" si="9"/>
        <v>461625.75</v>
      </c>
      <c r="F52" s="182">
        <f t="shared" si="9"/>
        <v>131222.75</v>
      </c>
      <c r="G52" s="182">
        <f t="shared" si="9"/>
        <v>195276.5</v>
      </c>
      <c r="H52" s="182">
        <f t="shared" si="9"/>
        <v>80187.5</v>
      </c>
      <c r="I52" s="182">
        <f t="shared" si="9"/>
        <v>160093.25</v>
      </c>
      <c r="J52" s="182">
        <f t="shared" si="9"/>
        <v>2083909.75</v>
      </c>
      <c r="K52" s="184"/>
      <c r="L52" s="184"/>
      <c r="M52" s="184"/>
    </row>
    <row r="53" spans="1:13" x14ac:dyDescent="0.3">
      <c r="C53" s="160"/>
      <c r="D53" s="160"/>
      <c r="E53" s="160"/>
      <c r="F53" s="160"/>
      <c r="G53" s="160"/>
      <c r="H53" s="160"/>
      <c r="I53" s="160"/>
      <c r="J53" s="160"/>
      <c r="K53" s="155"/>
      <c r="L53" s="155"/>
      <c r="M53" s="155"/>
    </row>
    <row r="54" spans="1:13" x14ac:dyDescent="0.3">
      <c r="A54" s="141" t="s">
        <v>151</v>
      </c>
      <c r="C54" s="160"/>
      <c r="D54" s="160"/>
      <c r="E54" s="160"/>
      <c r="F54" s="160"/>
      <c r="G54" s="160"/>
      <c r="H54" s="163"/>
      <c r="I54" s="160"/>
      <c r="J54" s="160"/>
      <c r="K54" s="155"/>
      <c r="L54" s="155"/>
      <c r="M54" s="155"/>
    </row>
    <row r="55" spans="1:13" x14ac:dyDescent="0.3">
      <c r="C55" s="160"/>
      <c r="D55" s="160"/>
      <c r="E55" s="160"/>
      <c r="F55" s="160"/>
      <c r="G55" s="160"/>
      <c r="H55" s="160"/>
      <c r="I55" s="160"/>
      <c r="J55" s="160"/>
      <c r="K55" s="155"/>
      <c r="L55" s="155"/>
      <c r="M55" s="155"/>
    </row>
    <row r="56" spans="1:13" x14ac:dyDescent="0.3">
      <c r="C56" s="160"/>
      <c r="D56" s="160"/>
      <c r="E56" s="160"/>
      <c r="F56" s="160"/>
      <c r="G56" s="160"/>
      <c r="H56" s="160"/>
      <c r="I56" s="160"/>
      <c r="J56" s="160"/>
      <c r="K56" s="155"/>
      <c r="L56" s="155"/>
      <c r="M56" s="155"/>
    </row>
    <row r="57" spans="1:13" x14ac:dyDescent="0.3">
      <c r="C57" s="160"/>
      <c r="D57" s="160"/>
      <c r="E57" s="160"/>
      <c r="F57" s="160"/>
      <c r="G57" s="160"/>
      <c r="H57" s="160"/>
      <c r="I57" s="160"/>
      <c r="J57" s="160"/>
      <c r="K57" s="155"/>
      <c r="L57" s="155"/>
      <c r="M57" s="155"/>
    </row>
    <row r="58" spans="1:13" x14ac:dyDescent="0.3">
      <c r="C58" s="189"/>
    </row>
    <row r="59" spans="1:13" x14ac:dyDescent="0.3">
      <c r="C59" s="190"/>
    </row>
    <row r="68" spans="3:4" x14ac:dyDescent="0.3">
      <c r="C68" s="134">
        <v>74419</v>
      </c>
      <c r="D68" s="134">
        <v>85329</v>
      </c>
    </row>
    <row r="69" spans="3:4" x14ac:dyDescent="0.3">
      <c r="C69" s="134">
        <v>6153</v>
      </c>
      <c r="D69" s="134">
        <v>-4757</v>
      </c>
    </row>
    <row r="70" spans="3:4" x14ac:dyDescent="0.3">
      <c r="C70" s="134">
        <v>5468</v>
      </c>
      <c r="D70" s="134">
        <v>5468</v>
      </c>
    </row>
    <row r="71" spans="3:4" x14ac:dyDescent="0.3">
      <c r="C71" s="134">
        <v>5335</v>
      </c>
      <c r="D71" s="134">
        <v>5335</v>
      </c>
    </row>
    <row r="72" spans="3:4" x14ac:dyDescent="0.3">
      <c r="C72" s="134">
        <f>SUM(C68:C71)</f>
        <v>91375</v>
      </c>
      <c r="D72" s="134">
        <f>SUM(D68:D71)</f>
        <v>91375</v>
      </c>
    </row>
    <row r="73" spans="3:4" x14ac:dyDescent="0.3">
      <c r="C73" s="134">
        <v>4757</v>
      </c>
    </row>
    <row r="74" spans="3:4" x14ac:dyDescent="0.3">
      <c r="C74" s="134">
        <f>C72+C73</f>
        <v>96132</v>
      </c>
    </row>
  </sheetData>
  <printOptions horizontalCentered="1"/>
  <pageMargins left="0.2" right="0.2" top="0.5" bottom="0.5" header="0.3" footer="0.3"/>
  <pageSetup scale="60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zoomScaleSheetLayoutView="100" workbookViewId="0">
      <selection activeCell="H13" sqref="H13"/>
    </sheetView>
  </sheetViews>
  <sheetFormatPr defaultColWidth="9.109375" defaultRowHeight="14.4" x14ac:dyDescent="0.3"/>
  <cols>
    <col min="1" max="1" width="16.44140625" style="195" customWidth="1"/>
    <col min="2" max="2" width="12.6640625" style="195" bestFit="1" customWidth="1"/>
    <col min="3" max="3" width="11.109375" style="195" bestFit="1" customWidth="1"/>
    <col min="4" max="4" width="10" style="195" customWidth="1"/>
    <col min="5" max="5" width="14" style="195" bestFit="1" customWidth="1"/>
    <col min="6" max="6" width="11.6640625" style="195" customWidth="1"/>
    <col min="7" max="7" width="10.5546875" style="195" bestFit="1" customWidth="1"/>
    <col min="8" max="8" width="9.109375" style="195" customWidth="1"/>
    <col min="9" max="9" width="11.6640625" style="196" customWidth="1"/>
    <col min="10" max="10" width="10.109375" style="195" customWidth="1"/>
    <col min="11" max="12" width="9.109375" style="195"/>
    <col min="13" max="13" width="9.5546875" style="195" bestFit="1" customWidth="1"/>
    <col min="14" max="16384" width="9.109375" style="195"/>
  </cols>
  <sheetData>
    <row r="1" spans="1:13" ht="19.5" customHeight="1" x14ac:dyDescent="0.3">
      <c r="A1" s="191" t="s">
        <v>164</v>
      </c>
      <c r="B1" s="192"/>
      <c r="C1" s="192"/>
      <c r="D1" s="192"/>
      <c r="E1" s="193"/>
      <c r="F1" s="194"/>
      <c r="G1" s="192"/>
    </row>
    <row r="2" spans="1:13" x14ac:dyDescent="0.3">
      <c r="A2" s="191" t="s">
        <v>165</v>
      </c>
      <c r="B2" s="197"/>
      <c r="C2" s="197"/>
      <c r="D2" s="197"/>
      <c r="E2" s="193"/>
      <c r="F2" s="198"/>
      <c r="G2" s="192"/>
      <c r="H2" s="199"/>
      <c r="I2" s="200"/>
    </row>
    <row r="3" spans="1:13" x14ac:dyDescent="0.3">
      <c r="A3" s="194"/>
      <c r="B3" s="197"/>
      <c r="C3" s="197"/>
      <c r="D3" s="197"/>
      <c r="E3" s="193"/>
      <c r="F3" s="198"/>
      <c r="G3" s="192"/>
      <c r="H3" s="199"/>
      <c r="I3" s="200"/>
    </row>
    <row r="4" spans="1:13" ht="28.8" x14ac:dyDescent="0.3">
      <c r="A4" s="191" t="s">
        <v>166</v>
      </c>
      <c r="B4" s="201" t="s">
        <v>167</v>
      </c>
      <c r="C4" s="202" t="s">
        <v>168</v>
      </c>
      <c r="D4" s="197"/>
      <c r="E4" s="203" t="s">
        <v>169</v>
      </c>
      <c r="F4" s="198"/>
      <c r="G4" s="192"/>
      <c r="H4" s="199"/>
      <c r="I4" s="200"/>
    </row>
    <row r="5" spans="1:13" x14ac:dyDescent="0.3">
      <c r="A5" s="204"/>
      <c r="B5" s="204"/>
      <c r="C5" s="205"/>
      <c r="D5" s="204"/>
      <c r="E5" s="206"/>
      <c r="F5" s="204"/>
      <c r="G5" s="204"/>
      <c r="H5" s="204"/>
      <c r="I5" s="207">
        <v>100000</v>
      </c>
    </row>
    <row r="6" spans="1:13" ht="28.8" x14ac:dyDescent="0.3">
      <c r="A6" s="208" t="s">
        <v>47</v>
      </c>
      <c r="B6" s="209" t="s">
        <v>170</v>
      </c>
      <c r="C6" s="209" t="s">
        <v>171</v>
      </c>
      <c r="D6" s="209" t="s">
        <v>172</v>
      </c>
      <c r="E6" s="210" t="s">
        <v>173</v>
      </c>
      <c r="F6" s="209" t="s">
        <v>174</v>
      </c>
      <c r="G6" s="211" t="s">
        <v>175</v>
      </c>
      <c r="H6" s="211" t="s">
        <v>176</v>
      </c>
      <c r="I6" s="201" t="s">
        <v>177</v>
      </c>
    </row>
    <row r="7" spans="1:13" x14ac:dyDescent="0.3">
      <c r="A7" s="192"/>
      <c r="B7" s="192"/>
      <c r="C7" s="192"/>
      <c r="D7" s="192"/>
      <c r="E7" s="212"/>
      <c r="F7" s="192"/>
      <c r="G7" s="192"/>
      <c r="H7" s="199"/>
      <c r="I7" s="200"/>
    </row>
    <row r="8" spans="1:13" x14ac:dyDescent="0.3">
      <c r="A8" s="192" t="s">
        <v>178</v>
      </c>
      <c r="B8" s="213">
        <v>9390</v>
      </c>
      <c r="C8" s="213">
        <f>VLOOKUP(A8,'[3]Child Psych Days'!$B$9:$E$33,3,FALSE)</f>
        <v>44</v>
      </c>
      <c r="D8" s="214">
        <f t="shared" ref="D8:D35" si="0">SUM(B8:C8)</f>
        <v>9434</v>
      </c>
      <c r="E8" s="212">
        <f>43821+4644</f>
        <v>48465</v>
      </c>
      <c r="F8" s="215">
        <f>D8/E8</f>
        <v>0.19465593727432168</v>
      </c>
      <c r="G8" s="192"/>
      <c r="H8" s="199"/>
      <c r="I8" s="191"/>
      <c r="J8" s="216"/>
      <c r="L8" s="217"/>
      <c r="M8" s="218"/>
    </row>
    <row r="9" spans="1:13" x14ac:dyDescent="0.3">
      <c r="A9" s="192" t="s">
        <v>102</v>
      </c>
      <c r="B9" s="213">
        <v>24894</v>
      </c>
      <c r="C9" s="213">
        <f>VLOOKUP(A9,'[3]Child Psych Days'!$B$9:$E$33,3,FALSE)</f>
        <v>110</v>
      </c>
      <c r="D9" s="214">
        <f t="shared" si="0"/>
        <v>25004</v>
      </c>
      <c r="E9" s="212">
        <f>85329+5468+5335</f>
        <v>96132</v>
      </c>
      <c r="F9" s="215">
        <f t="shared" ref="F9:F35" si="1">D9/E9</f>
        <v>0.26010069487787624</v>
      </c>
      <c r="G9" s="192"/>
      <c r="H9" s="199"/>
      <c r="I9" s="191"/>
      <c r="J9" s="216"/>
      <c r="L9" s="192"/>
      <c r="M9" s="218"/>
    </row>
    <row r="10" spans="1:13" x14ac:dyDescent="0.3">
      <c r="A10" s="192" t="s">
        <v>179</v>
      </c>
      <c r="B10" s="213">
        <v>5979</v>
      </c>
      <c r="C10" s="213">
        <f>VLOOKUP(A10,'[3]Child Psych Days'!$B$9:$E$33,3,FALSE)</f>
        <v>20</v>
      </c>
      <c r="D10" s="214">
        <f t="shared" si="0"/>
        <v>5999</v>
      </c>
      <c r="E10" s="212">
        <f>25382+4486</f>
        <v>29868</v>
      </c>
      <c r="F10" s="215">
        <f t="shared" si="1"/>
        <v>0.20085040846390786</v>
      </c>
      <c r="G10" s="192"/>
      <c r="H10" s="199"/>
      <c r="I10" s="191"/>
      <c r="J10" s="216"/>
      <c r="L10" s="198"/>
      <c r="M10" s="218"/>
    </row>
    <row r="11" spans="1:13" x14ac:dyDescent="0.3">
      <c r="A11" s="192" t="s">
        <v>180</v>
      </c>
      <c r="B11" s="213">
        <v>19189</v>
      </c>
      <c r="C11" s="213">
        <f>VLOOKUP(A11,'[3]Child Psych Days'!$B$9:$E$33,3,FALSE)</f>
        <v>203</v>
      </c>
      <c r="D11" s="214">
        <f t="shared" si="0"/>
        <v>19392</v>
      </c>
      <c r="E11" s="212">
        <f>67895+7151</f>
        <v>75046</v>
      </c>
      <c r="F11" s="215">
        <f t="shared" si="1"/>
        <v>0.25840151373824055</v>
      </c>
      <c r="G11" s="192"/>
      <c r="H11" s="199"/>
      <c r="I11" s="191"/>
      <c r="J11" s="216"/>
      <c r="L11" s="198"/>
      <c r="M11" s="218"/>
    </row>
    <row r="12" spans="1:13" x14ac:dyDescent="0.3">
      <c r="A12" s="192" t="s">
        <v>104</v>
      </c>
      <c r="B12" s="213">
        <v>16020</v>
      </c>
      <c r="C12" s="213">
        <f>VLOOKUP(A12,'[3]Child Psych Days'!$B$9:$E$33,3,FALSE)</f>
        <v>23</v>
      </c>
      <c r="D12" s="214">
        <f t="shared" si="0"/>
        <v>16043</v>
      </c>
      <c r="E12" s="212">
        <f>80222+6128+4020</f>
        <v>90370</v>
      </c>
      <c r="F12" s="215">
        <f t="shared" si="1"/>
        <v>0.17752572756445723</v>
      </c>
      <c r="G12" s="192"/>
      <c r="H12" s="199"/>
      <c r="I12" s="191"/>
      <c r="J12" s="216"/>
      <c r="L12" s="192"/>
      <c r="M12" s="218"/>
    </row>
    <row r="13" spans="1:13" x14ac:dyDescent="0.3">
      <c r="A13" s="191" t="s">
        <v>181</v>
      </c>
      <c r="B13" s="213">
        <v>4462</v>
      </c>
      <c r="C13" s="213">
        <f>VLOOKUP(A13,'[3]Child Psych Days'!$B$9:$E$33,3,FALSE)</f>
        <v>101</v>
      </c>
      <c r="D13" s="214">
        <f t="shared" si="0"/>
        <v>4563</v>
      </c>
      <c r="E13" s="212">
        <f>14794+2624</f>
        <v>17418</v>
      </c>
      <c r="F13" s="215">
        <f t="shared" si="1"/>
        <v>0.26197037547364793</v>
      </c>
      <c r="G13" s="215">
        <f>F13-F39</f>
        <v>6.7898275144779363E-2</v>
      </c>
      <c r="H13" s="219">
        <f>G13/$G$38</f>
        <v>0.23755263244702365</v>
      </c>
      <c r="I13" s="220">
        <f>H13*$I$5</f>
        <v>23755.263244702364</v>
      </c>
      <c r="J13" s="216"/>
      <c r="L13" s="192"/>
      <c r="M13" s="218"/>
    </row>
    <row r="14" spans="1:13" x14ac:dyDescent="0.3">
      <c r="A14" s="191" t="s">
        <v>105</v>
      </c>
      <c r="B14" s="213">
        <v>10818</v>
      </c>
      <c r="C14" s="213">
        <f>VLOOKUP(A14,'[3]Child Psych Days'!$B$9:$E$33,3,FALSE)</f>
        <v>28</v>
      </c>
      <c r="D14" s="214">
        <f t="shared" si="0"/>
        <v>10846</v>
      </c>
      <c r="E14" s="212">
        <f>35348+5410</f>
        <v>40758</v>
      </c>
      <c r="F14" s="215">
        <f t="shared" si="1"/>
        <v>0.26610726728495021</v>
      </c>
      <c r="G14" s="215">
        <f>F14-F39</f>
        <v>7.2035166956081642E-2</v>
      </c>
      <c r="H14" s="219">
        <f>G14/$G$38</f>
        <v>0.25202618921747061</v>
      </c>
      <c r="I14" s="220">
        <f>H14*$I$5</f>
        <v>25202.61892174706</v>
      </c>
      <c r="J14" s="216"/>
      <c r="L14" s="192"/>
      <c r="M14" s="218"/>
    </row>
    <row r="15" spans="1:13" x14ac:dyDescent="0.3">
      <c r="A15" s="192" t="s">
        <v>106</v>
      </c>
      <c r="B15" s="213">
        <v>1477</v>
      </c>
      <c r="C15" s="213">
        <f>VLOOKUP(A15,'[3]Child Psych Days'!$B$9:$E$33,3,FALSE)</f>
        <v>4</v>
      </c>
      <c r="D15" s="214">
        <f t="shared" si="0"/>
        <v>1481</v>
      </c>
      <c r="E15" s="212">
        <v>50186</v>
      </c>
      <c r="F15" s="215">
        <f t="shared" si="1"/>
        <v>2.9510221974255769E-2</v>
      </c>
      <c r="G15" s="192"/>
      <c r="H15" s="199"/>
      <c r="I15" s="191"/>
      <c r="J15" s="216"/>
      <c r="L15" s="192"/>
      <c r="M15" s="218"/>
    </row>
    <row r="16" spans="1:13" x14ac:dyDescent="0.3">
      <c r="A16" s="192" t="s">
        <v>107</v>
      </c>
      <c r="B16" s="213">
        <v>5268</v>
      </c>
      <c r="C16" s="213">
        <f>VLOOKUP(A16,'[3]Child Psych Days'!$B$9:$E$33,3,FALSE)</f>
        <v>57</v>
      </c>
      <c r="D16" s="214">
        <f t="shared" si="0"/>
        <v>5325</v>
      </c>
      <c r="E16" s="212">
        <f>26649+3884</f>
        <v>30533</v>
      </c>
      <c r="F16" s="215">
        <f t="shared" si="1"/>
        <v>0.17440146726492647</v>
      </c>
      <c r="G16" s="192"/>
      <c r="H16" s="199"/>
      <c r="I16" s="191"/>
      <c r="J16" s="216"/>
      <c r="L16" s="192"/>
      <c r="M16" s="218"/>
    </row>
    <row r="17" spans="1:13" x14ac:dyDescent="0.3">
      <c r="A17" s="192" t="s">
        <v>108</v>
      </c>
      <c r="B17" s="213">
        <v>44663</v>
      </c>
      <c r="C17" s="213">
        <f>VLOOKUP(A17,'[3]Child Psych Days'!$B$9:$E$33,3,FALSE)</f>
        <v>5937</v>
      </c>
      <c r="D17" s="214">
        <f t="shared" si="0"/>
        <v>50600</v>
      </c>
      <c r="E17" s="212">
        <f>204342+30670</f>
        <v>235012</v>
      </c>
      <c r="F17" s="215">
        <f t="shared" si="1"/>
        <v>0.21530815447721818</v>
      </c>
      <c r="G17" s="192"/>
      <c r="H17" s="199"/>
      <c r="I17" s="191"/>
      <c r="J17" s="216"/>
      <c r="L17" s="192"/>
      <c r="M17" s="218"/>
    </row>
    <row r="18" spans="1:13" x14ac:dyDescent="0.3">
      <c r="A18" s="192" t="s">
        <v>182</v>
      </c>
      <c r="B18" s="213">
        <v>4953</v>
      </c>
      <c r="C18" s="213">
        <f>VLOOKUP(A18,'[3]Child Psych Days'!$B$9:$E$33,3,FALSE)</f>
        <v>37</v>
      </c>
      <c r="D18" s="214">
        <f t="shared" si="0"/>
        <v>4990</v>
      </c>
      <c r="E18" s="212">
        <f>22830+3744</f>
        <v>26574</v>
      </c>
      <c r="F18" s="215">
        <f t="shared" si="1"/>
        <v>0.18777752690599833</v>
      </c>
      <c r="G18" s="192"/>
      <c r="H18" s="199"/>
      <c r="I18" s="191"/>
      <c r="J18" s="216"/>
      <c r="L18" s="192"/>
      <c r="M18" s="218"/>
    </row>
    <row r="19" spans="1:13" x14ac:dyDescent="0.3">
      <c r="A19" s="192" t="s">
        <v>183</v>
      </c>
      <c r="B19" s="213">
        <v>2441</v>
      </c>
      <c r="C19" s="213">
        <f>VLOOKUP(A19,'[3]Child Psych Days'!$B$9:$E$33,3,FALSE)</f>
        <v>18</v>
      </c>
      <c r="D19" s="214">
        <f t="shared" si="0"/>
        <v>2459</v>
      </c>
      <c r="E19" s="212">
        <f>12160+3786</f>
        <v>15946</v>
      </c>
      <c r="F19" s="215">
        <f t="shared" si="1"/>
        <v>0.1542079518374514</v>
      </c>
      <c r="G19" s="192"/>
      <c r="H19" s="199"/>
      <c r="I19" s="191"/>
      <c r="J19" s="216"/>
      <c r="L19" s="192"/>
      <c r="M19" s="218"/>
    </row>
    <row r="20" spans="1:13" x14ac:dyDescent="0.3">
      <c r="A20" s="192" t="s">
        <v>184</v>
      </c>
      <c r="B20" s="213">
        <v>13766</v>
      </c>
      <c r="C20" s="213">
        <f>VLOOKUP(A20,'[3]Child Psych Days'!$B$9:$E$33,3,FALSE)</f>
        <v>98</v>
      </c>
      <c r="D20" s="214">
        <f t="shared" si="0"/>
        <v>13864</v>
      </c>
      <c r="E20" s="212">
        <f>56505+5486+4636</f>
        <v>66627</v>
      </c>
      <c r="F20" s="215">
        <f t="shared" si="1"/>
        <v>0.20808380986687078</v>
      </c>
      <c r="G20" s="192"/>
      <c r="H20" s="199"/>
      <c r="I20" s="191"/>
      <c r="J20" s="216"/>
      <c r="L20" s="198"/>
      <c r="M20" s="218"/>
    </row>
    <row r="21" spans="1:13" x14ac:dyDescent="0.3">
      <c r="A21" s="192" t="s">
        <v>185</v>
      </c>
      <c r="B21" s="213">
        <v>9475</v>
      </c>
      <c r="C21" s="213">
        <f>VLOOKUP(A21,'[3]Child Psych Days'!$B$9:$E$33,3,FALSE)</f>
        <v>1094</v>
      </c>
      <c r="D21" s="214">
        <f t="shared" si="0"/>
        <v>10569</v>
      </c>
      <c r="E21" s="212">
        <f>36389+10278</f>
        <v>46667</v>
      </c>
      <c r="F21" s="215">
        <f t="shared" si="1"/>
        <v>0.22647695373604473</v>
      </c>
      <c r="G21" s="192"/>
      <c r="H21" s="199"/>
      <c r="I21" s="191"/>
      <c r="J21" s="216"/>
      <c r="L21" s="192"/>
      <c r="M21" s="218"/>
    </row>
    <row r="22" spans="1:13" x14ac:dyDescent="0.3">
      <c r="A22" s="192" t="s">
        <v>186</v>
      </c>
      <c r="B22" s="213">
        <v>8355</v>
      </c>
      <c r="C22" s="213">
        <f>VLOOKUP(A22,'[3]Child Psych Days'!$B$9:$E$33,3,FALSE)</f>
        <v>43</v>
      </c>
      <c r="D22" s="214">
        <f t="shared" si="0"/>
        <v>8398</v>
      </c>
      <c r="E22" s="212">
        <f>39958+2081</f>
        <v>42039</v>
      </c>
      <c r="F22" s="215">
        <f t="shared" si="1"/>
        <v>0.19976688313232951</v>
      </c>
      <c r="G22" s="192"/>
      <c r="H22" s="199"/>
      <c r="I22" s="191"/>
      <c r="J22" s="216"/>
      <c r="L22" s="192"/>
      <c r="M22" s="218"/>
    </row>
    <row r="23" spans="1:13" x14ac:dyDescent="0.3">
      <c r="A23" s="192" t="s">
        <v>110</v>
      </c>
      <c r="B23" s="213">
        <v>9593</v>
      </c>
      <c r="C23" s="213">
        <f>VLOOKUP(A23,'[3]Child Psych Days'!$B$9:$E$33,3,FALSE)</f>
        <v>122</v>
      </c>
      <c r="D23" s="214">
        <f t="shared" si="0"/>
        <v>9715</v>
      </c>
      <c r="E23" s="212">
        <f>53668+5787</f>
        <v>59455</v>
      </c>
      <c r="F23" s="215">
        <f t="shared" si="1"/>
        <v>0.16340089143049366</v>
      </c>
      <c r="G23" s="192"/>
      <c r="H23" s="199"/>
      <c r="I23" s="191"/>
      <c r="J23" s="216"/>
      <c r="L23" s="192"/>
      <c r="M23" s="218"/>
    </row>
    <row r="24" spans="1:13" x14ac:dyDescent="0.3">
      <c r="A24" s="192" t="s">
        <v>187</v>
      </c>
      <c r="B24" s="213">
        <v>943</v>
      </c>
      <c r="C24" s="213">
        <v>0</v>
      </c>
      <c r="D24" s="214">
        <f t="shared" si="0"/>
        <v>943</v>
      </c>
      <c r="E24" s="212">
        <v>13666</v>
      </c>
      <c r="F24" s="215">
        <f t="shared" si="1"/>
        <v>6.9003366017854534E-2</v>
      </c>
      <c r="G24" s="192"/>
      <c r="H24" s="199"/>
      <c r="I24" s="191"/>
      <c r="J24" s="216"/>
      <c r="L24" s="192"/>
      <c r="M24" s="218"/>
    </row>
    <row r="25" spans="1:13" x14ac:dyDescent="0.3">
      <c r="A25" s="192" t="s">
        <v>188</v>
      </c>
      <c r="B25" s="213">
        <v>804</v>
      </c>
      <c r="C25" s="213">
        <v>0</v>
      </c>
      <c r="D25" s="214">
        <f t="shared" si="0"/>
        <v>804</v>
      </c>
      <c r="E25" s="212">
        <v>7017</v>
      </c>
      <c r="F25" s="215">
        <f t="shared" si="1"/>
        <v>0.1145788798631894</v>
      </c>
      <c r="G25" s="192"/>
      <c r="H25" s="199"/>
      <c r="I25" s="191"/>
      <c r="J25" s="216"/>
      <c r="L25" s="192"/>
      <c r="M25" s="218"/>
    </row>
    <row r="26" spans="1:13" x14ac:dyDescent="0.3">
      <c r="A26" s="192" t="s">
        <v>111</v>
      </c>
      <c r="B26" s="213">
        <v>11371</v>
      </c>
      <c r="C26" s="213">
        <f>VLOOKUP(A26,'[3]Child Psych Days'!$B$9:$E$33,3,FALSE)</f>
        <v>64</v>
      </c>
      <c r="D26" s="214">
        <f t="shared" si="0"/>
        <v>11435</v>
      </c>
      <c r="E26" s="212">
        <f>53616+3204+2295</f>
        <v>59115</v>
      </c>
      <c r="F26" s="215">
        <f t="shared" si="1"/>
        <v>0.19343652203332487</v>
      </c>
      <c r="G26" s="192"/>
      <c r="H26" s="199"/>
      <c r="I26" s="191"/>
      <c r="J26" s="216"/>
      <c r="L26" s="192"/>
      <c r="M26" s="218"/>
    </row>
    <row r="27" spans="1:13" x14ac:dyDescent="0.3">
      <c r="A27" s="192" t="s">
        <v>189</v>
      </c>
      <c r="B27" s="213">
        <v>1434</v>
      </c>
      <c r="C27" s="213">
        <v>0</v>
      </c>
      <c r="D27" s="214">
        <f t="shared" si="0"/>
        <v>1434</v>
      </c>
      <c r="E27" s="212">
        <v>12373</v>
      </c>
      <c r="F27" s="215">
        <f t="shared" si="1"/>
        <v>0.1158975187909157</v>
      </c>
      <c r="G27" s="192"/>
      <c r="H27" s="199"/>
      <c r="I27" s="191"/>
      <c r="J27" s="216"/>
      <c r="L27" s="192"/>
      <c r="M27" s="218"/>
    </row>
    <row r="28" spans="1:13" x14ac:dyDescent="0.3">
      <c r="A28" s="198" t="s">
        <v>112</v>
      </c>
      <c r="B28" s="213">
        <v>37221</v>
      </c>
      <c r="C28" s="213">
        <f>VLOOKUP(A28,'[3]Child Psych Days'!$B$9:$E$33,3,FALSE)</f>
        <v>3264</v>
      </c>
      <c r="D28" s="213">
        <f t="shared" si="0"/>
        <v>40485</v>
      </c>
      <c r="E28" s="212">
        <f>144375+14999</f>
        <v>159374</v>
      </c>
      <c r="F28" s="215">
        <f t="shared" si="1"/>
        <v>0.25402512329489124</v>
      </c>
      <c r="G28" s="192"/>
      <c r="H28" s="199"/>
      <c r="I28" s="194"/>
      <c r="J28" s="216"/>
      <c r="L28" s="192"/>
      <c r="M28" s="218"/>
    </row>
    <row r="29" spans="1:13" x14ac:dyDescent="0.3">
      <c r="A29" s="194" t="s">
        <v>190</v>
      </c>
      <c r="B29" s="213">
        <v>13571</v>
      </c>
      <c r="C29" s="213">
        <f>VLOOKUP(A29,'[3]Child Psych Days'!$B$9:$E$33,3,FALSE)</f>
        <v>106</v>
      </c>
      <c r="D29" s="213">
        <f t="shared" si="0"/>
        <v>13677</v>
      </c>
      <c r="E29" s="212">
        <f>47912+3921</f>
        <v>51833</v>
      </c>
      <c r="F29" s="215">
        <f t="shared" si="1"/>
        <v>0.26386664866012</v>
      </c>
      <c r="G29" s="215">
        <f>F29-F39</f>
        <v>6.9794548331251427E-2</v>
      </c>
      <c r="H29" s="219">
        <f>G29/$G$38</f>
        <v>0.24418703790614055</v>
      </c>
      <c r="I29" s="221">
        <f>H29*$I$5</f>
        <v>24418.703790614054</v>
      </c>
      <c r="J29" s="216"/>
      <c r="L29" s="192"/>
      <c r="M29" s="218"/>
    </row>
    <row r="30" spans="1:13" x14ac:dyDescent="0.3">
      <c r="A30" s="198" t="s">
        <v>191</v>
      </c>
      <c r="B30" s="213">
        <v>25155</v>
      </c>
      <c r="C30" s="213">
        <f>VLOOKUP(A30,'[3]Child Psych Days'!$B$9:$E$33,3,FALSE)</f>
        <v>3508</v>
      </c>
      <c r="D30" s="213">
        <f t="shared" si="0"/>
        <v>28663</v>
      </c>
      <c r="E30" s="212">
        <f>87589+30719+2745</f>
        <v>121053</v>
      </c>
      <c r="F30" s="215">
        <f t="shared" si="1"/>
        <v>0.23678058371126698</v>
      </c>
      <c r="G30" s="192"/>
      <c r="H30" s="199"/>
      <c r="I30" s="194"/>
      <c r="J30" s="216"/>
      <c r="L30" s="192"/>
      <c r="M30" s="218"/>
    </row>
    <row r="31" spans="1:13" x14ac:dyDescent="0.3">
      <c r="A31" s="192" t="s">
        <v>192</v>
      </c>
      <c r="B31" s="213">
        <v>621</v>
      </c>
      <c r="C31" s="213">
        <f>VLOOKUP(A31,'[3]Child Psych Days'!$B$9:$E$33,3,FALSE)</f>
        <v>1</v>
      </c>
      <c r="D31" s="214">
        <f t="shared" si="0"/>
        <v>622</v>
      </c>
      <c r="E31" s="212">
        <f>8983+3411</f>
        <v>12394</v>
      </c>
      <c r="F31" s="215">
        <f t="shared" si="1"/>
        <v>5.0185573664676457E-2</v>
      </c>
      <c r="G31" s="192"/>
      <c r="H31" s="199"/>
      <c r="I31" s="191"/>
      <c r="J31" s="216"/>
      <c r="L31" s="192"/>
      <c r="M31" s="218"/>
    </row>
    <row r="32" spans="1:13" x14ac:dyDescent="0.3">
      <c r="A32" s="192" t="s">
        <v>115</v>
      </c>
      <c r="B32" s="213">
        <v>16645</v>
      </c>
      <c r="C32" s="213">
        <f>VLOOKUP(A32,'[3]Child Psych Days'!$B$9:$E$33,3,FALSE)</f>
        <v>89</v>
      </c>
      <c r="D32" s="214">
        <f t="shared" si="0"/>
        <v>16734</v>
      </c>
      <c r="E32" s="212">
        <f>62015+4518+3927</f>
        <v>70460</v>
      </c>
      <c r="F32" s="215">
        <f t="shared" si="1"/>
        <v>0.2374964518875958</v>
      </c>
      <c r="G32" s="192"/>
      <c r="H32" s="199"/>
      <c r="I32" s="191"/>
      <c r="J32" s="216"/>
      <c r="L32" s="192"/>
      <c r="M32" s="218"/>
    </row>
    <row r="33" spans="1:13" x14ac:dyDescent="0.3">
      <c r="A33" s="191" t="s">
        <v>116</v>
      </c>
      <c r="B33" s="213">
        <v>13569</v>
      </c>
      <c r="C33" s="213">
        <f>VLOOKUP(A33,'[3]Child Psych Days'!$B$9:$E$33,3,FALSE)</f>
        <v>1317</v>
      </c>
      <c r="D33" s="214">
        <f t="shared" si="0"/>
        <v>14886</v>
      </c>
      <c r="E33" s="212">
        <f>45738+9361</f>
        <v>55099</v>
      </c>
      <c r="F33" s="215">
        <f t="shared" si="1"/>
        <v>0.27016824261783334</v>
      </c>
      <c r="G33" s="215">
        <f>F33-F39</f>
        <v>7.6096142288964774E-2</v>
      </c>
      <c r="H33" s="219">
        <f>G33/$G$38</f>
        <v>0.26623414042936516</v>
      </c>
      <c r="I33" s="220">
        <f>H33*$I$5</f>
        <v>26623.414042936518</v>
      </c>
      <c r="J33" s="216"/>
      <c r="L33" s="192"/>
      <c r="M33" s="218"/>
    </row>
    <row r="34" spans="1:13" x14ac:dyDescent="0.3">
      <c r="A34" s="192" t="s">
        <v>193</v>
      </c>
      <c r="B34" s="213">
        <v>3267</v>
      </c>
      <c r="C34" s="213">
        <v>0</v>
      </c>
      <c r="D34" s="214">
        <f t="shared" si="0"/>
        <v>3267</v>
      </c>
      <c r="E34" s="212">
        <v>17187</v>
      </c>
      <c r="F34" s="215">
        <f t="shared" si="1"/>
        <v>0.19008552976086576</v>
      </c>
      <c r="G34" s="192"/>
      <c r="H34" s="199"/>
      <c r="I34" s="191"/>
      <c r="J34" s="216"/>
      <c r="L34" s="192"/>
      <c r="M34" s="218"/>
    </row>
    <row r="35" spans="1:13" x14ac:dyDescent="0.3">
      <c r="A35" s="217" t="s">
        <v>117</v>
      </c>
      <c r="B35" s="213">
        <v>107732</v>
      </c>
      <c r="C35" s="213">
        <f>VLOOKUP(A35,'[3]Child Psych Days'!$B$9:$E$33,3,FALSE)</f>
        <v>9157</v>
      </c>
      <c r="D35" s="214">
        <f t="shared" si="0"/>
        <v>116889</v>
      </c>
      <c r="E35" s="212">
        <f>409555+36782+3325</f>
        <v>449662</v>
      </c>
      <c r="F35" s="215">
        <f t="shared" si="1"/>
        <v>0.25994858360279499</v>
      </c>
      <c r="G35" s="192"/>
      <c r="H35" s="199"/>
      <c r="I35" s="222"/>
      <c r="J35" s="216"/>
      <c r="L35" s="192"/>
      <c r="M35" s="218"/>
    </row>
    <row r="36" spans="1:13" x14ac:dyDescent="0.3">
      <c r="A36" s="217"/>
      <c r="B36" s="213"/>
      <c r="C36" s="213"/>
      <c r="D36" s="214"/>
      <c r="E36" s="212"/>
      <c r="F36" s="192"/>
      <c r="G36" s="192"/>
      <c r="H36" s="199"/>
      <c r="I36" s="200"/>
      <c r="J36" s="216"/>
    </row>
    <row r="37" spans="1:13" x14ac:dyDescent="0.3">
      <c r="A37" s="192"/>
      <c r="B37" s="213"/>
      <c r="C37" s="213"/>
      <c r="D37" s="214"/>
      <c r="E37" s="212"/>
      <c r="F37" s="192"/>
      <c r="G37" s="192"/>
      <c r="H37" s="199"/>
      <c r="I37" s="200"/>
      <c r="J37" s="216"/>
    </row>
    <row r="38" spans="1:13" x14ac:dyDescent="0.3">
      <c r="A38" s="191" t="s">
        <v>0</v>
      </c>
      <c r="B38" s="223">
        <f t="shared" ref="B38:E38" si="2">SUM(B8:B37)</f>
        <v>423076</v>
      </c>
      <c r="C38" s="223">
        <f t="shared" si="2"/>
        <v>25445</v>
      </c>
      <c r="D38" s="224">
        <f t="shared" si="2"/>
        <v>448521</v>
      </c>
      <c r="E38" s="225">
        <f t="shared" si="2"/>
        <v>2000329</v>
      </c>
      <c r="F38" s="226">
        <f>STDEV(F8:F35)</f>
        <v>6.7077104297848175E-2</v>
      </c>
      <c r="G38" s="227">
        <f>SUM(G7:G37)</f>
        <v>0.28582413272107721</v>
      </c>
      <c r="H38" s="228">
        <f>SUM(H7:H37)</f>
        <v>1</v>
      </c>
      <c r="I38" s="229">
        <f>SUM(I7:I35)</f>
        <v>100000</v>
      </c>
      <c r="J38" s="216"/>
    </row>
    <row r="39" spans="1:13" x14ac:dyDescent="0.3">
      <c r="A39" s="192"/>
      <c r="B39" s="198"/>
      <c r="C39" s="198"/>
      <c r="D39" s="192"/>
      <c r="E39" s="230"/>
      <c r="F39" s="215">
        <f>AVERAGE(F8:F35)</f>
        <v>0.19407210032886857</v>
      </c>
      <c r="G39" s="192"/>
      <c r="H39" s="199"/>
      <c r="I39" s="200"/>
      <c r="J39" s="216"/>
    </row>
    <row r="40" spans="1:13" x14ac:dyDescent="0.3">
      <c r="A40" s="217"/>
      <c r="B40" s="217"/>
      <c r="C40" s="231"/>
      <c r="D40" s="192"/>
      <c r="E40" s="230"/>
      <c r="F40" s="232">
        <f>F38+F39</f>
        <v>0.26114920462671676</v>
      </c>
      <c r="G40" s="192"/>
      <c r="H40" s="199"/>
      <c r="I40" s="200"/>
      <c r="J40" s="216"/>
    </row>
    <row r="41" spans="1:13" x14ac:dyDescent="0.3">
      <c r="A41" s="233"/>
      <c r="B41" s="234"/>
      <c r="C41" s="235"/>
      <c r="D41" s="198"/>
      <c r="E41" s="212"/>
      <c r="F41" s="192"/>
      <c r="G41" s="192"/>
      <c r="H41" s="199"/>
      <c r="I41" s="200"/>
    </row>
    <row r="42" spans="1:13" x14ac:dyDescent="0.3">
      <c r="A42" s="222"/>
      <c r="B42" s="199"/>
      <c r="C42" s="236"/>
      <c r="D42" s="192"/>
      <c r="E42" s="212"/>
      <c r="F42" s="192"/>
      <c r="G42" s="192"/>
      <c r="H42" s="199"/>
      <c r="I42" s="200"/>
    </row>
    <row r="43" spans="1:13" x14ac:dyDescent="0.3">
      <c r="A43" s="197"/>
      <c r="B43" s="199"/>
      <c r="C43" s="237"/>
      <c r="D43" s="192"/>
      <c r="E43" s="212"/>
      <c r="F43" s="192"/>
      <c r="G43" s="192"/>
      <c r="H43" s="199"/>
      <c r="I43" s="200"/>
    </row>
    <row r="44" spans="1:13" x14ac:dyDescent="0.3">
      <c r="A44" s="222"/>
      <c r="B44" s="217"/>
      <c r="C44" s="238"/>
      <c r="D44" s="192"/>
      <c r="E44" s="212"/>
      <c r="F44" s="192"/>
      <c r="G44" s="192"/>
      <c r="H44" s="199"/>
      <c r="I44" s="200"/>
    </row>
    <row r="45" spans="1:13" x14ac:dyDescent="0.3">
      <c r="A45" s="222"/>
      <c r="B45" s="199"/>
      <c r="C45" s="237"/>
      <c r="D45" s="192"/>
      <c r="E45" s="212"/>
      <c r="F45" s="192"/>
      <c r="G45" s="192"/>
      <c r="H45" s="199"/>
      <c r="I45" s="200"/>
    </row>
    <row r="46" spans="1:13" x14ac:dyDescent="0.3">
      <c r="A46" s="222"/>
      <c r="B46" s="217"/>
      <c r="C46" s="217"/>
      <c r="D46" s="192"/>
      <c r="E46" s="212"/>
      <c r="F46" s="192"/>
      <c r="G46" s="192"/>
      <c r="H46" s="199"/>
      <c r="I46" s="200"/>
    </row>
    <row r="47" spans="1:13" x14ac:dyDescent="0.3">
      <c r="A47" s="199"/>
      <c r="B47" s="199"/>
      <c r="C47" s="199"/>
      <c r="H47" s="199"/>
      <c r="I47" s="200"/>
    </row>
    <row r="48" spans="1:13" x14ac:dyDescent="0.3">
      <c r="H48" s="199"/>
      <c r="I48" s="200"/>
    </row>
    <row r="49" spans="1:9" x14ac:dyDescent="0.3">
      <c r="H49" s="199"/>
      <c r="I49" s="200"/>
    </row>
    <row r="50" spans="1:9" x14ac:dyDescent="0.3">
      <c r="A50" s="196"/>
      <c r="H50" s="199"/>
      <c r="I50" s="200"/>
    </row>
  </sheetData>
  <conditionalFormatting sqref="F8:F35">
    <cfRule type="cellIs" dxfId="0" priority="1" operator="greaterThan">
      <formula>$F$40</formula>
    </cfRule>
  </conditionalFormatting>
  <hyperlinks>
    <hyperlink ref="A49" r:id="rId1" tooltip="Medicaid.gov" display="http://www.medicaid.gov/"/>
    <hyperlink ref="A51" r:id="rId2" tooltip="Private Insurance" display="http://www.cms.gov/cciio/index.html"/>
    <hyperlink ref="A52" r:id="rId3" tooltip="Innovation Center" display="http://www.innovations.cms.gov/"/>
    <hyperlink ref="A53" r:id="rId4" tooltip="Regulations and Guidance" display="http://www.cms.gov/Regulations-and-Guidance/Regulations-and-Guidance.html"/>
    <hyperlink ref="A54" r:id="rId5" tooltip="Research, Statistics, Data and Systems" display="http://www.cms.gov/Research-Statistics-Data-and-Systems/Research-Statistics-Data-and-Systems.html"/>
    <hyperlink ref="A55" r:id="rId6" tooltip="Outreach and Education" display="http://www.cms.gov/Outreach-and-Education/Outreach-and-Education.html"/>
    <hyperlink ref="A57" r:id="rId7" display="http://www.cms.gov/Medicare/Medicare-Fee-for-Service-Payment/AcuteInpatientPPS/index.html"/>
    <hyperlink ref="A58" r:id="rId8" tooltip="Wage Index Reform" display="http://www.cms.gov/Medicare/Medicare-Fee-for-Service-Payment/AcuteInpatientPPS/Wage-Index-Reform.html"/>
    <hyperlink ref="A59" r:id="rId9" tooltip="Wage Index" display="http://www.cms.gov/Medicare/Medicare-Fee-for-Service-Payment/AcuteInpatientPPS/wageindex.html"/>
    <hyperlink ref="A60" r:id="rId10" tooltip="Outlier Payments" display="http://www.cms.gov/Medicare/Medicare-Fee-for-Service-Payment/AcuteInpatientPPS/outlier.html"/>
    <hyperlink ref="A62" r:id="rId11" tooltip="Direct Graduate Medical Education (DGME)" display="http://www.cms.gov/Medicare/Medicare-Fee-for-Service-Payment/AcuteInpatientPPS/dgme.html"/>
    <hyperlink ref="A63" r:id="rId12" tooltip="Indirect Medical Education (IME)" display="http://www.cms.gov/Medicare/Medicare-Fee-for-Service-Payment/AcuteInpatientPPS/Indirect-Medical-Education-IME.html"/>
    <hyperlink ref="A64" r:id="rId13" tooltip="New Medical Services and New Technologies" display="http://www.cms.gov/Medicare/Medicare-Fee-for-Service-Payment/AcuteInpatientPPS/newtech.html"/>
    <hyperlink ref="A65" r:id="rId14" tooltip="Wage Index Files" display="http://www.cms.gov/Medicare/Medicare-Fee-for-Service-Payment/AcuteInpatientPPS/Wage-Index-Files.html"/>
    <hyperlink ref="A66" r:id="rId15" tooltip="Three Day Payment Window" display="http://www.cms.gov/Medicare/Medicare-Fee-for-Service-Payment/AcuteInpatientPPS/Three_Day_Payment_Window.html"/>
    <hyperlink ref="A67" r:id="rId16" tooltip="Hospital Value-Based Purchasing" display="http://www.cms.gov/Medicare/Quality-Initiatives-Patient-Assessment-Instruments/hospital-value-based-purchasing/index.html"/>
    <hyperlink ref="A68" r:id="rId17" tooltip="Readmissions Reduction Program" display="http://www.cms.gov/Medicare/Medicare-Fee-for-Service-Payment/AcuteInpatientPPS/Readmissions-Reduction-Program.html"/>
    <hyperlink ref="A69" r:id="rId18" tooltip="Medicare PPS Excluded Cancer Hospitals" display="http://www.cms.gov/Medicare/Medicare-Fee-for-Service-Payment/AcuteInpatientPPS/PPS_Exc_Cancer_Hospasp.html"/>
    <hyperlink ref="A70" r:id="rId19" tooltip="Acute Inpatient - Files for Download" display="http://www.cms.gov/Medicare/Medicare-Fee-for-Service-Payment/AcuteInpatientPPS/Acute-Inpatient-Files-for-Download.html"/>
    <hyperlink ref="A71" r:id="rId20" tooltip="Historical Impact Files for FY 1994 through Present" display="http://www.cms.gov/Medicare/Medicare-Fee-for-Service-Payment/AcuteInpatientPPS/Historical-Impact-Files-for-FY-1994-through-Present.html"/>
    <hyperlink ref="A72" r:id="rId21" tooltip="IPPS Regulations and Notices" display="http://www.cms.gov/Medicare/Medicare-Fee-for-Service-Payment/AcuteInpatientPPS/IPPS-Regulations-and-Notices.html"/>
    <hyperlink ref="A73" r:id="rId22" tooltip="Acute Inpatient PPS Transmittals" display="http://www.cms.gov/Medicare/Medicare-Fee-for-Service-Payment/AcuteInpatientPPS/Acute-Inpatient-PPS-Transmittals.html"/>
    <hyperlink ref="A74" r:id="rId23" tooltip="FY 2011 IPPS Proposed Rule Home Page" display="http://www.cms.gov/Medicare/Medicare-Fee-for-Service-Payment/AcuteInpatientPPS/FY-2011-IPPS-Proposed-Rule-Home-Page.html"/>
    <hyperlink ref="A75" r:id="rId24" tooltip="FY 2011 IPPS Final Rule Home Page" display="http://www.cms.gov/Medicare/Medicare-Fee-for-Service-Payment/AcuteInpatientPPS/FY-2011-IPPS-Final-Rule-Home-Page.html"/>
    <hyperlink ref="A76" r:id="rId25" tooltip="FY 2012 IPPS Proposed Rule Home Page" display="http://www.cms.gov/Medicare/Medicare-Fee-for-Service-Payment/AcuteInpatientPPS/FY-2012-IPPS-Proposed-Rule-Home-Page.html"/>
    <hyperlink ref="A77" r:id="rId26" tooltip="FY 2012 IPPS Final Rule Home Page" display="http://www.cms.gov/Medicare/Medicare-Fee-for-Service-Payment/AcuteInpatientPPS/FY-2012-IPPS-Final-Rule-Home-Page.html"/>
    <hyperlink ref="A78" r:id="rId27" tooltip="FY 2013 IPPS Proposed Rule Home Page" display="http://www.cms.gov/Medicare/Medicare-Fee-for-Service-Payment/AcuteInpatientPPS/FY-2013-IPPS-Proposed-Rule-Home-Page.html"/>
    <hyperlink ref="A79" r:id="rId28" tooltip="FY 2013 IPPS Final Rule Home Page" display="http://www.cms.gov/Medicare/Medicare-Fee-for-Service-Payment/AcuteInpatientPPS/FY-2013-IPPS-Final-Rule-Home-Page.html"/>
    <hyperlink ref="A80" r:id="rId29" tooltip="FY 2014 IPPS Proposed Rule Home Page" display="http://www.cms.gov/Medicare/Medicare-Fee-for-Service-Payment/AcuteInpatientPPS/FY-2014-IPPS-Proposed-Rule-Home-Page.html"/>
    <hyperlink ref="A81" r:id="rId30" tooltip="FY 2014 IPPS Final Rule Home Page" display="http://www.cms.gov/Medicare/Medicare-Fee-for-Service-Payment/AcuteInpatientPPS/FY2014-IPPS-Final-Rule-Home-Page.html"/>
    <hyperlink ref="A133" r:id="rId31" display="http://www.cms.hhs.gov/hetshelp"/>
    <hyperlink ref="A135" r:id="rId32" display="mailto:mcare@cms.hhs.gov"/>
    <hyperlink ref="A138" r:id="rId33" display="http://www.cms.gov/Medicare/Medicare-Fee-for-Service-Payment/AcuteInpatientPPS/Downloads/HPMS-MA-data-for-DSH.pdf"/>
    <hyperlink ref="A139" r:id="rId34" display="http://www.cms.gov/Regulations-and-Guidance/Guidance/Rulings/Downloads/CMS1498R.pdf"/>
    <hyperlink ref="A140" r:id="rId35" display="http://www.cms.gov/Medicare/Medicare-Fee-for-Service-Payment/AcuteInpatientPPS/Downloads/Improvements-to-Medicare-DSH-Final-Report.zip"/>
    <hyperlink ref="A141" r:id="rId36" display="http://www.cms.gov/Medicare/Medicare-Fee-for-Service-Payment/AcuteInpatientPPS/Downloads/DSH-Adjustment-and-2010-2011-File-.zip"/>
    <hyperlink ref="A142" r:id="rId37" display="http://www.cms.gov/Medicare/Medicare-Fee-for-Service-Payment/AcuteInpatientPPS/Downloads/FY10SSI.zip"/>
    <hyperlink ref="A143" r:id="rId38" display="http://www.cms.gov/Medicare/Medicare-Fee-for-Service-Payment/AcuteInpatientPPS/Downloads/ssi0809.zip"/>
    <hyperlink ref="A144" r:id="rId39" display="http://www.cms.gov/Medicare/Medicare-Fee-for-Service-Payment/AcuteInpatientPPS/Downloads/ssi0708.zip"/>
    <hyperlink ref="A145" r:id="rId40" display="http://www.cms.gov/Medicare/Medicare-Fee-for-Service-Payment/AcuteInpatientPPS/Downloads/ssi0607.zip"/>
    <hyperlink ref="A146" r:id="rId41" display="http://www.cms.gov/Medicare/Medicare-Fee-for-Service-Payment/AcuteInpatientPPS/Downloads/ssi0506r.zip"/>
    <hyperlink ref="A147" r:id="rId42" display="http://www.cms.gov/Medicare/Medicare-Fee-for-Service-Payment/AcuteInpatientPPS/Downloads/ssi0405r.zip"/>
    <hyperlink ref="A148" r:id="rId43" display="http://www.cms.gov/Medicare/Medicare-Fee-for-Service-Payment/AcuteInpatientPPS/Downloads/ssi0304.zip"/>
    <hyperlink ref="A149" r:id="rId44" display="http://www.cms.gov/Medicare/Medicare-Fee-for-Service-Payment/AcuteInpatientPPS/Downloads/ssify03mpr.zip"/>
    <hyperlink ref="A150" r:id="rId45" display="http://www.cms.gov/Medicare/Medicare-Fee-for-Service-Payment/AcuteInpatientPPS/Downloads/ssi0102.zip"/>
    <hyperlink ref="A151" r:id="rId46" display="http://www.cms.gov/Medicare/Medicare-Fee-for-Service-Payment/AcuteInpatientPPS/Downloads/ssifile.zip"/>
    <hyperlink ref="A152" r:id="rId47" display="http://www.cms.gov/Regulations-and-Guidance/Guidance/Transmittals/Downloads/A0113.pdf"/>
    <hyperlink ref="A154" r:id="rId48" tooltip="DUA - DSH" display="http://www.cms.gov/Research-Statistics-Data-and-Systems/Computer-Data-and-Systems/Privacy/DUA_-_DSH.html"/>
    <hyperlink ref="A155" r:id="rId49" tooltip="FY 2014 IPPS Final Rule: Medicare DSH Supplemental Data File" display="http://www.cms.gov/Medicare/Medicare-Fee-for-Service-Payment/AcuteInpatientPPS/Downloads/FY2014-FR-DSH-Supplemental-File.zip"/>
    <hyperlink ref="A156" r:id="rId50" tooltip="FY 2014 IPPS Final Rule: CMS-1599-F" display="http://www.cms.gov/Medicare/Medicare-Fee-for-Service-Payment/AcuteInpatientPPS/FY-2014-IPPS-Final-Rule-Home-Page-Items/FY-2014-IPPS-Final-Rule-CMS-1599-F-Regulations.html"/>
    <hyperlink ref="A158" r:id="rId51" display="http://www.cms.gov/About-CMS/Agency-Information/Aboutwebsite/Help.html"/>
  </hyperlinks>
  <pageMargins left="0.45" right="0.45" top="0.75" bottom="0.75" header="0.3" footer="0.3"/>
  <pageSetup scale="84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SFY15Pmts</vt:lpstr>
      <vt:lpstr>SFY15_Low_Cost_Hospitals</vt:lpstr>
      <vt:lpstr>01-01-15_GME_Calculation</vt:lpstr>
      <vt:lpstr>DSH$100,000</vt:lpstr>
      <vt:lpstr>'DSH$100,000'!main_content</vt:lpstr>
      <vt:lpstr>'01-01-15_GME_Calculation'!Print_Area</vt:lpstr>
      <vt:lpstr>'DSH$100,000'!Print_Area</vt:lpstr>
      <vt:lpstr>SFY15_Low_Cost_Hospitals!Print_Area</vt:lpstr>
      <vt:lpstr>SFY15Pmts!Print_Area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Eccleston</dc:creator>
  <cp:lastModifiedBy>Hudson, James M</cp:lastModifiedBy>
  <cp:lastPrinted>2015-02-24T17:13:52Z</cp:lastPrinted>
  <dcterms:created xsi:type="dcterms:W3CDTF">2007-07-26T18:27:45Z</dcterms:created>
  <dcterms:modified xsi:type="dcterms:W3CDTF">2017-06-15T19:01:18Z</dcterms:modified>
</cp:coreProperties>
</file>