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72" yWindow="168" windowWidth="6396" windowHeight="10752" tabRatio="896"/>
  </bookViews>
  <sheets>
    <sheet name="14_Impact" sheetId="45" r:id="rId1"/>
    <sheet name="15_Impact" sheetId="47" r:id="rId2"/>
    <sheet name="Low_Cost_Hospitals" sheetId="37" r:id="rId3"/>
    <sheet name="DSH 100,000" sheetId="50" r:id="rId4"/>
  </sheets>
  <externalReferences>
    <externalReference r:id="rId5"/>
    <externalReference r:id="rId6"/>
  </externalReferences>
  <definedNames>
    <definedName name="\p" localSheetId="0">#REF!</definedName>
    <definedName name="\p" localSheetId="1">#REF!</definedName>
    <definedName name="\p">#REF!</definedName>
    <definedName name="COPIES" localSheetId="0">#REF!</definedName>
    <definedName name="COPIES" localSheetId="1">#REF!</definedName>
    <definedName name="COPIES">#REF!</definedName>
    <definedName name="COUNTER" localSheetId="0">#REF!</definedName>
    <definedName name="COUNTER" localSheetId="1">#REF!</definedName>
    <definedName name="COUNTER">#REF!</definedName>
    <definedName name="FFY05_DSH_Query" localSheetId="0">#REF!</definedName>
    <definedName name="FFY05_DSH_Query" localSheetId="1">#REF!</definedName>
    <definedName name="FFY05_DSH_Query">#REF!</definedName>
    <definedName name="FFY05_DSH_QUERY_1" localSheetId="0">#REF!</definedName>
    <definedName name="FFY05_DSH_QUERY_1" localSheetId="1">#REF!</definedName>
    <definedName name="FFY05_DSH_QUERY_1">#REF!</definedName>
    <definedName name="hart." hidden="1">#REF!</definedName>
    <definedName name="PRINT" localSheetId="0">#REF!</definedName>
    <definedName name="PRINT" localSheetId="1">#REF!</definedName>
    <definedName name="PRINT">#REF!</definedName>
    <definedName name="_xlnm.Print_Area" localSheetId="0">'14_Impact'!$A$1:$M$97</definedName>
    <definedName name="_xlnm.Print_Area" localSheetId="1">'15_Impact'!$A$1:$M$97</definedName>
    <definedName name="_xlnm.Print_Area" localSheetId="3">'DSH 100,000'!$A$1:$K$41</definedName>
    <definedName name="_xlnm.Print_Area" localSheetId="2">Low_Cost_Hospitals!$A$1:$S$41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TblStep_1" localSheetId="0">#REF!</definedName>
    <definedName name="TblStep_1" localSheetId="1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M22" i="47" l="1"/>
  <c r="M23" i="47"/>
  <c r="E36" i="50" l="1"/>
  <c r="E39" i="50" s="1"/>
  <c r="C36" i="50"/>
  <c r="C39" i="50" s="1"/>
  <c r="B36" i="50"/>
  <c r="B39" i="50" s="1"/>
  <c r="D35" i="50"/>
  <c r="F35" i="50" s="1"/>
  <c r="D34" i="50"/>
  <c r="F34" i="50" s="1"/>
  <c r="D33" i="50"/>
  <c r="F33" i="50" s="1"/>
  <c r="D32" i="50"/>
  <c r="F32" i="50" s="1"/>
  <c r="D31" i="50"/>
  <c r="F31" i="50" s="1"/>
  <c r="D30" i="50"/>
  <c r="F30" i="50" s="1"/>
  <c r="D29" i="50"/>
  <c r="F29" i="50" s="1"/>
  <c r="D28" i="50"/>
  <c r="F28" i="50" s="1"/>
  <c r="D27" i="50"/>
  <c r="F27" i="50" s="1"/>
  <c r="D26" i="50"/>
  <c r="F26" i="50" s="1"/>
  <c r="D25" i="50"/>
  <c r="F25" i="50" s="1"/>
  <c r="D24" i="50"/>
  <c r="F24" i="50" s="1"/>
  <c r="D23" i="50"/>
  <c r="F23" i="50" s="1"/>
  <c r="D22" i="50"/>
  <c r="F22" i="50" s="1"/>
  <c r="D21" i="50"/>
  <c r="F21" i="50" s="1"/>
  <c r="D20" i="50"/>
  <c r="F20" i="50" s="1"/>
  <c r="D19" i="50"/>
  <c r="F19" i="50" s="1"/>
  <c r="D18" i="50"/>
  <c r="F18" i="50" s="1"/>
  <c r="D17" i="50"/>
  <c r="F17" i="50" s="1"/>
  <c r="D16" i="50"/>
  <c r="F16" i="50" s="1"/>
  <c r="F15" i="50"/>
  <c r="D15" i="50"/>
  <c r="D14" i="50"/>
  <c r="F14" i="50" s="1"/>
  <c r="D13" i="50"/>
  <c r="F13" i="50" s="1"/>
  <c r="D12" i="50"/>
  <c r="F12" i="50" s="1"/>
  <c r="D11" i="50"/>
  <c r="F10" i="50"/>
  <c r="D10" i="50"/>
  <c r="F9" i="50"/>
  <c r="D9" i="50"/>
  <c r="F11" i="50" l="1"/>
  <c r="D36" i="50"/>
  <c r="F36" i="50" s="1"/>
  <c r="H11" i="50" l="1"/>
  <c r="G11" i="50" s="1"/>
  <c r="F40" i="50"/>
  <c r="I36" i="50"/>
  <c r="D39" i="50"/>
  <c r="F39" i="50"/>
  <c r="F41" i="50" s="1"/>
  <c r="H10" i="50" l="1"/>
  <c r="G10" i="50" s="1"/>
  <c r="H24" i="50"/>
  <c r="G24" i="50" s="1"/>
  <c r="H28" i="50"/>
  <c r="G28" i="50" s="1"/>
  <c r="H32" i="50"/>
  <c r="G32" i="50" s="1"/>
  <c r="H9" i="50"/>
  <c r="G9" i="50" s="1"/>
  <c r="H13" i="50"/>
  <c r="G13" i="50" s="1"/>
  <c r="H16" i="50"/>
  <c r="G16" i="50" s="1"/>
  <c r="H18" i="50"/>
  <c r="G18" i="50" s="1"/>
  <c r="H20" i="50"/>
  <c r="G20" i="50" s="1"/>
  <c r="H22" i="50"/>
  <c r="G22" i="50" s="1"/>
  <c r="H25" i="50"/>
  <c r="G25" i="50" s="1"/>
  <c r="H29" i="50"/>
  <c r="G29" i="50" s="1"/>
  <c r="H33" i="50"/>
  <c r="G33" i="50" s="1"/>
  <c r="H26" i="50"/>
  <c r="G26" i="50" s="1"/>
  <c r="H30" i="50"/>
  <c r="G30" i="50" s="1"/>
  <c r="H34" i="50"/>
  <c r="G34" i="50" s="1"/>
  <c r="H14" i="50"/>
  <c r="G14" i="50" s="1"/>
  <c r="H15" i="50"/>
  <c r="G15" i="50" s="1"/>
  <c r="H17" i="50"/>
  <c r="G17" i="50" s="1"/>
  <c r="H19" i="50"/>
  <c r="G19" i="50" s="1"/>
  <c r="H21" i="50"/>
  <c r="G21" i="50" s="1"/>
  <c r="H23" i="50"/>
  <c r="G23" i="50" s="1"/>
  <c r="H27" i="50"/>
  <c r="G27" i="50" s="1"/>
  <c r="H31" i="50"/>
  <c r="G31" i="50" s="1"/>
  <c r="H35" i="50"/>
  <c r="G35" i="50" s="1"/>
  <c r="H36" i="50"/>
  <c r="G36" i="50" s="1"/>
  <c r="I14" i="50"/>
  <c r="I15" i="50"/>
  <c r="I10" i="50"/>
  <c r="I39" i="50" l="1"/>
  <c r="J36" i="50" s="1"/>
  <c r="K36" i="50" s="1"/>
  <c r="J10" i="50"/>
  <c r="J14" i="50"/>
  <c r="K14" i="50" s="1"/>
  <c r="J15" i="50"/>
  <c r="K15" i="50" s="1"/>
  <c r="K10" i="50" l="1"/>
  <c r="K39" i="50" s="1"/>
  <c r="J39" i="50"/>
  <c r="J52" i="45"/>
  <c r="J53" i="45"/>
  <c r="J54" i="45"/>
  <c r="J55" i="45"/>
  <c r="J47" i="45"/>
  <c r="J50" i="45" s="1"/>
  <c r="J47" i="47"/>
  <c r="J50" i="47" s="1"/>
  <c r="B97" i="47" l="1"/>
  <c r="C96" i="47" s="1"/>
  <c r="H46" i="47" s="1"/>
  <c r="C92" i="47"/>
  <c r="H42" i="47" s="1"/>
  <c r="C81" i="47"/>
  <c r="H31" i="47" s="1"/>
  <c r="C79" i="47"/>
  <c r="H29" i="47" s="1"/>
  <c r="C73" i="47"/>
  <c r="H23" i="47" s="1"/>
  <c r="C71" i="47"/>
  <c r="H21" i="47" s="1"/>
  <c r="D68" i="47"/>
  <c r="D95" i="47" s="1"/>
  <c r="E67" i="47"/>
  <c r="C67" i="47"/>
  <c r="D66" i="47"/>
  <c r="E66" i="47" s="1"/>
  <c r="C66" i="47"/>
  <c r="D65" i="47"/>
  <c r="E65" i="47" s="1"/>
  <c r="C65" i="47"/>
  <c r="D64" i="47"/>
  <c r="E64" i="47" s="1"/>
  <c r="C64" i="47"/>
  <c r="D63" i="47"/>
  <c r="E63" i="47" s="1"/>
  <c r="C63" i="47"/>
  <c r="B47" i="47"/>
  <c r="C75" i="47" l="1"/>
  <c r="H25" i="47" s="1"/>
  <c r="C84" i="47"/>
  <c r="H34" i="47" s="1"/>
  <c r="C70" i="47"/>
  <c r="H20" i="47" s="1"/>
  <c r="C77" i="47"/>
  <c r="H27" i="47" s="1"/>
  <c r="C88" i="47"/>
  <c r="H38" i="47" s="1"/>
  <c r="C69" i="47"/>
  <c r="H19" i="47" s="1"/>
  <c r="D70" i="47"/>
  <c r="C72" i="47"/>
  <c r="H22" i="47" s="1"/>
  <c r="C74" i="47"/>
  <c r="H24" i="47" s="1"/>
  <c r="C76" i="47"/>
  <c r="H26" i="47" s="1"/>
  <c r="C78" i="47"/>
  <c r="H28" i="47" s="1"/>
  <c r="C80" i="47"/>
  <c r="H30" i="47" s="1"/>
  <c r="C82" i="47"/>
  <c r="H32" i="47" s="1"/>
  <c r="C86" i="47"/>
  <c r="H36" i="47" s="1"/>
  <c r="C90" i="47"/>
  <c r="H40" i="47" s="1"/>
  <c r="C94" i="47"/>
  <c r="H44" i="47" s="1"/>
  <c r="C83" i="47"/>
  <c r="H33" i="47" s="1"/>
  <c r="C85" i="47"/>
  <c r="H35" i="47" s="1"/>
  <c r="C87" i="47"/>
  <c r="H37" i="47" s="1"/>
  <c r="C89" i="47"/>
  <c r="H39" i="47" s="1"/>
  <c r="C91" i="47"/>
  <c r="H41" i="47" s="1"/>
  <c r="C93" i="47"/>
  <c r="H43" i="47" s="1"/>
  <c r="C95" i="47"/>
  <c r="H45" i="47" s="1"/>
  <c r="C20" i="47"/>
  <c r="D20" i="47" s="1"/>
  <c r="C21" i="47"/>
  <c r="D21" i="47" s="1"/>
  <c r="C23" i="47"/>
  <c r="D23" i="47" s="1"/>
  <c r="C26" i="47"/>
  <c r="D26" i="47" s="1"/>
  <c r="C44" i="47"/>
  <c r="D44" i="47" s="1"/>
  <c r="C42" i="47"/>
  <c r="D42" i="47" s="1"/>
  <c r="C39" i="47"/>
  <c r="D39" i="47" s="1"/>
  <c r="C36" i="47"/>
  <c r="D36" i="47" s="1"/>
  <c r="C35" i="47"/>
  <c r="D35" i="47" s="1"/>
  <c r="C33" i="47"/>
  <c r="D33" i="47" s="1"/>
  <c r="C32" i="47"/>
  <c r="D32" i="47" s="1"/>
  <c r="C30" i="47"/>
  <c r="D30" i="47" s="1"/>
  <c r="C28" i="47"/>
  <c r="D28" i="47" s="1"/>
  <c r="C22" i="47"/>
  <c r="D22" i="47" s="1"/>
  <c r="C24" i="47"/>
  <c r="D24" i="47" s="1"/>
  <c r="C25" i="47"/>
  <c r="D25" i="47" s="1"/>
  <c r="C29" i="47"/>
  <c r="D29" i="47" s="1"/>
  <c r="K29" i="47" s="1"/>
  <c r="C31" i="47"/>
  <c r="D31" i="47" s="1"/>
  <c r="C34" i="47"/>
  <c r="D34" i="47" s="1"/>
  <c r="C37" i="47"/>
  <c r="D37" i="47" s="1"/>
  <c r="C38" i="47"/>
  <c r="D38" i="47" s="1"/>
  <c r="C40" i="47"/>
  <c r="D40" i="47" s="1"/>
  <c r="C41" i="47"/>
  <c r="D41" i="47" s="1"/>
  <c r="C19" i="47"/>
  <c r="C27" i="47"/>
  <c r="D27" i="47" s="1"/>
  <c r="C43" i="47"/>
  <c r="D43" i="47" s="1"/>
  <c r="C45" i="47"/>
  <c r="D45" i="47" s="1"/>
  <c r="C46" i="47"/>
  <c r="D46" i="47" s="1"/>
  <c r="D72" i="47"/>
  <c r="D74" i="47"/>
  <c r="D76" i="47"/>
  <c r="D78" i="47"/>
  <c r="D80" i="47"/>
  <c r="D82" i="47"/>
  <c r="D84" i="47"/>
  <c r="D86" i="47"/>
  <c r="D88" i="47"/>
  <c r="D90" i="47"/>
  <c r="D92" i="47"/>
  <c r="D94" i="47"/>
  <c r="D96" i="47"/>
  <c r="D69" i="47"/>
  <c r="D71" i="47"/>
  <c r="D73" i="47"/>
  <c r="D75" i="47"/>
  <c r="D77" i="47"/>
  <c r="D79" i="47"/>
  <c r="D81" i="47"/>
  <c r="D83" i="47"/>
  <c r="D85" i="47"/>
  <c r="D87" i="47"/>
  <c r="D89" i="47"/>
  <c r="D91" i="47"/>
  <c r="D93" i="47"/>
  <c r="D17" i="45"/>
  <c r="H47" i="47" l="1"/>
  <c r="C97" i="47"/>
  <c r="D55" i="47"/>
  <c r="D97" i="47"/>
  <c r="E83" i="47" s="1"/>
  <c r="E33" i="47" s="1"/>
  <c r="E86" i="47"/>
  <c r="E36" i="47" s="1"/>
  <c r="C47" i="47"/>
  <c r="D19" i="47"/>
  <c r="D54" i="47"/>
  <c r="D53" i="47"/>
  <c r="B97" i="45"/>
  <c r="C96" i="45" s="1"/>
  <c r="H46" i="45" s="1"/>
  <c r="C83" i="45"/>
  <c r="H33" i="45" s="1"/>
  <c r="C79" i="45"/>
  <c r="H29" i="45" s="1"/>
  <c r="C71" i="45"/>
  <c r="H21" i="45" s="1"/>
  <c r="D68" i="45"/>
  <c r="D95" i="45" s="1"/>
  <c r="E67" i="45"/>
  <c r="C67" i="45"/>
  <c r="D66" i="45"/>
  <c r="E66" i="45" s="1"/>
  <c r="C66" i="45"/>
  <c r="D65" i="45"/>
  <c r="E65" i="45" s="1"/>
  <c r="C65" i="45"/>
  <c r="D64" i="45"/>
  <c r="E64" i="45" s="1"/>
  <c r="C64" i="45"/>
  <c r="D63" i="45"/>
  <c r="E63" i="45" s="1"/>
  <c r="C63" i="45"/>
  <c r="F17" i="45"/>
  <c r="C75" i="45" l="1"/>
  <c r="H25" i="45" s="1"/>
  <c r="C88" i="45"/>
  <c r="H38" i="45" s="1"/>
  <c r="C69" i="45"/>
  <c r="H19" i="45" s="1"/>
  <c r="C73" i="45"/>
  <c r="H23" i="45" s="1"/>
  <c r="C77" i="45"/>
  <c r="H27" i="45" s="1"/>
  <c r="C81" i="45"/>
  <c r="H31" i="45" s="1"/>
  <c r="C85" i="45"/>
  <c r="H35" i="45" s="1"/>
  <c r="C92" i="45"/>
  <c r="H42" i="45" s="1"/>
  <c r="E78" i="47"/>
  <c r="E28" i="47" s="1"/>
  <c r="E94" i="47"/>
  <c r="E44" i="47" s="1"/>
  <c r="C70" i="45"/>
  <c r="H20" i="45" s="1"/>
  <c r="C72" i="45"/>
  <c r="H22" i="45" s="1"/>
  <c r="C74" i="45"/>
  <c r="H24" i="45" s="1"/>
  <c r="C76" i="45"/>
  <c r="H26" i="45" s="1"/>
  <c r="C78" i="45"/>
  <c r="H28" i="45" s="1"/>
  <c r="C80" i="45"/>
  <c r="H30" i="45" s="1"/>
  <c r="C82" i="45"/>
  <c r="H32" i="45" s="1"/>
  <c r="C84" i="45"/>
  <c r="H34" i="45" s="1"/>
  <c r="C86" i="45"/>
  <c r="H36" i="45" s="1"/>
  <c r="C90" i="45"/>
  <c r="H40" i="45" s="1"/>
  <c r="C94" i="45"/>
  <c r="H44" i="45" s="1"/>
  <c r="C87" i="45"/>
  <c r="H37" i="45" s="1"/>
  <c r="C89" i="45"/>
  <c r="H39" i="45" s="1"/>
  <c r="C91" i="45"/>
  <c r="H41" i="45" s="1"/>
  <c r="C93" i="45"/>
  <c r="H43" i="45" s="1"/>
  <c r="C95" i="45"/>
  <c r="H45" i="45" s="1"/>
  <c r="F33" i="47"/>
  <c r="D47" i="47"/>
  <c r="D52" i="47"/>
  <c r="E74" i="47"/>
  <c r="E24" i="47" s="1"/>
  <c r="E82" i="47"/>
  <c r="E32" i="47" s="1"/>
  <c r="E90" i="47"/>
  <c r="E40" i="47" s="1"/>
  <c r="E69" i="47"/>
  <c r="E19" i="47" s="1"/>
  <c r="E73" i="47"/>
  <c r="E23" i="47" s="1"/>
  <c r="E81" i="47"/>
  <c r="E31" i="47" s="1"/>
  <c r="E89" i="47"/>
  <c r="E39" i="47" s="1"/>
  <c r="E87" i="47"/>
  <c r="E37" i="47" s="1"/>
  <c r="E72" i="47"/>
  <c r="E22" i="47" s="1"/>
  <c r="E80" i="47"/>
  <c r="E30" i="47" s="1"/>
  <c r="E88" i="47"/>
  <c r="E38" i="47" s="1"/>
  <c r="E96" i="47"/>
  <c r="E46" i="47" s="1"/>
  <c r="E75" i="47"/>
  <c r="E25" i="47" s="1"/>
  <c r="F28" i="47"/>
  <c r="F36" i="47"/>
  <c r="E70" i="47"/>
  <c r="E20" i="47" s="1"/>
  <c r="E95" i="47"/>
  <c r="E45" i="47" s="1"/>
  <c r="E77" i="47"/>
  <c r="E27" i="47" s="1"/>
  <c r="E85" i="47"/>
  <c r="E35" i="47" s="1"/>
  <c r="E93" i="47"/>
  <c r="E43" i="47" s="1"/>
  <c r="E76" i="47"/>
  <c r="E26" i="47" s="1"/>
  <c r="E84" i="47"/>
  <c r="E34" i="47" s="1"/>
  <c r="E92" i="47"/>
  <c r="E42" i="47" s="1"/>
  <c r="E71" i="47"/>
  <c r="E21" i="47" s="1"/>
  <c r="E79" i="47"/>
  <c r="E29" i="47" s="1"/>
  <c r="E91" i="47"/>
  <c r="E41" i="47" s="1"/>
  <c r="D70" i="45"/>
  <c r="B47" i="45"/>
  <c r="C19" i="45" s="1"/>
  <c r="D19" i="45" s="1"/>
  <c r="C20" i="45"/>
  <c r="D20" i="45" s="1"/>
  <c r="D72" i="45"/>
  <c r="D74" i="45"/>
  <c r="D76" i="45"/>
  <c r="D78" i="45"/>
  <c r="D80" i="45"/>
  <c r="D82" i="45"/>
  <c r="D84" i="45"/>
  <c r="D86" i="45"/>
  <c r="D88" i="45"/>
  <c r="D90" i="45"/>
  <c r="D92" i="45"/>
  <c r="D94" i="45"/>
  <c r="D96" i="45"/>
  <c r="D69" i="45"/>
  <c r="D71" i="45"/>
  <c r="D73" i="45"/>
  <c r="D75" i="45"/>
  <c r="D77" i="45"/>
  <c r="D79" i="45"/>
  <c r="D81" i="45"/>
  <c r="D83" i="45"/>
  <c r="D85" i="45"/>
  <c r="D87" i="45"/>
  <c r="D89" i="45"/>
  <c r="D91" i="45"/>
  <c r="D93" i="45"/>
  <c r="F44" i="47" l="1"/>
  <c r="D56" i="47"/>
  <c r="H47" i="45"/>
  <c r="C97" i="45"/>
  <c r="C34" i="45"/>
  <c r="D34" i="45" s="1"/>
  <c r="F29" i="47"/>
  <c r="F42" i="47"/>
  <c r="F26" i="47"/>
  <c r="F35" i="47"/>
  <c r="F45" i="47"/>
  <c r="G44" i="47"/>
  <c r="G36" i="47"/>
  <c r="G28" i="47"/>
  <c r="F25" i="47"/>
  <c r="F38" i="47"/>
  <c r="F22" i="47"/>
  <c r="F39" i="47"/>
  <c r="F23" i="47"/>
  <c r="F40" i="47"/>
  <c r="F24" i="47"/>
  <c r="G33" i="47"/>
  <c r="F41" i="47"/>
  <c r="F21" i="47"/>
  <c r="F34" i="47"/>
  <c r="F43" i="47"/>
  <c r="F27" i="47"/>
  <c r="F20" i="47"/>
  <c r="F46" i="47"/>
  <c r="F30" i="47"/>
  <c r="F37" i="47"/>
  <c r="F31" i="47"/>
  <c r="E97" i="47"/>
  <c r="F32" i="47"/>
  <c r="C42" i="45"/>
  <c r="D42" i="45" s="1"/>
  <c r="C30" i="45"/>
  <c r="D30" i="45" s="1"/>
  <c r="C38" i="45"/>
  <c r="D38" i="45" s="1"/>
  <c r="C46" i="45"/>
  <c r="D46" i="45" s="1"/>
  <c r="C29" i="45"/>
  <c r="D29" i="45" s="1"/>
  <c r="K29" i="45" s="1"/>
  <c r="C32" i="45"/>
  <c r="D32" i="45" s="1"/>
  <c r="C36" i="45"/>
  <c r="D36" i="45" s="1"/>
  <c r="C40" i="45"/>
  <c r="D40" i="45" s="1"/>
  <c r="C44" i="45"/>
  <c r="D44" i="45" s="1"/>
  <c r="C24" i="45"/>
  <c r="D24" i="45" s="1"/>
  <c r="C23" i="45"/>
  <c r="D23" i="45" s="1"/>
  <c r="C28" i="45"/>
  <c r="D28" i="45" s="1"/>
  <c r="C31" i="45"/>
  <c r="D31" i="45" s="1"/>
  <c r="C33" i="45"/>
  <c r="D33" i="45" s="1"/>
  <c r="C35" i="45"/>
  <c r="D35" i="45" s="1"/>
  <c r="C37" i="45"/>
  <c r="D37" i="45" s="1"/>
  <c r="C39" i="45"/>
  <c r="D39" i="45" s="1"/>
  <c r="C41" i="45"/>
  <c r="D41" i="45" s="1"/>
  <c r="C43" i="45"/>
  <c r="D43" i="45" s="1"/>
  <c r="C45" i="45"/>
  <c r="D45" i="45" s="1"/>
  <c r="C26" i="45"/>
  <c r="D26" i="45" s="1"/>
  <c r="C22" i="45"/>
  <c r="D22" i="45" s="1"/>
  <c r="C27" i="45"/>
  <c r="D27" i="45" s="1"/>
  <c r="C25" i="45"/>
  <c r="D25" i="45" s="1"/>
  <c r="C21" i="45"/>
  <c r="D21" i="45" s="1"/>
  <c r="D97" i="45"/>
  <c r="E79" i="45" s="1"/>
  <c r="E29" i="45" s="1"/>
  <c r="E86" i="45"/>
  <c r="E36" i="45" s="1"/>
  <c r="E78" i="45" l="1"/>
  <c r="E28" i="45" s="1"/>
  <c r="E74" i="45"/>
  <c r="E24" i="45" s="1"/>
  <c r="F24" i="45" s="1"/>
  <c r="E82" i="45"/>
  <c r="E32" i="45" s="1"/>
  <c r="E94" i="45"/>
  <c r="E44" i="45" s="1"/>
  <c r="F44" i="45" s="1"/>
  <c r="E90" i="45"/>
  <c r="E40" i="45" s="1"/>
  <c r="F40" i="45" s="1"/>
  <c r="E69" i="45"/>
  <c r="E19" i="45" s="1"/>
  <c r="E73" i="45"/>
  <c r="E23" i="45" s="1"/>
  <c r="G32" i="47"/>
  <c r="E47" i="47"/>
  <c r="F19" i="47"/>
  <c r="F54" i="47"/>
  <c r="G31" i="47"/>
  <c r="G37" i="47"/>
  <c r="G30" i="47"/>
  <c r="G46" i="47"/>
  <c r="F53" i="47"/>
  <c r="G20" i="47"/>
  <c r="G43" i="47"/>
  <c r="G34" i="47"/>
  <c r="G21" i="47"/>
  <c r="G41" i="47"/>
  <c r="G24" i="47"/>
  <c r="G45" i="47"/>
  <c r="G42" i="47"/>
  <c r="G29" i="47"/>
  <c r="G27" i="47"/>
  <c r="G40" i="47"/>
  <c r="G23" i="47"/>
  <c r="G39" i="47"/>
  <c r="F55" i="47"/>
  <c r="G22" i="47"/>
  <c r="G38" i="47"/>
  <c r="G25" i="47"/>
  <c r="G35" i="47"/>
  <c r="G26" i="47"/>
  <c r="D54" i="45"/>
  <c r="D55" i="45"/>
  <c r="D52" i="45"/>
  <c r="D53" i="45"/>
  <c r="E89" i="45"/>
  <c r="E39" i="45" s="1"/>
  <c r="F39" i="45" s="1"/>
  <c r="C47" i="45"/>
  <c r="E81" i="45"/>
  <c r="E31" i="45" s="1"/>
  <c r="E83" i="45"/>
  <c r="E33" i="45" s="1"/>
  <c r="F33" i="45" s="1"/>
  <c r="D47" i="45"/>
  <c r="F29" i="45"/>
  <c r="F32" i="45"/>
  <c r="F23" i="45"/>
  <c r="E76" i="45"/>
  <c r="E26" i="45" s="1"/>
  <c r="E84" i="45"/>
  <c r="E34" i="45" s="1"/>
  <c r="E92" i="45"/>
  <c r="E42" i="45" s="1"/>
  <c r="E71" i="45"/>
  <c r="E21" i="45" s="1"/>
  <c r="F28" i="45"/>
  <c r="F36" i="45"/>
  <c r="E95" i="45"/>
  <c r="E45" i="45" s="1"/>
  <c r="E70" i="45"/>
  <c r="E20" i="45" s="1"/>
  <c r="E77" i="45"/>
  <c r="E27" i="45" s="1"/>
  <c r="E85" i="45"/>
  <c r="E35" i="45" s="1"/>
  <c r="E93" i="45"/>
  <c r="E43" i="45" s="1"/>
  <c r="E91" i="45"/>
  <c r="E41" i="45" s="1"/>
  <c r="E72" i="45"/>
  <c r="E22" i="45" s="1"/>
  <c r="E80" i="45"/>
  <c r="E30" i="45" s="1"/>
  <c r="E88" i="45"/>
  <c r="E38" i="45" s="1"/>
  <c r="E96" i="45"/>
  <c r="E46" i="45" s="1"/>
  <c r="E75" i="45"/>
  <c r="E25" i="45" s="1"/>
  <c r="E87" i="45"/>
  <c r="E37" i="45" s="1"/>
  <c r="F31" i="45" l="1"/>
  <c r="D56" i="45"/>
  <c r="G54" i="47"/>
  <c r="G55" i="47"/>
  <c r="G53" i="47"/>
  <c r="F52" i="47"/>
  <c r="F47" i="47"/>
  <c r="G19" i="47"/>
  <c r="F37" i="45"/>
  <c r="F46" i="45"/>
  <c r="F30" i="45"/>
  <c r="F41" i="45"/>
  <c r="F35" i="45"/>
  <c r="F20" i="45"/>
  <c r="G36" i="45"/>
  <c r="F21" i="45"/>
  <c r="F34" i="45"/>
  <c r="G33" i="45"/>
  <c r="G39" i="45"/>
  <c r="G23" i="45"/>
  <c r="E47" i="45"/>
  <c r="F19" i="45"/>
  <c r="G32" i="45"/>
  <c r="G24" i="45"/>
  <c r="F25" i="45"/>
  <c r="F38" i="45"/>
  <c r="F22" i="45"/>
  <c r="F43" i="45"/>
  <c r="F27" i="45"/>
  <c r="F45" i="45"/>
  <c r="G44" i="45"/>
  <c r="G28" i="45"/>
  <c r="F42" i="45"/>
  <c r="F26" i="45"/>
  <c r="E97" i="45"/>
  <c r="G40" i="45"/>
  <c r="G29" i="45"/>
  <c r="G31" i="45" l="1"/>
  <c r="F56" i="47"/>
  <c r="F53" i="45"/>
  <c r="F55" i="45"/>
  <c r="F52" i="45"/>
  <c r="G19" i="45"/>
  <c r="F54" i="45"/>
  <c r="G52" i="47"/>
  <c r="G47" i="47"/>
  <c r="G42" i="45"/>
  <c r="G45" i="45"/>
  <c r="G43" i="45"/>
  <c r="G20" i="45"/>
  <c r="G35" i="45"/>
  <c r="G30" i="45"/>
  <c r="G37" i="45"/>
  <c r="G26" i="45"/>
  <c r="G27" i="45"/>
  <c r="G22" i="45"/>
  <c r="G38" i="45"/>
  <c r="G25" i="45"/>
  <c r="F47" i="45"/>
  <c r="G34" i="45"/>
  <c r="G21" i="45"/>
  <c r="G41" i="45"/>
  <c r="G46" i="45"/>
  <c r="G54" i="45" l="1"/>
  <c r="G55" i="45"/>
  <c r="G56" i="47"/>
  <c r="F56" i="45"/>
  <c r="G52" i="45"/>
  <c r="G47" i="45"/>
  <c r="G53" i="45"/>
  <c r="G56" i="45" l="1"/>
  <c r="I38" i="37" l="1"/>
  <c r="H38" i="37"/>
  <c r="G38" i="37"/>
  <c r="E38" i="37"/>
  <c r="D38" i="37"/>
  <c r="C38" i="37"/>
  <c r="I37" i="37"/>
  <c r="H37" i="37"/>
  <c r="G37" i="37"/>
  <c r="E37" i="37"/>
  <c r="D37" i="37"/>
  <c r="C37" i="37"/>
  <c r="I36" i="37"/>
  <c r="H36" i="37"/>
  <c r="G36" i="37"/>
  <c r="E36" i="37"/>
  <c r="D36" i="37"/>
  <c r="C36" i="37"/>
  <c r="I35" i="37"/>
  <c r="H35" i="37"/>
  <c r="G35" i="37"/>
  <c r="E35" i="37"/>
  <c r="D35" i="37"/>
  <c r="C35" i="37"/>
  <c r="I34" i="37"/>
  <c r="H34" i="37"/>
  <c r="G34" i="37"/>
  <c r="E34" i="37"/>
  <c r="D34" i="37"/>
  <c r="C34" i="37"/>
  <c r="I33" i="37"/>
  <c r="H33" i="37"/>
  <c r="G33" i="37"/>
  <c r="E33" i="37"/>
  <c r="D33" i="37"/>
  <c r="C33" i="37"/>
  <c r="I32" i="37"/>
  <c r="H32" i="37"/>
  <c r="G32" i="37"/>
  <c r="E32" i="37"/>
  <c r="D32" i="37"/>
  <c r="C32" i="37"/>
  <c r="I31" i="37"/>
  <c r="H31" i="37"/>
  <c r="G31" i="37"/>
  <c r="E31" i="37"/>
  <c r="D31" i="37"/>
  <c r="C31" i="37"/>
  <c r="I30" i="37"/>
  <c r="H30" i="37"/>
  <c r="G30" i="37"/>
  <c r="E30" i="37"/>
  <c r="D30" i="37"/>
  <c r="C30" i="37"/>
  <c r="I29" i="37"/>
  <c r="H29" i="37"/>
  <c r="G29" i="37"/>
  <c r="E29" i="37"/>
  <c r="D29" i="37"/>
  <c r="C29" i="37"/>
  <c r="I28" i="37"/>
  <c r="H28" i="37"/>
  <c r="G28" i="37"/>
  <c r="E28" i="37"/>
  <c r="D28" i="37"/>
  <c r="C28" i="37"/>
  <c r="I27" i="37"/>
  <c r="H27" i="37"/>
  <c r="G27" i="37"/>
  <c r="E27" i="37"/>
  <c r="D27" i="37"/>
  <c r="C27" i="37"/>
  <c r="I26" i="37"/>
  <c r="H26" i="37"/>
  <c r="G26" i="37"/>
  <c r="E26" i="37"/>
  <c r="D26" i="37"/>
  <c r="C26" i="37"/>
  <c r="I25" i="37"/>
  <c r="H25" i="37"/>
  <c r="G25" i="37"/>
  <c r="E25" i="37"/>
  <c r="D25" i="37"/>
  <c r="C25" i="37"/>
  <c r="I24" i="37"/>
  <c r="H24" i="37"/>
  <c r="G24" i="37"/>
  <c r="E24" i="37"/>
  <c r="D24" i="37"/>
  <c r="C24" i="37"/>
  <c r="I23" i="37"/>
  <c r="H23" i="37"/>
  <c r="G23" i="37"/>
  <c r="E23" i="37"/>
  <c r="D23" i="37"/>
  <c r="C23" i="37"/>
  <c r="I22" i="37"/>
  <c r="H22" i="37"/>
  <c r="G22" i="37"/>
  <c r="E22" i="37"/>
  <c r="D22" i="37"/>
  <c r="C22" i="37"/>
  <c r="I21" i="37"/>
  <c r="H21" i="37"/>
  <c r="G21" i="37"/>
  <c r="E21" i="37"/>
  <c r="D21" i="37"/>
  <c r="C21" i="37"/>
  <c r="I20" i="37"/>
  <c r="H20" i="37"/>
  <c r="G20" i="37"/>
  <c r="E20" i="37"/>
  <c r="D20" i="37"/>
  <c r="C20" i="37"/>
  <c r="I19" i="37"/>
  <c r="H19" i="37"/>
  <c r="G19" i="37"/>
  <c r="E19" i="37"/>
  <c r="D19" i="37"/>
  <c r="C19" i="37"/>
  <c r="I18" i="37"/>
  <c r="H18" i="37"/>
  <c r="G18" i="37"/>
  <c r="E18" i="37"/>
  <c r="D18" i="37"/>
  <c r="C18" i="37"/>
  <c r="I17" i="37"/>
  <c r="H17" i="37"/>
  <c r="G17" i="37"/>
  <c r="E17" i="37"/>
  <c r="D17" i="37"/>
  <c r="C17" i="37"/>
  <c r="I16" i="37"/>
  <c r="H16" i="37"/>
  <c r="G16" i="37"/>
  <c r="E16" i="37"/>
  <c r="D16" i="37"/>
  <c r="C16" i="37"/>
  <c r="I15" i="37"/>
  <c r="H15" i="37"/>
  <c r="G15" i="37"/>
  <c r="E15" i="37"/>
  <c r="D15" i="37"/>
  <c r="C15" i="37"/>
  <c r="I14" i="37"/>
  <c r="H14" i="37"/>
  <c r="G14" i="37"/>
  <c r="E14" i="37"/>
  <c r="D14" i="37"/>
  <c r="C14" i="37"/>
  <c r="I13" i="37"/>
  <c r="H13" i="37"/>
  <c r="G13" i="37"/>
  <c r="E13" i="37"/>
  <c r="D13" i="37"/>
  <c r="C13" i="37"/>
  <c r="I11" i="37"/>
  <c r="H11" i="37"/>
  <c r="G11" i="37"/>
  <c r="E11" i="37"/>
  <c r="D11" i="37"/>
  <c r="C11" i="37"/>
  <c r="I10" i="37"/>
  <c r="H10" i="37"/>
  <c r="G10" i="37"/>
  <c r="E10" i="37"/>
  <c r="D10" i="37"/>
  <c r="C10" i="37"/>
  <c r="I9" i="37"/>
  <c r="H9" i="37"/>
  <c r="G9" i="37"/>
  <c r="E9" i="37"/>
  <c r="D9" i="37"/>
  <c r="C9" i="37"/>
  <c r="D8" i="37" l="1"/>
  <c r="E8" i="37" s="1"/>
  <c r="G8" i="37" s="1"/>
  <c r="H8" i="37" s="1"/>
  <c r="I8" i="37" s="1"/>
  <c r="F38" i="37" l="1"/>
  <c r="F37" i="37"/>
  <c r="J36" i="37"/>
  <c r="F36" i="37"/>
  <c r="F35" i="37"/>
  <c r="J34" i="37"/>
  <c r="F33" i="37"/>
  <c r="F32" i="37"/>
  <c r="J31" i="37"/>
  <c r="F31" i="37"/>
  <c r="F29" i="37"/>
  <c r="J28" i="37"/>
  <c r="J27" i="37"/>
  <c r="F26" i="37"/>
  <c r="J25" i="37"/>
  <c r="J24" i="37"/>
  <c r="F24" i="37"/>
  <c r="F23" i="37"/>
  <c r="J22" i="37"/>
  <c r="J20" i="37"/>
  <c r="J19" i="37"/>
  <c r="F18" i="37"/>
  <c r="J16" i="37"/>
  <c r="J15" i="37"/>
  <c r="J14" i="37"/>
  <c r="J13" i="37"/>
  <c r="F11" i="37"/>
  <c r="J10" i="37"/>
  <c r="F10" i="37"/>
  <c r="K39" i="37"/>
  <c r="B39" i="37"/>
  <c r="R38" i="37"/>
  <c r="R37" i="37"/>
  <c r="R36" i="37"/>
  <c r="R35" i="37"/>
  <c r="R34" i="37"/>
  <c r="R33" i="37"/>
  <c r="R32" i="37"/>
  <c r="R31" i="37"/>
  <c r="R30" i="37"/>
  <c r="R29" i="37"/>
  <c r="R28" i="37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J12" i="37"/>
  <c r="R11" i="37"/>
  <c r="R10" i="37"/>
  <c r="R9" i="37"/>
  <c r="L8" i="37"/>
  <c r="M8" i="37" s="1"/>
  <c r="D4" i="37"/>
  <c r="E4" i="37" s="1"/>
  <c r="F4" i="37" s="1"/>
  <c r="G4" i="37" s="1"/>
  <c r="H4" i="37" s="1"/>
  <c r="I4" i="37" s="1"/>
  <c r="J37" i="37"/>
  <c r="F9" i="37"/>
  <c r="R39" i="37" l="1"/>
  <c r="I39" i="37"/>
  <c r="E39" i="37"/>
  <c r="F13" i="37"/>
  <c r="F16" i="37"/>
  <c r="J17" i="37"/>
  <c r="F19" i="37"/>
  <c r="F21" i="37"/>
  <c r="F22" i="37"/>
  <c r="J23" i="37"/>
  <c r="F25" i="37"/>
  <c r="F28" i="37"/>
  <c r="J30" i="37"/>
  <c r="J32" i="37"/>
  <c r="F34" i="37"/>
  <c r="J35" i="37"/>
  <c r="J38" i="37"/>
  <c r="J11" i="37"/>
  <c r="G39" i="37"/>
  <c r="F14" i="37"/>
  <c r="C39" i="37"/>
  <c r="J18" i="37"/>
  <c r="J21" i="37"/>
  <c r="J33" i="37"/>
  <c r="D39" i="37"/>
  <c r="J9" i="37"/>
  <c r="H39" i="37"/>
  <c r="F15" i="37"/>
  <c r="F17" i="37"/>
  <c r="F20" i="37"/>
  <c r="J26" i="37"/>
  <c r="F27" i="37"/>
  <c r="J29" i="37"/>
  <c r="F30" i="37"/>
  <c r="F39" i="37" l="1"/>
  <c r="F40" i="37"/>
  <c r="J39" i="37"/>
  <c r="N6" i="37"/>
  <c r="J40" i="37"/>
  <c r="M21" i="37" s="1"/>
  <c r="L9" i="37" l="1"/>
  <c r="L10" i="37" s="1"/>
  <c r="L11" i="37" s="1"/>
  <c r="N38" i="37"/>
  <c r="N18" i="37"/>
  <c r="N29" i="37"/>
  <c r="N13" i="37"/>
  <c r="N24" i="37"/>
  <c r="N35" i="37"/>
  <c r="N19" i="37"/>
  <c r="N34" i="37"/>
  <c r="N33" i="37"/>
  <c r="N28" i="37"/>
  <c r="N23" i="37"/>
  <c r="N36" i="37"/>
  <c r="N14" i="37"/>
  <c r="N11" i="37"/>
  <c r="N31" i="37"/>
  <c r="N37" i="37"/>
  <c r="N32" i="37"/>
  <c r="N27" i="37"/>
  <c r="N22" i="37"/>
  <c r="N10" i="37"/>
  <c r="N30" i="37"/>
  <c r="N20" i="37"/>
  <c r="N21" i="37"/>
  <c r="N12" i="37"/>
  <c r="N9" i="37"/>
  <c r="N15" i="37"/>
  <c r="N26" i="37"/>
  <c r="N16" i="37"/>
  <c r="N17" i="37"/>
  <c r="N25" i="37"/>
  <c r="M29" i="37"/>
  <c r="M11" i="37"/>
  <c r="M33" i="37"/>
  <c r="M9" i="37"/>
  <c r="M18" i="37"/>
  <c r="M26" i="37"/>
  <c r="M34" i="37"/>
  <c r="M16" i="37"/>
  <c r="M14" i="37"/>
  <c r="M28" i="37"/>
  <c r="M12" i="37"/>
  <c r="M19" i="37"/>
  <c r="M25" i="37"/>
  <c r="M22" i="37"/>
  <c r="M37" i="37"/>
  <c r="M36" i="37"/>
  <c r="M10" i="37"/>
  <c r="O10" i="37" s="1"/>
  <c r="P10" i="37" s="1"/>
  <c r="M20" i="37"/>
  <c r="M31" i="37"/>
  <c r="M15" i="37"/>
  <c r="M23" i="37"/>
  <c r="M17" i="37"/>
  <c r="M27" i="37"/>
  <c r="M32" i="37"/>
  <c r="M38" i="37"/>
  <c r="M13" i="37"/>
  <c r="M24" i="37"/>
  <c r="M30" i="37"/>
  <c r="M35" i="37"/>
  <c r="Q10" i="37" l="1"/>
  <c r="S10" i="37" s="1"/>
  <c r="M39" i="37"/>
  <c r="O9" i="37"/>
  <c r="L12" i="37"/>
  <c r="O11" i="37"/>
  <c r="P11" i="37" s="1"/>
  <c r="N39" i="37"/>
  <c r="I20" i="47" l="1"/>
  <c r="I20" i="45"/>
  <c r="Q11" i="37"/>
  <c r="O12" i="37"/>
  <c r="P12" i="37" s="1"/>
  <c r="L13" i="37"/>
  <c r="P9" i="37"/>
  <c r="S11" i="37"/>
  <c r="K20" i="47" l="1"/>
  <c r="L20" i="47"/>
  <c r="K20" i="45"/>
  <c r="L20" i="45"/>
  <c r="I21" i="47"/>
  <c r="I21" i="45"/>
  <c r="Q9" i="37"/>
  <c r="Q12" i="37"/>
  <c r="S12" i="37" s="1"/>
  <c r="S9" i="37"/>
  <c r="O13" i="37"/>
  <c r="P13" i="37" s="1"/>
  <c r="L14" i="37"/>
  <c r="M21" i="47" l="1"/>
  <c r="K21" i="47"/>
  <c r="L21" i="47"/>
  <c r="M21" i="45"/>
  <c r="K21" i="45"/>
  <c r="L21" i="45"/>
  <c r="I19" i="47"/>
  <c r="I19" i="45"/>
  <c r="Q13" i="37"/>
  <c r="S13" i="37" s="1"/>
  <c r="L15" i="37"/>
  <c r="O14" i="37"/>
  <c r="P14" i="37" s="1"/>
  <c r="K19" i="47" l="1"/>
  <c r="L19" i="47"/>
  <c r="K19" i="45"/>
  <c r="L19" i="45"/>
  <c r="I22" i="47"/>
  <c r="I22" i="45"/>
  <c r="Q14" i="37"/>
  <c r="S14" i="37" s="1"/>
  <c r="O15" i="37"/>
  <c r="P15" i="37" s="1"/>
  <c r="L16" i="37"/>
  <c r="K22" i="47" l="1"/>
  <c r="L22" i="47"/>
  <c r="K22" i="45"/>
  <c r="L22" i="45"/>
  <c r="I23" i="47"/>
  <c r="I23" i="45"/>
  <c r="Q15" i="37"/>
  <c r="S15" i="37" s="1"/>
  <c r="O16" i="37"/>
  <c r="L17" i="37"/>
  <c r="K23" i="47" l="1"/>
  <c r="L23" i="47"/>
  <c r="M23" i="45"/>
  <c r="K23" i="45"/>
  <c r="L23" i="45"/>
  <c r="P16" i="37"/>
  <c r="L18" i="37"/>
  <c r="O17" i="37"/>
  <c r="P17" i="37" s="1"/>
  <c r="Q17" i="37" l="1"/>
  <c r="Q16" i="37"/>
  <c r="L19" i="37"/>
  <c r="O18" i="37"/>
  <c r="P18" i="37" s="1"/>
  <c r="S17" i="37"/>
  <c r="S16" i="37" l="1"/>
  <c r="I24" i="47"/>
  <c r="I24" i="45"/>
  <c r="I25" i="47"/>
  <c r="I25" i="45"/>
  <c r="Q18" i="37"/>
  <c r="L20" i="37"/>
  <c r="O19" i="37"/>
  <c r="P19" i="37" s="1"/>
  <c r="S18" i="37"/>
  <c r="M25" i="47" l="1"/>
  <c r="K25" i="47"/>
  <c r="L25" i="47"/>
  <c r="K24" i="47"/>
  <c r="L24" i="47"/>
  <c r="K24" i="45"/>
  <c r="L24" i="45"/>
  <c r="M25" i="45"/>
  <c r="K25" i="45"/>
  <c r="L25" i="45"/>
  <c r="I26" i="47"/>
  <c r="I26" i="45"/>
  <c r="Q19" i="37"/>
  <c r="O20" i="37"/>
  <c r="P20" i="37" s="1"/>
  <c r="L21" i="37"/>
  <c r="K26" i="47" l="1"/>
  <c r="L26" i="47"/>
  <c r="K26" i="45"/>
  <c r="L26" i="45"/>
  <c r="S19" i="37"/>
  <c r="I27" i="47"/>
  <c r="I27" i="45"/>
  <c r="Q20" i="37"/>
  <c r="O21" i="37"/>
  <c r="P21" i="37" s="1"/>
  <c r="L22" i="37"/>
  <c r="S20" i="37"/>
  <c r="K27" i="47" l="1"/>
  <c r="L27" i="47"/>
  <c r="K27" i="45"/>
  <c r="L27" i="45"/>
  <c r="I28" i="47"/>
  <c r="I28" i="45"/>
  <c r="Q21" i="37"/>
  <c r="S21" i="37" s="1"/>
  <c r="L23" i="37"/>
  <c r="O22" i="37"/>
  <c r="P22" i="37" s="1"/>
  <c r="M28" i="47" l="1"/>
  <c r="K28" i="47"/>
  <c r="L28" i="47"/>
  <c r="M28" i="45"/>
  <c r="K28" i="45"/>
  <c r="L28" i="45"/>
  <c r="I29" i="47"/>
  <c r="I29" i="45"/>
  <c r="Q22" i="37"/>
  <c r="O23" i="37"/>
  <c r="P23" i="37" s="1"/>
  <c r="L24" i="37"/>
  <c r="M29" i="47" l="1"/>
  <c r="L29" i="47"/>
  <c r="M29" i="45"/>
  <c r="L29" i="45"/>
  <c r="S22" i="37"/>
  <c r="I30" i="47"/>
  <c r="I30" i="45"/>
  <c r="Q23" i="37"/>
  <c r="S23" i="37"/>
  <c r="L25" i="37"/>
  <c r="O24" i="37"/>
  <c r="P24" i="37" s="1"/>
  <c r="M30" i="47" l="1"/>
  <c r="K30" i="47"/>
  <c r="L30" i="47"/>
  <c r="M30" i="45"/>
  <c r="K30" i="45"/>
  <c r="L30" i="45"/>
  <c r="I31" i="47"/>
  <c r="I31" i="45"/>
  <c r="Q24" i="37"/>
  <c r="S24" i="37" s="1"/>
  <c r="L26" i="37"/>
  <c r="O25" i="37"/>
  <c r="P25" i="37" s="1"/>
  <c r="K31" i="47" l="1"/>
  <c r="L31" i="47"/>
  <c r="K31" i="45"/>
  <c r="L31" i="45"/>
  <c r="I33" i="47"/>
  <c r="I33" i="45"/>
  <c r="Q25" i="37"/>
  <c r="S25" i="37" s="1"/>
  <c r="O26" i="37"/>
  <c r="P26" i="37" s="1"/>
  <c r="L27" i="37"/>
  <c r="M33" i="47" l="1"/>
  <c r="K33" i="47"/>
  <c r="L33" i="47"/>
  <c r="M33" i="45"/>
  <c r="K33" i="45"/>
  <c r="L33" i="45"/>
  <c r="I32" i="47"/>
  <c r="I32" i="45"/>
  <c r="Q26" i="37"/>
  <c r="S26" i="37" s="1"/>
  <c r="L28" i="37"/>
  <c r="O27" i="37"/>
  <c r="P27" i="37" s="1"/>
  <c r="K32" i="47" l="1"/>
  <c r="L32" i="47"/>
  <c r="K32" i="45"/>
  <c r="L32" i="45"/>
  <c r="I34" i="47"/>
  <c r="I34" i="45"/>
  <c r="Q27" i="37"/>
  <c r="S27" i="37" s="1"/>
  <c r="L29" i="37"/>
  <c r="O28" i="37"/>
  <c r="P28" i="37" s="1"/>
  <c r="M34" i="47" l="1"/>
  <c r="K34" i="47"/>
  <c r="L34" i="47"/>
  <c r="M34" i="45"/>
  <c r="K34" i="45"/>
  <c r="L34" i="45"/>
  <c r="I35" i="47"/>
  <c r="I35" i="45"/>
  <c r="Q28" i="37"/>
  <c r="S28" i="37" s="1"/>
  <c r="L30" i="37"/>
  <c r="O29" i="37"/>
  <c r="P29" i="37" s="1"/>
  <c r="K35" i="47" l="1"/>
  <c r="L35" i="47"/>
  <c r="K35" i="45"/>
  <c r="L35" i="45"/>
  <c r="M22" i="45" s="1"/>
  <c r="I55" i="47"/>
  <c r="I36" i="47"/>
  <c r="I36" i="45"/>
  <c r="I55" i="45"/>
  <c r="Q29" i="37"/>
  <c r="S29" i="37" s="1"/>
  <c r="L31" i="37"/>
  <c r="O30" i="37"/>
  <c r="P30" i="37" s="1"/>
  <c r="M36" i="47" l="1"/>
  <c r="K36" i="47"/>
  <c r="L36" i="47"/>
  <c r="M36" i="45"/>
  <c r="K36" i="45"/>
  <c r="L36" i="45"/>
  <c r="L55" i="45"/>
  <c r="L55" i="47"/>
  <c r="I37" i="47"/>
  <c r="I37" i="45"/>
  <c r="Q30" i="37"/>
  <c r="S30" i="37" s="1"/>
  <c r="O31" i="37"/>
  <c r="P31" i="37" s="1"/>
  <c r="L32" i="37"/>
  <c r="K37" i="47" l="1"/>
  <c r="L37" i="47"/>
  <c r="K37" i="45"/>
  <c r="L37" i="45"/>
  <c r="M31" i="45" s="1"/>
  <c r="I54" i="47"/>
  <c r="I42" i="47"/>
  <c r="I42" i="45"/>
  <c r="I54" i="45"/>
  <c r="Q31" i="37"/>
  <c r="L33" i="37"/>
  <c r="O32" i="37"/>
  <c r="P32" i="37" s="1"/>
  <c r="M42" i="47" l="1"/>
  <c r="K42" i="47"/>
  <c r="L42" i="47"/>
  <c r="M42" i="45"/>
  <c r="K42" i="45"/>
  <c r="L42" i="45"/>
  <c r="S31" i="37"/>
  <c r="I38" i="47"/>
  <c r="I38" i="45"/>
  <c r="L54" i="45"/>
  <c r="L54" i="47"/>
  <c r="M31" i="47"/>
  <c r="Q32" i="37"/>
  <c r="O33" i="37"/>
  <c r="P33" i="37" s="1"/>
  <c r="L34" i="37"/>
  <c r="S32" i="37"/>
  <c r="M38" i="47" l="1"/>
  <c r="K38" i="47"/>
  <c r="L38" i="47"/>
  <c r="M38" i="45"/>
  <c r="K38" i="45"/>
  <c r="L38" i="45"/>
  <c r="I39" i="47"/>
  <c r="I39" i="45"/>
  <c r="Q33" i="37"/>
  <c r="S33" i="37" s="1"/>
  <c r="O34" i="37"/>
  <c r="P34" i="37" s="1"/>
  <c r="L35" i="37"/>
  <c r="M39" i="47" l="1"/>
  <c r="K39" i="47"/>
  <c r="L39" i="47"/>
  <c r="M39" i="45"/>
  <c r="K39" i="45"/>
  <c r="L39" i="45"/>
  <c r="I40" i="47"/>
  <c r="I40" i="45"/>
  <c r="Q34" i="37"/>
  <c r="O35" i="37"/>
  <c r="P35" i="37" s="1"/>
  <c r="L36" i="37"/>
  <c r="K40" i="47" l="1"/>
  <c r="L40" i="47"/>
  <c r="K40" i="45"/>
  <c r="L40" i="45"/>
  <c r="S34" i="37"/>
  <c r="I41" i="47"/>
  <c r="I41" i="45"/>
  <c r="Q35" i="37"/>
  <c r="S35" i="37"/>
  <c r="O36" i="37"/>
  <c r="P36" i="37" s="1"/>
  <c r="L37" i="37"/>
  <c r="M41" i="47" l="1"/>
  <c r="K41" i="47"/>
  <c r="L41" i="47"/>
  <c r="M41" i="45"/>
  <c r="K41" i="45"/>
  <c r="L41" i="45"/>
  <c r="I43" i="47"/>
  <c r="I43" i="45"/>
  <c r="Q36" i="37"/>
  <c r="S36" i="37" s="1"/>
  <c r="O37" i="37"/>
  <c r="P37" i="37" s="1"/>
  <c r="L38" i="37"/>
  <c r="M43" i="47" l="1"/>
  <c r="K43" i="47"/>
  <c r="L43" i="47"/>
  <c r="M43" i="45"/>
  <c r="K43" i="45"/>
  <c r="L43" i="45"/>
  <c r="I44" i="47"/>
  <c r="I44" i="45"/>
  <c r="Q37" i="37"/>
  <c r="S37" i="37" s="1"/>
  <c r="O38" i="37"/>
  <c r="L39" i="37"/>
  <c r="M44" i="47" l="1"/>
  <c r="K44" i="47"/>
  <c r="L44" i="47"/>
  <c r="M44" i="45"/>
  <c r="K44" i="45"/>
  <c r="L44" i="45"/>
  <c r="I45" i="47"/>
  <c r="I45" i="45"/>
  <c r="P38" i="37"/>
  <c r="O39" i="37"/>
  <c r="K45" i="47" l="1"/>
  <c r="L45" i="47"/>
  <c r="K45" i="45"/>
  <c r="L45" i="45"/>
  <c r="M26" i="45" s="1"/>
  <c r="I52" i="47"/>
  <c r="I52" i="45"/>
  <c r="Q38" i="37"/>
  <c r="S38" i="37" s="1"/>
  <c r="S39" i="37" s="1"/>
  <c r="Q39" i="37"/>
  <c r="I46" i="47" l="1"/>
  <c r="I46" i="45"/>
  <c r="L52" i="45"/>
  <c r="M26" i="47"/>
  <c r="L52" i="47"/>
  <c r="K46" i="47" l="1"/>
  <c r="L46" i="47"/>
  <c r="K46" i="45"/>
  <c r="L46" i="45"/>
  <c r="K47" i="45"/>
  <c r="I47" i="45"/>
  <c r="I53" i="45"/>
  <c r="K47" i="47"/>
  <c r="I47" i="47"/>
  <c r="I53" i="47"/>
  <c r="I56" i="45" l="1"/>
  <c r="L47" i="45"/>
  <c r="M46" i="45"/>
  <c r="M47" i="45" s="1"/>
  <c r="L53" i="45"/>
  <c r="I56" i="47"/>
  <c r="L47" i="47"/>
  <c r="M46" i="47"/>
  <c r="M47" i="47" s="1"/>
  <c r="L53" i="47"/>
  <c r="L56" i="47" l="1"/>
  <c r="L56" i="45"/>
</calcChain>
</file>

<file path=xl/sharedStrings.xml><?xml version="1.0" encoding="utf-8"?>
<sst xmlns="http://schemas.openxmlformats.org/spreadsheetml/2006/main" count="397" uniqueCount="191">
  <si>
    <t>TOTAL</t>
  </si>
  <si>
    <t>WINDHAM</t>
  </si>
  <si>
    <t xml:space="preserve">WATERBURY </t>
  </si>
  <si>
    <t xml:space="preserve">STAMFORD </t>
  </si>
  <si>
    <t xml:space="preserve">SHARON </t>
  </si>
  <si>
    <t>ST VINCENTS</t>
  </si>
  <si>
    <t>ST RAPHAEL</t>
  </si>
  <si>
    <t xml:space="preserve">ST MARYS </t>
  </si>
  <si>
    <t>ST FRANCIS</t>
  </si>
  <si>
    <t>ROCKVILLE</t>
  </si>
  <si>
    <t xml:space="preserve">NORWALK </t>
  </si>
  <si>
    <t xml:space="preserve">NEW MILFORD </t>
  </si>
  <si>
    <t xml:space="preserve">MILFORD </t>
  </si>
  <si>
    <t xml:space="preserve">MIDSTATE </t>
  </si>
  <si>
    <t xml:space="preserve">MIDDLESEX </t>
  </si>
  <si>
    <t>MANCHESTER</t>
  </si>
  <si>
    <t>JOHNSON</t>
  </si>
  <si>
    <t xml:space="preserve">HUNGERFORD </t>
  </si>
  <si>
    <t xml:space="preserve">HARTFORD </t>
  </si>
  <si>
    <t xml:space="preserve">GRIFFIN </t>
  </si>
  <si>
    <t>GREENWICH</t>
  </si>
  <si>
    <t xml:space="preserve">DAY KIMBALL </t>
  </si>
  <si>
    <t xml:space="preserve">DANBURY </t>
  </si>
  <si>
    <t>CT CHILDRENS</t>
  </si>
  <si>
    <t xml:space="preserve">BRISTOL </t>
  </si>
  <si>
    <t xml:space="preserve">BRIDGEPORT </t>
  </si>
  <si>
    <t xml:space="preserve">BACKUS </t>
  </si>
  <si>
    <t>Total</t>
  </si>
  <si>
    <t xml:space="preserve"> </t>
  </si>
  <si>
    <t>Difference</t>
  </si>
  <si>
    <t>HOSP. CEN. CT</t>
  </si>
  <si>
    <t>L &amp; M</t>
  </si>
  <si>
    <t>YALE</t>
  </si>
  <si>
    <t>DEMPSEY</t>
  </si>
  <si>
    <t>Low Cost, High Medicare &amp; Medicaid Payer %</t>
  </si>
  <si>
    <t>Medicaid Case Rate Revision</t>
  </si>
  <si>
    <t>Net  Revenue</t>
  </si>
  <si>
    <t>FFY 2011</t>
  </si>
  <si>
    <t>Under</t>
  </si>
  <si>
    <t>Medicare &amp;</t>
  </si>
  <si>
    <t>Inc. to Min.</t>
  </si>
  <si>
    <t>Operating</t>
  </si>
  <si>
    <t>Exp. Per</t>
  </si>
  <si>
    <t>Medicare</t>
  </si>
  <si>
    <t xml:space="preserve">Medicaid </t>
  </si>
  <si>
    <t>Total All</t>
  </si>
  <si>
    <t xml:space="preserve">Medicare </t>
  </si>
  <si>
    <t xml:space="preserve">Medicare &amp; </t>
  </si>
  <si>
    <t>Expense</t>
  </si>
  <si>
    <t>XIX Vol. %</t>
  </si>
  <si>
    <t>Case Rate</t>
  </si>
  <si>
    <t>Case Rate of:</t>
  </si>
  <si>
    <t>Hospital</t>
  </si>
  <si>
    <t>Expenses</t>
  </si>
  <si>
    <t>CMAD</t>
  </si>
  <si>
    <t>OPED</t>
  </si>
  <si>
    <t>CMAED</t>
  </si>
  <si>
    <t>Discharges</t>
  </si>
  <si>
    <t>&amp; XIX %</t>
  </si>
  <si>
    <t>Medicaid %</t>
  </si>
  <si>
    <t>Per CMAED</t>
  </si>
  <si>
    <t>Above Avg.</t>
  </si>
  <si>
    <t>Qualify</t>
  </si>
  <si>
    <t>DSS Proposed Allocation</t>
  </si>
  <si>
    <t>Hospitals' Proposed Allocation</t>
  </si>
  <si>
    <t>Calculation/</t>
  </si>
  <si>
    <t>(2)/(3+4)</t>
  </si>
  <si>
    <t xml:space="preserve">(5) hosp&lt; (5) </t>
  </si>
  <si>
    <t xml:space="preserve">(9) hosp&gt;(9) </t>
  </si>
  <si>
    <t>Source</t>
  </si>
  <si>
    <t>Totals/Avg.</t>
  </si>
  <si>
    <t>Weighted Avg</t>
  </si>
  <si>
    <t>%</t>
  </si>
  <si>
    <t>=[Report550_Statewide.xls]</t>
  </si>
  <si>
    <t xml:space="preserve">up to 1st </t>
  </si>
  <si>
    <t>Revenue</t>
  </si>
  <si>
    <t xml:space="preserve">Net </t>
  </si>
  <si>
    <t>Inpatient</t>
  </si>
  <si>
    <t>Medicaid</t>
  </si>
  <si>
    <t>FFY 2010</t>
  </si>
  <si>
    <t>SFY 2014 Supplemental Payment Calculation</t>
  </si>
  <si>
    <t>UPL %</t>
  </si>
  <si>
    <t>(1) Hosp/ (1) Total</t>
  </si>
  <si>
    <t>Inpatient Medicaid Net Rev. %</t>
  </si>
  <si>
    <t>OHCA filing - Report 550</t>
  </si>
  <si>
    <t>SFY 2014</t>
  </si>
  <si>
    <t>SFY 2015</t>
  </si>
  <si>
    <t>ECHN (Manch, Rkvle)</t>
  </si>
  <si>
    <t>WCHN (Danby, Nmilf)</t>
  </si>
  <si>
    <t>(3) Total * (2) Hosp. %</t>
  </si>
  <si>
    <t xml:space="preserve">Supp. Pmt. If Based on Revenue % in (4) </t>
  </si>
  <si>
    <t>(5) Total * (4) Hosp. %</t>
  </si>
  <si>
    <t>Difference in Payments</t>
  </si>
  <si>
    <t>For Comparison</t>
  </si>
  <si>
    <t>Low Cost Hospital Supp. Payments</t>
  </si>
  <si>
    <t>Per FFY 2010 OHCA Filings, No Cap</t>
  </si>
  <si>
    <t>Remaining room under UPL</t>
  </si>
  <si>
    <t>Per FFY 2010 OHCA Filings, $25M Cap</t>
  </si>
  <si>
    <t xml:space="preserve">bold if &gt; </t>
  </si>
  <si>
    <t>bold if capped at</t>
  </si>
  <si>
    <t>bold if (5) - (3) &lt;</t>
  </si>
  <si>
    <t>HARTF</t>
  </si>
  <si>
    <t>YNHAV</t>
  </si>
  <si>
    <t>WCHN</t>
  </si>
  <si>
    <t>ECHN</t>
  </si>
  <si>
    <t>By Health System:</t>
  </si>
  <si>
    <t>Hartford (Hartf, Bckus, Hocct, Midst, Wndhm)</t>
  </si>
  <si>
    <t>Yale (Ynhav incl. Sarph, Brgpt, Grenh)</t>
  </si>
  <si>
    <t>Uncompensated Care / Upper Payment Limit (UPL)</t>
  </si>
  <si>
    <t>SFY 2015 Supplemental Payment Calculation</t>
  </si>
  <si>
    <t>SFY 2015 Hospital Payment Impact - UPL Methodology revised to IP Medicaid Net Revenue Supplemental Methodology</t>
  </si>
  <si>
    <t>SFY 2014 Hospital Payment Impact - UPL Methodology revised to IP Medicaid Net Revenue Supplemental Methodology</t>
  </si>
  <si>
    <t>Baseline Distribution If Based on DSH UPL % in (2)</t>
  </si>
  <si>
    <t>(5) - (3)</t>
  </si>
  <si>
    <t>DSH Payments</t>
  </si>
  <si>
    <t>All Others</t>
  </si>
  <si>
    <t>Actual</t>
  </si>
  <si>
    <t xml:space="preserve">Inpatient Hospital Disproportionate Share </t>
  </si>
  <si>
    <t>FYE2014</t>
  </si>
  <si>
    <t>% Increase to be applied to Target</t>
  </si>
  <si>
    <t>in setting per diem</t>
  </si>
  <si>
    <t>FFS Days</t>
  </si>
  <si>
    <t xml:space="preserve">Medicaid Managed </t>
  </si>
  <si>
    <t>Total Days</t>
  </si>
  <si>
    <t xml:space="preserve">Utilization </t>
  </si>
  <si>
    <t>If "1",</t>
  </si>
  <si>
    <t>% of</t>
  </si>
  <si>
    <t>Medicaid Days</t>
  </si>
  <si>
    <t>Care Days</t>
  </si>
  <si>
    <t>I/P Days</t>
  </si>
  <si>
    <t>Cost Report</t>
  </si>
  <si>
    <t>Rate</t>
  </si>
  <si>
    <t>(((SSI+Util. Rate)-.202)x.825)+.0588</t>
  </si>
  <si>
    <t>hospital</t>
  </si>
  <si>
    <t>Less Mean</t>
  </si>
  <si>
    <t>Appropr.</t>
  </si>
  <si>
    <t>Backus</t>
  </si>
  <si>
    <t>Bridgeport</t>
  </si>
  <si>
    <t>Bristol</t>
  </si>
  <si>
    <t>Central CT</t>
  </si>
  <si>
    <t>Danbury</t>
  </si>
  <si>
    <t>Day Kimball</t>
  </si>
  <si>
    <t>Dempsey</t>
  </si>
  <si>
    <t>Greenwich</t>
  </si>
  <si>
    <t>Griffin</t>
  </si>
  <si>
    <t>Hartford</t>
  </si>
  <si>
    <t>Hungerford</t>
  </si>
  <si>
    <t>Johnson</t>
  </si>
  <si>
    <t>Lawrence &amp; Mem.</t>
  </si>
  <si>
    <t>Manchester</t>
  </si>
  <si>
    <t>Midstate</t>
  </si>
  <si>
    <t>Middlesex</t>
  </si>
  <si>
    <t>Milford</t>
  </si>
  <si>
    <t>New Milford</t>
  </si>
  <si>
    <t>Norwalk</t>
  </si>
  <si>
    <t>Rockville</t>
  </si>
  <si>
    <t>St. Francis</t>
  </si>
  <si>
    <t>St. Mary's</t>
  </si>
  <si>
    <t>St. Vincent</t>
  </si>
  <si>
    <t>Sharon</t>
  </si>
  <si>
    <t>Stamford</t>
  </si>
  <si>
    <t>Waterbury</t>
  </si>
  <si>
    <t>Windham</t>
  </si>
  <si>
    <t>Yale &amp; St. Raph</t>
  </si>
  <si>
    <t>Standard Deviation</t>
  </si>
  <si>
    <t>Mean</t>
  </si>
  <si>
    <t>Mean (Avg.)</t>
  </si>
  <si>
    <t>Mean + 1 Standard Deviation</t>
  </si>
  <si>
    <t>Qualifying</t>
  </si>
  <si>
    <t xml:space="preserve">Note: Medicaid days on OHCA reports 500, 550, 600 and dependent schedules (see attachment - UCP DSH) do not agree with this schedule.  </t>
  </si>
  <si>
    <t>This schedule uses OHCA data for managed care days (schedule 250) but fee for service days come from EDS settlement data.</t>
  </si>
  <si>
    <t>The EDS data may differ from the data reported to OHCA by the hospitals for the following reasons:</t>
  </si>
  <si>
    <t xml:space="preserve">-  </t>
  </si>
  <si>
    <t>EDS ran reports for dates of service 10/1/06 - 9/30/07 and paid dates from 10/1/06 - 11/18/08.  EDS reports</t>
  </si>
  <si>
    <t>also include follow-up from FFY 2006 if claims were paid after the 2006 settlement was run.  Hospitals have up to</t>
  </si>
  <si>
    <t>a year from the date of service to file a claim so hospitals may be reporting days that are not yet in EDS system.</t>
  </si>
  <si>
    <t>EDS reports only include paid claims/days.  Hospitals may be reporting Medicaid days that were denied.</t>
  </si>
  <si>
    <t>EDS currently counts claims/days based on admission date.  The hospitals typically count based on discharge date.</t>
  </si>
  <si>
    <t>This was recently brought to our attention and will be changed by EDS going forward.</t>
  </si>
  <si>
    <t>FFY 2012 OHCA Data</t>
  </si>
  <si>
    <t>to Impact tabs, column 9</t>
  </si>
  <si>
    <t>to Impact tabs, column 10</t>
  </si>
  <si>
    <t/>
  </si>
  <si>
    <t>(1) - (5) - (8) - (9)</t>
  </si>
  <si>
    <t xml:space="preserve">(5) + (8) + (9) </t>
  </si>
  <si>
    <t>(5) + (8) + (9)</t>
  </si>
  <si>
    <t xml:space="preserve">Total Payments </t>
  </si>
  <si>
    <t xml:space="preserve">Total by Health System </t>
  </si>
  <si>
    <t>Per FFY 2010  DSH Audit Report</t>
  </si>
  <si>
    <t>Per FFY 2010 DSH Audit Report</t>
  </si>
  <si>
    <t>Estimated DSH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</si>
</sst>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&quot;$&quot;#,##0"/>
    <numFmt numFmtId="168" formatCode="&quot;$&quot;#,##0.00"/>
    <numFmt numFmtId="169" formatCode="_(&quot;$&quot;* #,##0_);_(&quot;$&quot;* \(#,##0\);_(&quot;$&quot;* &quot;-&quot;??_);_(@_)"/>
    <numFmt numFmtId="170" formatCode="0.00000%"/>
    <numFmt numFmtId="171" formatCode="0.0000%"/>
    <numFmt numFmtId="172" formatCode="0.0000"/>
  </numFmts>
  <fonts count="33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color indexed="12"/>
      <name val="Arial"/>
      <family val="2"/>
    </font>
    <font>
      <b/>
      <u/>
      <sz val="14"/>
      <color indexed="12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sz val="12"/>
      <color rgb="FF0000FF"/>
      <name val="Arial"/>
      <family val="2"/>
    </font>
    <font>
      <b/>
      <sz val="12"/>
      <color rgb="FF0070C0"/>
      <name val="Arial"/>
      <family val="2"/>
    </font>
    <font>
      <b/>
      <sz val="12"/>
      <color rgb="FF008000"/>
      <name val="Arial"/>
      <family val="2"/>
    </font>
    <font>
      <sz val="10"/>
      <color rgb="FF0000FF"/>
      <name val="Arial"/>
      <family val="2"/>
    </font>
    <font>
      <b/>
      <sz val="12"/>
      <color rgb="FF7030A0"/>
      <name val="Arial"/>
      <family val="2"/>
    </font>
    <font>
      <b/>
      <sz val="10"/>
      <color rgb="FF006600"/>
      <name val="Arial"/>
      <family val="2"/>
    </font>
    <font>
      <sz val="10"/>
      <color rgb="FF800000"/>
      <name val="Arial"/>
      <family val="2"/>
    </font>
    <font>
      <b/>
      <sz val="11"/>
      <color rgb="FF800000"/>
      <name val="Arial"/>
      <family val="2"/>
    </font>
    <font>
      <b/>
      <sz val="10"/>
      <color rgb="FF800000"/>
      <name val="Arial"/>
      <family val="2"/>
    </font>
    <font>
      <b/>
      <sz val="10"/>
      <color rgb="FF0070C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38" fontId="0" fillId="0" borderId="0"/>
    <xf numFmtId="3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38" fontId="1" fillId="0" borderId="0"/>
    <xf numFmtId="0" fontId="4" fillId="0" borderId="0"/>
    <xf numFmtId="0" fontId="18" fillId="0" borderId="0"/>
    <xf numFmtId="0" fontId="4" fillId="0" borderId="0"/>
    <xf numFmtId="0" fontId="7" fillId="0" borderId="0"/>
    <xf numFmtId="0" fontId="18" fillId="0" borderId="0"/>
    <xf numFmtId="0" fontId="8" fillId="0" borderId="0"/>
    <xf numFmtId="0" fontId="4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270">
    <xf numFmtId="38" fontId="0" fillId="0" borderId="0" xfId="0"/>
    <xf numFmtId="0" fontId="6" fillId="0" borderId="0" xfId="19" applyFont="1"/>
    <xf numFmtId="0" fontId="8" fillId="0" borderId="0" xfId="19"/>
    <xf numFmtId="0" fontId="6" fillId="0" borderId="0" xfId="19" applyFont="1" applyBorder="1"/>
    <xf numFmtId="0" fontId="6" fillId="0" borderId="0" xfId="19" applyFont="1" applyBorder="1" applyAlignment="1">
      <alignment horizontal="center"/>
    </xf>
    <xf numFmtId="167" fontId="4" fillId="0" borderId="0" xfId="14" applyNumberFormat="1" applyFont="1" applyBorder="1" applyAlignment="1">
      <alignment horizontal="right" wrapText="1"/>
    </xf>
    <xf numFmtId="164" fontId="0" fillId="0" borderId="0" xfId="7" applyNumberFormat="1" applyFont="1"/>
    <xf numFmtId="0" fontId="4" fillId="0" borderId="0" xfId="19" applyFont="1" applyAlignment="1">
      <alignment horizontal="center"/>
    </xf>
    <xf numFmtId="0" fontId="8" fillId="0" borderId="0" xfId="19" applyBorder="1"/>
    <xf numFmtId="166" fontId="8" fillId="0" borderId="0" xfId="19" applyNumberFormat="1" applyAlignment="1">
      <alignment horizontal="center"/>
    </xf>
    <xf numFmtId="166" fontId="8" fillId="0" borderId="0" xfId="19" applyNumberFormat="1" applyFont="1" applyAlignment="1">
      <alignment horizontal="center"/>
    </xf>
    <xf numFmtId="166" fontId="6" fillId="0" borderId="0" xfId="19" applyNumberFormat="1" applyFont="1" applyBorder="1" applyAlignment="1">
      <alignment horizontal="center"/>
    </xf>
    <xf numFmtId="166" fontId="8" fillId="0" borderId="0" xfId="19" applyNumberFormat="1" applyFont="1" applyBorder="1" applyAlignment="1">
      <alignment horizontal="center"/>
    </xf>
    <xf numFmtId="166" fontId="8" fillId="0" borderId="0" xfId="19" applyNumberFormat="1" applyFont="1" applyFill="1" applyBorder="1" applyAlignment="1">
      <alignment horizontal="center"/>
    </xf>
    <xf numFmtId="166" fontId="4" fillId="0" borderId="0" xfId="19" applyNumberFormat="1" applyFont="1" applyAlignment="1">
      <alignment horizontal="center"/>
    </xf>
    <xf numFmtId="0" fontId="8" fillId="0" borderId="0" xfId="19" applyFont="1" applyAlignment="1">
      <alignment horizontal="center"/>
    </xf>
    <xf numFmtId="0" fontId="4" fillId="0" borderId="0" xfId="19" applyFont="1"/>
    <xf numFmtId="0" fontId="4" fillId="0" borderId="0" xfId="19" applyFont="1" applyBorder="1" applyAlignment="1">
      <alignment horizontal="center"/>
    </xf>
    <xf numFmtId="0" fontId="8" fillId="0" borderId="0" xfId="19" applyAlignment="1">
      <alignment horizontal="center"/>
    </xf>
    <xf numFmtId="17" fontId="8" fillId="0" borderId="0" xfId="19" applyNumberFormat="1" applyAlignment="1">
      <alignment horizontal="center"/>
    </xf>
    <xf numFmtId="0" fontId="4" fillId="0" borderId="0" xfId="19" applyFont="1" applyFill="1" applyBorder="1" applyAlignment="1">
      <alignment horizontal="center"/>
    </xf>
    <xf numFmtId="0" fontId="8" fillId="0" borderId="0" xfId="19" applyFont="1" applyBorder="1" applyAlignment="1">
      <alignment horizontal="center"/>
    </xf>
    <xf numFmtId="0" fontId="4" fillId="0" borderId="0" xfId="19" applyFont="1" applyBorder="1" applyAlignment="1">
      <alignment horizontal="left"/>
    </xf>
    <xf numFmtId="0" fontId="4" fillId="0" borderId="0" xfId="19" applyFont="1" applyFill="1" applyBorder="1" applyAlignment="1">
      <alignment horizontal="center" wrapText="1"/>
    </xf>
    <xf numFmtId="168" fontId="6" fillId="0" borderId="0" xfId="19" applyNumberFormat="1" applyFont="1"/>
    <xf numFmtId="0" fontId="6" fillId="0" borderId="0" xfId="19" applyFont="1" applyFill="1" applyBorder="1" applyAlignment="1">
      <alignment horizontal="center"/>
    </xf>
    <xf numFmtId="168" fontId="6" fillId="0" borderId="0" xfId="11" applyNumberFormat="1" applyFont="1" applyBorder="1" applyAlignment="1">
      <alignment horizontal="center"/>
    </xf>
    <xf numFmtId="0" fontId="4" fillId="0" borderId="0" xfId="19" applyFont="1" applyBorder="1"/>
    <xf numFmtId="0" fontId="4" fillId="0" borderId="0" xfId="19" quotePrefix="1" applyFont="1" applyBorder="1" applyAlignment="1">
      <alignment horizontal="center"/>
    </xf>
    <xf numFmtId="168" fontId="4" fillId="0" borderId="0" xfId="11" applyNumberFormat="1" applyFont="1" applyBorder="1" applyAlignment="1">
      <alignment horizontal="center"/>
    </xf>
    <xf numFmtId="0" fontId="4" fillId="0" borderId="0" xfId="19" applyFont="1" applyAlignment="1">
      <alignment horizontal="left"/>
    </xf>
    <xf numFmtId="0" fontId="4" fillId="0" borderId="0" xfId="19" applyFont="1" applyAlignment="1">
      <alignment horizontal="center" wrapText="1"/>
    </xf>
    <xf numFmtId="44" fontId="4" fillId="0" borderId="0" xfId="11" applyNumberFormat="1" applyFont="1" applyBorder="1" applyAlignment="1">
      <alignment horizontal="center" wrapText="1"/>
    </xf>
    <xf numFmtId="7" fontId="8" fillId="0" borderId="0" xfId="19" applyNumberFormat="1"/>
    <xf numFmtId="6" fontId="0" fillId="0" borderId="0" xfId="7" applyNumberFormat="1" applyFont="1"/>
    <xf numFmtId="43" fontId="0" fillId="0" borderId="0" xfId="7" applyFont="1"/>
    <xf numFmtId="165" fontId="0" fillId="0" borderId="0" xfId="27" applyNumberFormat="1" applyFont="1"/>
    <xf numFmtId="44" fontId="0" fillId="0" borderId="0" xfId="11" applyNumberFormat="1" applyFont="1" applyBorder="1"/>
    <xf numFmtId="169" fontId="8" fillId="0" borderId="0" xfId="19" applyNumberFormat="1" applyBorder="1"/>
    <xf numFmtId="169" fontId="8" fillId="0" borderId="0" xfId="19" applyNumberFormat="1" applyFill="1" applyBorder="1"/>
    <xf numFmtId="0" fontId="4" fillId="2" borderId="0" xfId="19" applyFont="1" applyFill="1"/>
    <xf numFmtId="7" fontId="8" fillId="2" borderId="0" xfId="19" applyNumberFormat="1" applyFill="1"/>
    <xf numFmtId="6" fontId="4" fillId="2" borderId="0" xfId="7" applyNumberFormat="1" applyFont="1" applyFill="1"/>
    <xf numFmtId="43" fontId="4" fillId="2" borderId="0" xfId="7" applyFont="1" applyFill="1"/>
    <xf numFmtId="167" fontId="4" fillId="2" borderId="0" xfId="14" applyNumberFormat="1" applyFont="1" applyFill="1" applyBorder="1" applyAlignment="1">
      <alignment horizontal="right" wrapText="1"/>
    </xf>
    <xf numFmtId="164" fontId="4" fillId="2" borderId="0" xfId="7" applyNumberFormat="1" applyFont="1" applyFill="1"/>
    <xf numFmtId="165" fontId="4" fillId="2" borderId="0" xfId="27" applyNumberFormat="1" applyFont="1" applyFill="1"/>
    <xf numFmtId="0" fontId="8" fillId="2" borderId="0" xfId="19" applyFill="1" applyAlignment="1">
      <alignment horizontal="center"/>
    </xf>
    <xf numFmtId="0" fontId="6" fillId="2" borderId="0" xfId="19" applyFont="1" applyFill="1" applyBorder="1" applyAlignment="1">
      <alignment horizontal="center"/>
    </xf>
    <xf numFmtId="44" fontId="4" fillId="2" borderId="0" xfId="11" applyNumberFormat="1" applyFont="1" applyFill="1" applyBorder="1"/>
    <xf numFmtId="169" fontId="8" fillId="2" borderId="0" xfId="19" applyNumberFormat="1" applyFill="1" applyBorder="1"/>
    <xf numFmtId="0" fontId="8" fillId="2" borderId="0" xfId="19" applyFill="1"/>
    <xf numFmtId="0" fontId="6" fillId="2" borderId="0" xfId="19" applyFont="1" applyFill="1"/>
    <xf numFmtId="7" fontId="6" fillId="2" borderId="0" xfId="19" applyNumberFormat="1" applyFont="1" applyFill="1"/>
    <xf numFmtId="44" fontId="6" fillId="2" borderId="0" xfId="11" applyNumberFormat="1" applyFont="1" applyFill="1" applyBorder="1"/>
    <xf numFmtId="169" fontId="6" fillId="2" borderId="0" xfId="19" applyNumberFormat="1" applyFont="1" applyFill="1" applyBorder="1"/>
    <xf numFmtId="168" fontId="0" fillId="0" borderId="0" xfId="11" applyNumberFormat="1" applyFont="1" applyAlignment="1">
      <alignment horizontal="right"/>
    </xf>
    <xf numFmtId="6" fontId="8" fillId="0" borderId="0" xfId="19" applyNumberFormat="1"/>
    <xf numFmtId="43" fontId="8" fillId="0" borderId="0" xfId="19" applyNumberFormat="1"/>
    <xf numFmtId="167" fontId="0" fillId="0" borderId="0" xfId="11" applyNumberFormat="1" applyFont="1"/>
    <xf numFmtId="164" fontId="8" fillId="0" borderId="0" xfId="19" applyNumberFormat="1"/>
    <xf numFmtId="168" fontId="4" fillId="0" borderId="0" xfId="11" applyNumberFormat="1" applyFont="1" applyBorder="1"/>
    <xf numFmtId="169" fontId="6" fillId="0" borderId="0" xfId="19" applyNumberFormat="1" applyFont="1" applyBorder="1"/>
    <xf numFmtId="0" fontId="6" fillId="0" borderId="0" xfId="19" applyFont="1" applyAlignment="1">
      <alignment horizontal="center"/>
    </xf>
    <xf numFmtId="0" fontId="4" fillId="0" borderId="0" xfId="16"/>
    <xf numFmtId="164" fontId="4" fillId="0" borderId="0" xfId="21" applyNumberFormat="1" applyFont="1" applyBorder="1" applyAlignment="1">
      <alignment horizontal="right" vertical="top"/>
    </xf>
    <xf numFmtId="0" fontId="10" fillId="0" borderId="0" xfId="16" applyFont="1" applyFill="1" applyBorder="1"/>
    <xf numFmtId="41" fontId="4" fillId="0" borderId="0" xfId="21" applyNumberFormat="1" applyFont="1" applyBorder="1" applyAlignment="1">
      <alignment horizontal="right" vertical="top"/>
    </xf>
    <xf numFmtId="0" fontId="4" fillId="0" borderId="0" xfId="16" applyFont="1" applyBorder="1"/>
    <xf numFmtId="0" fontId="10" fillId="0" borderId="0" xfId="16" applyFont="1" applyBorder="1" applyAlignment="1">
      <alignment wrapText="1"/>
    </xf>
    <xf numFmtId="164" fontId="4" fillId="0" borderId="0" xfId="16" applyNumberFormat="1" applyBorder="1"/>
    <xf numFmtId="165" fontId="4" fillId="0" borderId="0" xfId="23" applyNumberFormat="1" applyBorder="1"/>
    <xf numFmtId="49" fontId="6" fillId="0" borderId="0" xfId="22" applyNumberFormat="1" applyFont="1" applyBorder="1" applyAlignment="1">
      <alignment horizontal="center"/>
    </xf>
    <xf numFmtId="49" fontId="4" fillId="0" borderId="0" xfId="22" applyNumberFormat="1" applyFont="1" applyBorder="1" applyAlignment="1">
      <alignment horizontal="center"/>
    </xf>
    <xf numFmtId="5" fontId="10" fillId="0" borderId="0" xfId="22" applyNumberFormat="1" applyFont="1" applyFill="1" applyBorder="1" applyAlignment="1">
      <alignment horizontal="center" wrapText="1"/>
    </xf>
    <xf numFmtId="0" fontId="6" fillId="0" borderId="0" xfId="16" applyFont="1" applyFill="1" applyBorder="1" applyAlignment="1">
      <alignment horizontal="center"/>
    </xf>
    <xf numFmtId="49" fontId="6" fillId="0" borderId="0" xfId="22" applyNumberFormat="1" applyFont="1" applyBorder="1" applyAlignment="1">
      <alignment horizontal="center" wrapText="1"/>
    </xf>
    <xf numFmtId="5" fontId="11" fillId="0" borderId="0" xfId="22" applyNumberFormat="1" applyFont="1" applyFill="1" applyBorder="1" applyAlignment="1">
      <alignment horizontal="center" wrapText="1"/>
    </xf>
    <xf numFmtId="164" fontId="10" fillId="0" borderId="0" xfId="16" quotePrefix="1" applyNumberFormat="1" applyFont="1" applyBorder="1" applyAlignment="1">
      <alignment horizontal="center" wrapText="1"/>
    </xf>
    <xf numFmtId="5" fontId="10" fillId="0" borderId="0" xfId="22" applyNumberFormat="1" applyFont="1" applyFill="1" applyBorder="1" applyAlignment="1">
      <alignment horizontal="center" vertical="top" wrapText="1"/>
    </xf>
    <xf numFmtId="0" fontId="4" fillId="0" borderId="0" xfId="16" applyFont="1" applyBorder="1" applyAlignment="1">
      <alignment horizontal="center" vertical="top"/>
    </xf>
    <xf numFmtId="5" fontId="4" fillId="0" borderId="0" xfId="16" applyNumberFormat="1" applyFont="1" applyBorder="1" applyAlignment="1">
      <alignment horizontal="center" vertical="top"/>
    </xf>
    <xf numFmtId="170" fontId="12" fillId="0" borderId="0" xfId="23" applyNumberFormat="1" applyFont="1" applyBorder="1" applyAlignment="1">
      <alignment horizontal="center"/>
    </xf>
    <xf numFmtId="5" fontId="13" fillId="0" borderId="0" xfId="22" applyNumberFormat="1" applyFont="1" applyFill="1" applyBorder="1" applyAlignment="1">
      <alignment horizontal="center" vertical="top" wrapText="1"/>
    </xf>
    <xf numFmtId="0" fontId="4" fillId="0" borderId="0" xfId="16" applyFont="1" applyBorder="1" applyAlignment="1">
      <alignment horizontal="center"/>
    </xf>
    <xf numFmtId="166" fontId="4" fillId="0" borderId="0" xfId="16" applyNumberFormat="1" applyFont="1" applyBorder="1" applyAlignment="1">
      <alignment horizontal="center"/>
    </xf>
    <xf numFmtId="166" fontId="4" fillId="0" borderId="0" xfId="22" applyNumberFormat="1" applyFont="1" applyFill="1" applyBorder="1" applyAlignment="1">
      <alignment horizontal="center"/>
    </xf>
    <xf numFmtId="0" fontId="6" fillId="0" borderId="0" xfId="16" applyFont="1" applyBorder="1" applyAlignment="1">
      <alignment horizontal="center"/>
    </xf>
    <xf numFmtId="0" fontId="4" fillId="0" borderId="0" xfId="16" applyBorder="1" applyAlignment="1">
      <alignment horizontal="center"/>
    </xf>
    <xf numFmtId="171" fontId="4" fillId="0" borderId="0" xfId="23" applyNumberFormat="1" applyFont="1" applyBorder="1" applyAlignment="1">
      <alignment horizontal="center"/>
    </xf>
    <xf numFmtId="0" fontId="12" fillId="0" borderId="0" xfId="16" applyFont="1" applyBorder="1"/>
    <xf numFmtId="166" fontId="6" fillId="0" borderId="0" xfId="22" applyNumberFormat="1" applyFont="1" applyBorder="1" applyAlignment="1">
      <alignment horizontal="center"/>
    </xf>
    <xf numFmtId="0" fontId="10" fillId="0" borderId="0" xfId="20" applyFont="1" applyFill="1" applyBorder="1" applyAlignment="1" applyProtection="1">
      <alignment horizontal="left"/>
    </xf>
    <xf numFmtId="5" fontId="4" fillId="0" borderId="0" xfId="21" applyNumberFormat="1" applyFont="1" applyBorder="1" applyAlignment="1" applyProtection="1">
      <alignment horizontal="right" vertical="top"/>
    </xf>
    <xf numFmtId="167" fontId="4" fillId="0" borderId="0" xfId="23" applyNumberFormat="1" applyFont="1" applyBorder="1" applyProtection="1"/>
    <xf numFmtId="37" fontId="4" fillId="0" borderId="0" xfId="12" applyNumberFormat="1" applyBorder="1" applyProtection="1"/>
    <xf numFmtId="37" fontId="4" fillId="0" borderId="0" xfId="16" applyNumberFormat="1" applyProtection="1"/>
    <xf numFmtId="5" fontId="4" fillId="0" borderId="0" xfId="21" applyNumberFormat="1" applyFont="1" applyFill="1" applyBorder="1" applyAlignment="1" applyProtection="1">
      <alignment horizontal="right" vertical="top"/>
    </xf>
    <xf numFmtId="10" fontId="4" fillId="0" borderId="0" xfId="21" applyNumberFormat="1" applyFont="1" applyBorder="1" applyAlignment="1" applyProtection="1">
      <alignment horizontal="right" vertical="top"/>
    </xf>
    <xf numFmtId="0" fontId="6" fillId="0" borderId="0" xfId="20" applyFont="1" applyFill="1" applyBorder="1" applyAlignment="1" applyProtection="1">
      <alignment horizontal="left"/>
    </xf>
    <xf numFmtId="171" fontId="4" fillId="0" borderId="0" xfId="23" applyNumberFormat="1" applyFont="1" applyBorder="1" applyAlignment="1" applyProtection="1">
      <alignment horizontal="right" vertical="top"/>
    </xf>
    <xf numFmtId="0" fontId="4" fillId="0" borderId="0" xfId="20" applyFont="1" applyFill="1" applyBorder="1" applyAlignment="1" applyProtection="1">
      <alignment horizontal="left"/>
    </xf>
    <xf numFmtId="5" fontId="19" fillId="0" borderId="0" xfId="12" applyNumberFormat="1" applyFont="1" applyBorder="1" applyAlignment="1" applyProtection="1">
      <alignment horizontal="center" wrapText="1"/>
    </xf>
    <xf numFmtId="5" fontId="10" fillId="0" borderId="0" xfId="12" applyNumberFormat="1" applyFont="1" applyBorder="1" applyAlignment="1" applyProtection="1">
      <alignment horizontal="center" wrapText="1"/>
    </xf>
    <xf numFmtId="5" fontId="10" fillId="0" borderId="0" xfId="12" quotePrefix="1" applyNumberFormat="1" applyFont="1" applyBorder="1" applyAlignment="1" applyProtection="1">
      <alignment horizontal="center" wrapText="1"/>
    </xf>
    <xf numFmtId="0" fontId="4" fillId="0" borderId="0" xfId="12" applyFont="1" applyBorder="1" applyAlignment="1" applyProtection="1">
      <alignment horizontal="center"/>
    </xf>
    <xf numFmtId="0" fontId="4" fillId="0" borderId="0" xfId="12" applyBorder="1" applyAlignment="1" applyProtection="1">
      <alignment horizontal="center"/>
    </xf>
    <xf numFmtId="0" fontId="4" fillId="0" borderId="0" xfId="12" applyBorder="1" applyProtection="1"/>
    <xf numFmtId="0" fontId="12" fillId="0" borderId="0" xfId="12" applyFont="1" applyBorder="1" applyProtection="1"/>
    <xf numFmtId="37" fontId="4" fillId="0" borderId="0" xfId="12" applyNumberFormat="1" applyBorder="1" applyAlignment="1" applyProtection="1">
      <alignment horizontal="center"/>
    </xf>
    <xf numFmtId="0" fontId="14" fillId="0" borderId="0" xfId="12" applyFont="1" applyBorder="1" applyProtection="1"/>
    <xf numFmtId="37" fontId="20" fillId="0" borderId="0" xfId="12" applyNumberFormat="1" applyFont="1" applyBorder="1" applyAlignment="1" applyProtection="1">
      <alignment horizontal="center" wrapText="1"/>
    </xf>
    <xf numFmtId="0" fontId="4" fillId="0" borderId="0" xfId="12" applyFont="1" applyBorder="1" applyProtection="1"/>
    <xf numFmtId="0" fontId="4" fillId="0" borderId="0" xfId="16" applyBorder="1"/>
    <xf numFmtId="164" fontId="6" fillId="0" borderId="0" xfId="16" applyNumberFormat="1" applyFont="1"/>
    <xf numFmtId="0" fontId="4" fillId="0" borderId="0" xfId="16" applyFont="1" applyFill="1" applyBorder="1"/>
    <xf numFmtId="5" fontId="4" fillId="0" borderId="0" xfId="21" applyNumberFormat="1" applyFont="1" applyFill="1" applyBorder="1" applyAlignment="1">
      <alignment horizontal="right" vertical="top"/>
    </xf>
    <xf numFmtId="5" fontId="4" fillId="0" borderId="0" xfId="16" applyNumberFormat="1"/>
    <xf numFmtId="164" fontId="6" fillId="0" borderId="0" xfId="21" applyNumberFormat="1" applyFont="1" applyFill="1" applyBorder="1" applyAlignment="1">
      <alignment horizontal="right" vertical="top"/>
    </xf>
    <xf numFmtId="0" fontId="6" fillId="0" borderId="0" xfId="16" applyFont="1" applyFill="1" applyBorder="1"/>
    <xf numFmtId="0" fontId="4" fillId="0" borderId="0" xfId="16" applyFont="1" applyFill="1" applyBorder="1" applyAlignment="1">
      <alignment horizontal="center"/>
    </xf>
    <xf numFmtId="0" fontId="4" fillId="0" borderId="0" xfId="16" applyFont="1" applyAlignment="1">
      <alignment horizontal="center"/>
    </xf>
    <xf numFmtId="0" fontId="4" fillId="0" borderId="0" xfId="16" applyFont="1" applyFill="1" applyBorder="1" applyAlignment="1">
      <alignment horizontal="center" wrapText="1"/>
    </xf>
    <xf numFmtId="0" fontId="4" fillId="0" borderId="0" xfId="16" applyAlignment="1">
      <alignment horizontal="center"/>
    </xf>
    <xf numFmtId="14" fontId="4" fillId="0" borderId="0" xfId="16" applyNumberFormat="1" applyFont="1" applyFill="1" applyBorder="1" applyAlignment="1">
      <alignment horizontal="center" wrapText="1"/>
    </xf>
    <xf numFmtId="166" fontId="6" fillId="0" borderId="0" xfId="22" applyNumberFormat="1" applyFont="1" applyFill="1" applyBorder="1" applyAlignment="1">
      <alignment horizontal="center"/>
    </xf>
    <xf numFmtId="0" fontId="4" fillId="0" borderId="0" xfId="16" applyFill="1" applyBorder="1"/>
    <xf numFmtId="0" fontId="6" fillId="0" borderId="0" xfId="16" applyFont="1" applyFill="1" applyBorder="1" applyAlignment="1">
      <alignment horizontal="left"/>
    </xf>
    <xf numFmtId="0" fontId="4" fillId="0" borderId="0" xfId="16" applyFont="1" applyFill="1" applyBorder="1" applyAlignment="1"/>
    <xf numFmtId="0" fontId="15" fillId="0" borderId="0" xfId="16" applyFont="1" applyFill="1" applyBorder="1"/>
    <xf numFmtId="0" fontId="14" fillId="0" borderId="0" xfId="16" applyFont="1" applyFill="1" applyBorder="1" applyAlignment="1">
      <alignment horizontal="left" indent="1"/>
    </xf>
    <xf numFmtId="0" fontId="4" fillId="0" borderId="0" xfId="20" applyFont="1" applyFill="1" applyBorder="1" applyAlignment="1" applyProtection="1">
      <alignment horizontal="left"/>
      <protection locked="0"/>
    </xf>
    <xf numFmtId="164" fontId="4" fillId="0" borderId="0" xfId="2" applyNumberFormat="1" applyFont="1" applyBorder="1" applyProtection="1">
      <protection locked="0"/>
    </xf>
    <xf numFmtId="5" fontId="23" fillId="0" borderId="0" xfId="16" applyNumberFormat="1" applyFont="1" applyBorder="1" applyProtection="1">
      <protection locked="0"/>
    </xf>
    <xf numFmtId="166" fontId="21" fillId="0" borderId="0" xfId="16" applyNumberFormat="1" applyFont="1" applyFill="1" applyBorder="1" applyAlignment="1" applyProtection="1">
      <alignment horizontal="center" wrapText="1"/>
      <protection locked="0"/>
    </xf>
    <xf numFmtId="0" fontId="14" fillId="0" borderId="0" xfId="16" applyFont="1" applyFill="1" applyBorder="1"/>
    <xf numFmtId="164" fontId="25" fillId="0" borderId="0" xfId="2" applyNumberFormat="1" applyFont="1" applyBorder="1" applyProtection="1">
      <protection locked="0"/>
    </xf>
    <xf numFmtId="0" fontId="4" fillId="0" borderId="0" xfId="16" applyFont="1" applyFill="1" applyBorder="1" applyAlignment="1" applyProtection="1">
      <alignment wrapText="1"/>
      <protection locked="0"/>
    </xf>
    <xf numFmtId="0" fontId="24" fillId="0" borderId="0" xfId="16" applyFont="1" applyFill="1" applyBorder="1" applyAlignment="1" applyProtection="1">
      <alignment horizontal="center" wrapText="1"/>
      <protection locked="0"/>
    </xf>
    <xf numFmtId="0" fontId="4" fillId="0" borderId="0" xfId="16" applyFont="1" applyBorder="1" applyAlignment="1" applyProtection="1">
      <alignment horizontal="center"/>
      <protection locked="0"/>
    </xf>
    <xf numFmtId="0" fontId="21" fillId="0" borderId="0" xfId="16" applyFont="1" applyFill="1" applyBorder="1" applyAlignment="1" applyProtection="1">
      <alignment horizontal="center"/>
      <protection locked="0"/>
    </xf>
    <xf numFmtId="0" fontId="4" fillId="0" borderId="0" xfId="16" quotePrefix="1" applyFont="1" applyFill="1" applyBorder="1" applyAlignment="1">
      <alignment horizontal="center" wrapText="1"/>
    </xf>
    <xf numFmtId="0" fontId="6" fillId="0" borderId="0" xfId="16" applyFont="1" applyFill="1" applyBorder="1" applyAlignment="1">
      <alignment horizontal="center" wrapText="1"/>
    </xf>
    <xf numFmtId="164" fontId="2" fillId="0" borderId="0" xfId="16" quotePrefix="1" applyNumberFormat="1" applyFont="1" applyAlignment="1">
      <alignment horizontal="center" wrapText="1"/>
    </xf>
    <xf numFmtId="0" fontId="11" fillId="0" borderId="0" xfId="16" applyFont="1" applyFill="1" applyBorder="1" applyAlignment="1">
      <alignment horizontal="center"/>
    </xf>
    <xf numFmtId="0" fontId="3" fillId="0" borderId="0" xfId="16" applyFont="1" applyFill="1" applyBorder="1"/>
    <xf numFmtId="0" fontId="27" fillId="0" borderId="0" xfId="16" applyFont="1" applyFill="1" applyBorder="1" applyAlignment="1">
      <alignment horizontal="center" wrapText="1"/>
    </xf>
    <xf numFmtId="14" fontId="27" fillId="0" borderId="0" xfId="16" applyNumberFormat="1" applyFont="1" applyFill="1" applyBorder="1" applyAlignment="1">
      <alignment horizontal="center" wrapText="1"/>
    </xf>
    <xf numFmtId="166" fontId="28" fillId="0" borderId="0" xfId="16" applyNumberFormat="1" applyFont="1" applyAlignment="1">
      <alignment horizontal="center"/>
    </xf>
    <xf numFmtId="164" fontId="27" fillId="0" borderId="0" xfId="16" applyNumberFormat="1" applyFont="1"/>
    <xf numFmtId="49" fontId="29" fillId="0" borderId="0" xfId="22" applyNumberFormat="1" applyFont="1" applyFill="1" applyBorder="1" applyAlignment="1">
      <alignment horizontal="center" wrapText="1"/>
    </xf>
    <xf numFmtId="37" fontId="27" fillId="0" borderId="0" xfId="16" applyNumberFormat="1" applyFont="1"/>
    <xf numFmtId="164" fontId="29" fillId="0" borderId="0" xfId="21" applyNumberFormat="1" applyFont="1" applyFill="1" applyBorder="1" applyAlignment="1">
      <alignment horizontal="right" vertical="top"/>
    </xf>
    <xf numFmtId="37" fontId="4" fillId="0" borderId="0" xfId="16" applyNumberFormat="1" applyFont="1"/>
    <xf numFmtId="166" fontId="4" fillId="0" borderId="0" xfId="16" applyNumberFormat="1" applyFont="1" applyAlignment="1">
      <alignment horizontal="center"/>
    </xf>
    <xf numFmtId="0" fontId="4" fillId="0" borderId="0" xfId="16" applyFont="1"/>
    <xf numFmtId="164" fontId="3" fillId="0" borderId="0" xfId="22" applyNumberFormat="1" applyFont="1" applyFill="1" applyBorder="1" applyAlignment="1">
      <alignment horizontal="center" wrapText="1"/>
    </xf>
    <xf numFmtId="0" fontId="4" fillId="0" borderId="0" xfId="16" quotePrefix="1" applyFont="1"/>
    <xf numFmtId="37" fontId="4" fillId="0" borderId="0" xfId="16" applyNumberFormat="1" applyFont="1" applyFill="1" applyBorder="1"/>
    <xf numFmtId="5" fontId="3" fillId="0" borderId="0" xfId="16" applyNumberFormat="1" applyFont="1" applyFill="1" applyBorder="1"/>
    <xf numFmtId="0" fontId="4" fillId="0" borderId="0" xfId="16" applyAlignment="1">
      <alignment horizontal="center" vertical="center"/>
    </xf>
    <xf numFmtId="37" fontId="11" fillId="0" borderId="0" xfId="16" applyNumberFormat="1" applyFont="1" applyFill="1" applyBorder="1" applyAlignment="1">
      <alignment horizontal="center" vertical="top" wrapText="1"/>
    </xf>
    <xf numFmtId="164" fontId="26" fillId="0" borderId="0" xfId="22" applyNumberFormat="1" applyFont="1" applyFill="1" applyBorder="1" applyAlignment="1">
      <alignment horizontal="center" wrapText="1"/>
    </xf>
    <xf numFmtId="37" fontId="6" fillId="0" borderId="0" xfId="16" applyNumberFormat="1" applyFont="1"/>
    <xf numFmtId="37" fontId="4" fillId="0" borderId="0" xfId="16" applyNumberFormat="1" applyBorder="1"/>
    <xf numFmtId="37" fontId="4" fillId="0" borderId="0" xfId="16" applyNumberFormat="1" applyFont="1" applyFill="1" applyBorder="1" applyAlignment="1">
      <alignment horizontal="center"/>
    </xf>
    <xf numFmtId="164" fontId="4" fillId="0" borderId="0" xfId="16" applyNumberFormat="1" applyFont="1" applyFill="1" applyBorder="1"/>
    <xf numFmtId="164" fontId="6" fillId="0" borderId="0" xfId="22" applyNumberFormat="1" applyFont="1" applyFill="1" applyBorder="1" applyAlignment="1">
      <alignment horizontal="center" wrapText="1"/>
    </xf>
    <xf numFmtId="164" fontId="4" fillId="0" borderId="0" xfId="16" applyNumberFormat="1" applyFont="1"/>
    <xf numFmtId="0" fontId="6" fillId="0" borderId="0" xfId="16" quotePrefix="1" applyFont="1" applyFill="1" applyBorder="1" applyAlignment="1">
      <alignment horizontal="center" wrapText="1"/>
    </xf>
    <xf numFmtId="0" fontId="4" fillId="0" borderId="0" xfId="19" applyFont="1" applyAlignment="1">
      <alignment wrapText="1"/>
    </xf>
    <xf numFmtId="0" fontId="10" fillId="0" borderId="0" xfId="19" applyFont="1" applyFill="1" applyBorder="1" applyAlignment="1">
      <alignment horizontal="center"/>
    </xf>
    <xf numFmtId="0" fontId="9" fillId="0" borderId="0" xfId="19" applyFont="1" applyAlignment="1">
      <alignment horizontal="center"/>
    </xf>
    <xf numFmtId="171" fontId="30" fillId="0" borderId="0" xfId="24" applyNumberFormat="1" applyFont="1"/>
    <xf numFmtId="171" fontId="4" fillId="0" borderId="0" xfId="24" applyNumberFormat="1" applyFont="1"/>
    <xf numFmtId="171" fontId="6" fillId="0" borderId="0" xfId="24" applyNumberFormat="1" applyFont="1"/>
    <xf numFmtId="10" fontId="4" fillId="0" borderId="0" xfId="24" applyNumberFormat="1" applyFont="1"/>
    <xf numFmtId="37" fontId="6" fillId="0" borderId="0" xfId="16" applyNumberFormat="1" applyFont="1" applyBorder="1"/>
    <xf numFmtId="164" fontId="6" fillId="0" borderId="0" xfId="16" applyNumberFormat="1" applyFont="1" applyBorder="1"/>
    <xf numFmtId="164" fontId="4" fillId="0" borderId="0" xfId="22" applyNumberFormat="1" applyFont="1" applyFill="1" applyBorder="1" applyAlignment="1">
      <alignment horizontal="center" wrapText="1"/>
    </xf>
    <xf numFmtId="164" fontId="6" fillId="0" borderId="0" xfId="16" applyNumberFormat="1" applyFont="1" applyFill="1" applyBorder="1" applyAlignment="1">
      <alignment horizontal="center" wrapText="1"/>
    </xf>
    <xf numFmtId="164" fontId="4" fillId="0" borderId="0" xfId="16" applyNumberFormat="1" applyFont="1" applyBorder="1"/>
    <xf numFmtId="171" fontId="6" fillId="0" borderId="0" xfId="23" applyNumberFormat="1" applyFont="1" applyBorder="1" applyAlignment="1" applyProtection="1">
      <alignment horizontal="right" vertical="top"/>
    </xf>
    <xf numFmtId="0" fontId="6" fillId="0" borderId="0" xfId="16" applyFont="1"/>
    <xf numFmtId="0" fontId="6" fillId="0" borderId="0" xfId="16" applyFont="1" applyAlignment="1">
      <alignment horizontal="center"/>
    </xf>
    <xf numFmtId="171" fontId="4" fillId="0" borderId="0" xfId="16" applyNumberFormat="1"/>
    <xf numFmtId="171" fontId="4" fillId="0" borderId="0" xfId="16" applyNumberFormat="1" applyBorder="1"/>
    <xf numFmtId="37" fontId="4" fillId="0" borderId="0" xfId="16" applyNumberFormat="1" applyBorder="1" applyAlignment="1">
      <alignment horizontal="right"/>
    </xf>
    <xf numFmtId="37" fontId="4" fillId="0" borderId="0" xfId="16" applyNumberFormat="1" applyFont="1" applyFill="1" applyBorder="1" applyAlignment="1">
      <alignment horizontal="left"/>
    </xf>
    <xf numFmtId="0" fontId="4" fillId="0" borderId="0" xfId="16" applyFont="1" applyAlignment="1">
      <alignment horizontal="left"/>
    </xf>
    <xf numFmtId="0" fontId="6" fillId="0" borderId="0" xfId="16" applyFont="1" applyFill="1" applyBorder="1" applyAlignment="1">
      <alignment horizontal="center" vertical="top"/>
    </xf>
    <xf numFmtId="14" fontId="6" fillId="0" borderId="0" xfId="16" applyNumberFormat="1" applyFont="1" applyFill="1" applyBorder="1" applyAlignment="1">
      <alignment horizontal="center" wrapText="1"/>
    </xf>
    <xf numFmtId="37" fontId="10" fillId="0" borderId="0" xfId="16" quotePrefix="1" applyNumberFormat="1" applyFont="1" applyFill="1" applyBorder="1" applyAlignment="1">
      <alignment horizontal="center" wrapText="1"/>
    </xf>
    <xf numFmtId="0" fontId="4" fillId="0" borderId="1" xfId="16" applyFont="1" applyFill="1" applyBorder="1"/>
    <xf numFmtId="37" fontId="4" fillId="0" borderId="1" xfId="16" applyNumberFormat="1" applyFont="1" applyFill="1" applyBorder="1"/>
    <xf numFmtId="171" fontId="6" fillId="0" borderId="1" xfId="24" applyNumberFormat="1" applyFont="1" applyBorder="1"/>
    <xf numFmtId="171" fontId="6" fillId="0" borderId="1" xfId="23" applyNumberFormat="1" applyFont="1" applyBorder="1" applyAlignment="1" applyProtection="1">
      <alignment horizontal="right" vertical="top"/>
    </xf>
    <xf numFmtId="37" fontId="4" fillId="0" borderId="1" xfId="16" applyNumberFormat="1" applyFont="1" applyBorder="1"/>
    <xf numFmtId="37" fontId="4" fillId="0" borderId="1" xfId="16" applyNumberFormat="1" applyBorder="1"/>
    <xf numFmtId="171" fontId="4" fillId="0" borderId="1" xfId="16" applyNumberFormat="1" applyBorder="1"/>
    <xf numFmtId="0" fontId="4" fillId="0" borderId="1" xfId="16" applyBorder="1"/>
    <xf numFmtId="37" fontId="4" fillId="0" borderId="0" xfId="16" applyNumberFormat="1" applyFont="1" applyBorder="1"/>
    <xf numFmtId="37" fontId="4" fillId="0" borderId="0" xfId="16" applyNumberFormat="1"/>
    <xf numFmtId="5" fontId="4" fillId="0" borderId="0" xfId="8" applyFont="1"/>
    <xf numFmtId="0" fontId="2" fillId="0" borderId="0" xfId="16" applyFont="1" applyFill="1" applyBorder="1"/>
    <xf numFmtId="164" fontId="4" fillId="0" borderId="0" xfId="8" applyNumberFormat="1" applyFont="1"/>
    <xf numFmtId="5" fontId="6" fillId="0" borderId="0" xfId="21" applyNumberFormat="1" applyFont="1" applyBorder="1" applyAlignment="1" applyProtection="1">
      <alignment horizontal="right" vertical="top"/>
    </xf>
    <xf numFmtId="0" fontId="4" fillId="0" borderId="0" xfId="16" applyAlignment="1">
      <alignment horizontal="right"/>
    </xf>
    <xf numFmtId="0" fontId="4" fillId="0" borderId="0" xfId="16" applyBorder="1" applyAlignment="1"/>
    <xf numFmtId="0" fontId="16" fillId="0" borderId="0" xfId="16" applyFont="1" applyFill="1" applyBorder="1"/>
    <xf numFmtId="0" fontId="4" fillId="0" borderId="0" xfId="16" applyFont="1" applyFill="1" applyBorder="1" applyAlignment="1">
      <alignment horizontal="center" vertical="center" wrapText="1"/>
    </xf>
    <xf numFmtId="0" fontId="24" fillId="0" borderId="0" xfId="16" applyFont="1" applyBorder="1" applyAlignment="1" applyProtection="1">
      <alignment horizontal="center"/>
      <protection locked="0"/>
    </xf>
    <xf numFmtId="166" fontId="4" fillId="0" borderId="0" xfId="16" applyNumberFormat="1" applyBorder="1" applyAlignment="1" applyProtection="1">
      <alignment horizontal="center" wrapText="1"/>
      <protection locked="0"/>
    </xf>
    <xf numFmtId="0" fontId="4" fillId="0" borderId="0" xfId="16" applyFont="1" applyFill="1" applyBorder="1" applyAlignment="1" applyProtection="1">
      <alignment horizontal="center" wrapText="1"/>
      <protection locked="0"/>
    </xf>
    <xf numFmtId="164" fontId="22" fillId="0" borderId="0" xfId="21" applyNumberFormat="1" applyFont="1" applyFill="1" applyBorder="1" applyAlignment="1" applyProtection="1">
      <alignment horizontal="right"/>
      <protection locked="0"/>
    </xf>
    <xf numFmtId="166" fontId="21" fillId="0" borderId="0" xfId="16" applyNumberFormat="1" applyFont="1" applyFill="1" applyBorder="1" applyAlignment="1" applyProtection="1">
      <alignment horizontal="center"/>
      <protection locked="0"/>
    </xf>
    <xf numFmtId="10" fontId="12" fillId="0" borderId="0" xfId="16" applyNumberFormat="1" applyFont="1" applyFill="1" applyBorder="1" applyAlignment="1" applyProtection="1">
      <alignment horizontal="center" wrapText="1"/>
      <protection locked="0"/>
    </xf>
    <xf numFmtId="164" fontId="4" fillId="0" borderId="0" xfId="21" applyNumberFormat="1" applyFont="1" applyFill="1" applyBorder="1" applyAlignment="1" applyProtection="1">
      <alignment horizontal="right"/>
      <protection locked="0"/>
    </xf>
    <xf numFmtId="166" fontId="12" fillId="0" borderId="0" xfId="16" applyNumberFormat="1" applyFont="1" applyFill="1" applyBorder="1" applyAlignment="1" applyProtection="1">
      <alignment horizontal="center"/>
      <protection locked="0"/>
    </xf>
    <xf numFmtId="0" fontId="4" fillId="0" borderId="0" xfId="16" applyFont="1" applyBorder="1" applyProtection="1">
      <protection locked="0"/>
    </xf>
    <xf numFmtId="0" fontId="4" fillId="0" borderId="0" xfId="16" applyFont="1" applyFill="1" applyBorder="1" applyAlignment="1">
      <alignment horizontal="left"/>
    </xf>
    <xf numFmtId="166" fontId="6" fillId="0" borderId="0" xfId="16" applyNumberFormat="1" applyFont="1" applyFill="1" applyBorder="1" applyAlignment="1" applyProtection="1">
      <alignment horizontal="center"/>
      <protection locked="0"/>
    </xf>
    <xf numFmtId="37" fontId="27" fillId="0" borderId="0" xfId="16" applyNumberFormat="1" applyFont="1" applyBorder="1"/>
    <xf numFmtId="0" fontId="6" fillId="0" borderId="0" xfId="29" applyFont="1"/>
    <xf numFmtId="0" fontId="4" fillId="0" borderId="0" xfId="29" applyFont="1"/>
    <xf numFmtId="164" fontId="6" fillId="0" borderId="0" xfId="2" applyNumberFormat="1" applyFont="1" applyFill="1" applyAlignment="1">
      <alignment horizontal="center"/>
    </xf>
    <xf numFmtId="0" fontId="6" fillId="0" borderId="0" xfId="29" applyFont="1" applyFill="1"/>
    <xf numFmtId="0" fontId="6" fillId="0" borderId="0" xfId="29" applyFont="1" applyFill="1" applyAlignment="1">
      <alignment horizontal="center"/>
    </xf>
    <xf numFmtId="0" fontId="4" fillId="3" borderId="0" xfId="29" applyFont="1" applyFill="1"/>
    <xf numFmtId="164" fontId="12" fillId="0" borderId="0" xfId="2" applyNumberFormat="1" applyFont="1" applyFill="1" applyAlignment="1">
      <alignment horizontal="center"/>
    </xf>
    <xf numFmtId="0" fontId="4" fillId="0" borderId="0" xfId="29" applyFont="1" applyFill="1"/>
    <xf numFmtId="0" fontId="4" fillId="0" borderId="0" xfId="29" applyFont="1" applyAlignment="1">
      <alignment horizontal="center"/>
    </xf>
    <xf numFmtId="164" fontId="4" fillId="0" borderId="0" xfId="2" applyNumberFormat="1" applyFont="1" applyFill="1" applyAlignment="1">
      <alignment horizontal="center"/>
    </xf>
    <xf numFmtId="5" fontId="4" fillId="0" borderId="0" xfId="29" applyNumberFormat="1" applyFont="1" applyAlignment="1">
      <alignment horizontal="center"/>
    </xf>
    <xf numFmtId="0" fontId="4" fillId="0" borderId="0" xfId="29" applyFont="1" applyAlignment="1">
      <alignment horizontal="left"/>
    </xf>
    <xf numFmtId="0" fontId="4" fillId="0" borderId="0" xfId="29" quotePrefix="1" applyFont="1" applyFill="1" applyAlignment="1">
      <alignment horizontal="center"/>
    </xf>
    <xf numFmtId="0" fontId="4" fillId="0" borderId="0" xfId="29" applyFont="1" applyFill="1" applyBorder="1" applyAlignment="1">
      <alignment horizontal="center"/>
    </xf>
    <xf numFmtId="3" fontId="4" fillId="0" borderId="0" xfId="29" applyNumberFormat="1" applyFont="1" applyFill="1"/>
    <xf numFmtId="3" fontId="4" fillId="0" borderId="0" xfId="29" applyNumberFormat="1" applyFont="1"/>
    <xf numFmtId="164" fontId="4" fillId="0" borderId="0" xfId="2" applyNumberFormat="1" applyFont="1" applyFill="1"/>
    <xf numFmtId="171" fontId="4" fillId="0" borderId="0" xfId="29" applyNumberFormat="1" applyFont="1"/>
    <xf numFmtId="172" fontId="4" fillId="0" borderId="0" xfId="29" applyNumberFormat="1" applyFont="1" applyFill="1"/>
    <xf numFmtId="10" fontId="4" fillId="0" borderId="0" xfId="29" applyNumberFormat="1" applyFont="1"/>
    <xf numFmtId="10" fontId="4" fillId="0" borderId="0" xfId="23" applyNumberFormat="1" applyFont="1"/>
    <xf numFmtId="5" fontId="4" fillId="0" borderId="0" xfId="29" applyNumberFormat="1" applyFont="1"/>
    <xf numFmtId="3" fontId="6" fillId="0" borderId="0" xfId="29" applyNumberFormat="1" applyFont="1" applyFill="1"/>
    <xf numFmtId="3" fontId="6" fillId="0" borderId="0" xfId="29" applyNumberFormat="1" applyFont="1"/>
    <xf numFmtId="164" fontId="6" fillId="0" borderId="0" xfId="2" applyNumberFormat="1" applyFont="1" applyFill="1"/>
    <xf numFmtId="171" fontId="6" fillId="0" borderId="0" xfId="29" applyNumberFormat="1" applyFont="1"/>
    <xf numFmtId="10" fontId="6" fillId="0" borderId="0" xfId="29" applyNumberFormat="1" applyFont="1"/>
    <xf numFmtId="5" fontId="6" fillId="0" borderId="0" xfId="29" applyNumberFormat="1" applyFont="1"/>
    <xf numFmtId="164" fontId="4" fillId="0" borderId="0" xfId="2" applyNumberFormat="1" applyFont="1" applyFill="1" applyAlignment="1">
      <alignment horizontal="right"/>
    </xf>
    <xf numFmtId="0" fontId="4" fillId="0" borderId="0" xfId="29" quotePrefix="1" applyFont="1" applyAlignment="1">
      <alignment horizontal="right"/>
    </xf>
    <xf numFmtId="0" fontId="6" fillId="0" borderId="0" xfId="29" applyFont="1" applyAlignment="1">
      <alignment horizontal="center" wrapText="1"/>
    </xf>
    <xf numFmtId="0" fontId="4" fillId="0" borderId="0" xfId="19" quotePrefix="1" applyFont="1"/>
    <xf numFmtId="37" fontId="4" fillId="0" borderId="0" xfId="16" applyNumberFormat="1" applyFill="1" applyBorder="1" applyAlignment="1">
      <alignment horizontal="right"/>
    </xf>
    <xf numFmtId="37" fontId="4" fillId="0" borderId="1" xfId="16" applyNumberFormat="1" applyFill="1" applyBorder="1"/>
    <xf numFmtId="37" fontId="4" fillId="0" borderId="0" xfId="1" applyFont="1" applyBorder="1"/>
    <xf numFmtId="10" fontId="10" fillId="0" borderId="0" xfId="16" applyNumberFormat="1" applyFont="1" applyFill="1" applyBorder="1" applyAlignment="1" applyProtection="1">
      <alignment horizontal="center" wrapText="1"/>
    </xf>
    <xf numFmtId="0" fontId="4" fillId="0" borderId="0" xfId="16" applyFont="1" applyBorder="1" applyAlignment="1"/>
    <xf numFmtId="0" fontId="4" fillId="0" borderId="0" xfId="16" applyFont="1" applyFill="1" applyBorder="1" applyAlignment="1">
      <alignment horizontal="left"/>
    </xf>
    <xf numFmtId="0" fontId="4" fillId="0" borderId="0" xfId="16" applyBorder="1" applyAlignment="1"/>
    <xf numFmtId="0" fontId="4" fillId="0" borderId="0" xfId="16" applyFont="1" applyBorder="1" applyAlignment="1">
      <alignment wrapText="1"/>
    </xf>
    <xf numFmtId="38" fontId="17" fillId="0" borderId="0" xfId="13" applyFont="1" applyBorder="1" applyAlignment="1"/>
    <xf numFmtId="0" fontId="31" fillId="0" borderId="0" xfId="16" applyFont="1" applyFill="1" applyBorder="1" applyAlignment="1">
      <alignment horizontal="left"/>
    </xf>
    <xf numFmtId="0" fontId="31" fillId="0" borderId="0" xfId="16" applyFont="1" applyBorder="1" applyAlignment="1"/>
    <xf numFmtId="0" fontId="32" fillId="0" borderId="0" xfId="16" applyFont="1" applyFill="1" applyBorder="1" applyAlignment="1">
      <alignment horizontal="left"/>
    </xf>
    <xf numFmtId="0" fontId="32" fillId="0" borderId="0" xfId="16" applyFont="1" applyBorder="1" applyAlignment="1"/>
    <xf numFmtId="0" fontId="4" fillId="0" borderId="0" xfId="19" applyFont="1" applyAlignment="1">
      <alignment wrapText="1"/>
    </xf>
    <xf numFmtId="0" fontId="8" fillId="0" borderId="0" xfId="19" applyAlignment="1">
      <alignment wrapText="1"/>
    </xf>
  </cellXfs>
  <cellStyles count="30">
    <cellStyle name="Comma" xfId="1" builtinId="3" customBuiltin="1"/>
    <cellStyle name="Comma 2" xfId="2"/>
    <cellStyle name="Comma 3" xfId="3"/>
    <cellStyle name="Comma 4" xfId="4"/>
    <cellStyle name="Comma 5" xfId="5"/>
    <cellStyle name="Comma 6" xfId="6"/>
    <cellStyle name="Comma 7" xfId="7"/>
    <cellStyle name="Currency" xfId="8" builtinId="4"/>
    <cellStyle name="Currency 2" xfId="9"/>
    <cellStyle name="Currency 3" xfId="10"/>
    <cellStyle name="Currency 4" xfId="11"/>
    <cellStyle name="Currency 5" xfId="28"/>
    <cellStyle name="Normal" xfId="0" builtinId="0"/>
    <cellStyle name="Normal 2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_FY2009_NEW_ULA_DSH_ANAL" xfId="20"/>
    <cellStyle name="Normal_IP Disproport share 08_09 rates" xfId="29"/>
    <cellStyle name="Normal_Report550(Statewide) 1 " xfId="21"/>
    <cellStyle name="Normal_UCC DSH 12-31-07 Qt Payments" xfId="22"/>
    <cellStyle name="Percent 2" xfId="23"/>
    <cellStyle name="Percent 3" xfId="24"/>
    <cellStyle name="Percent 4" xfId="25"/>
    <cellStyle name="Percent 5" xfId="26"/>
    <cellStyle name="Percent 6" xfId="27"/>
  </cellStyles>
  <dxfs count="36">
    <dxf>
      <font>
        <b/>
        <i val="0"/>
        <condense val="0"/>
        <extend val="0"/>
        <color auto="1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strike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9-53_DSH_Audit/FFY12/12_Report_550_All_Hospit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inowskis/AppData/Local/Microsoft/Windows/Temporary%20Internet%20Files/Content.Outlook/AU9O5QUU/Low%20Cost%20High%20Gov%20%25%20Rate%20Adj%202013%20%201-22-13%20%25%20Disch_SM_OPM_RC_JL_v6FINAL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_550_Statewide"/>
      <sheetName val="BCKUS"/>
      <sheetName val="BRGPT"/>
      <sheetName val="BRSTL"/>
      <sheetName val="CTCMC"/>
      <sheetName val="DANBY"/>
      <sheetName val="DAYKM"/>
      <sheetName val="DMPSY"/>
      <sheetName val="GRENH"/>
      <sheetName val="GRIFN"/>
      <sheetName val="HARTF"/>
      <sheetName val="HGRFD"/>
      <sheetName val="HOCCT"/>
      <sheetName val="JNSON"/>
      <sheetName val="lamem"/>
      <sheetName val="MANCH"/>
      <sheetName val="MIDSX"/>
      <sheetName val="MIDST"/>
      <sheetName val="MILFD"/>
      <sheetName val="NMILF"/>
      <sheetName val="NRWLK"/>
      <sheetName val="RKVLE"/>
      <sheetName val="SAFNS"/>
      <sheetName val="SAMRY"/>
      <sheetName val="SARPH"/>
      <sheetName val="SAVCT"/>
      <sheetName val="sharn"/>
      <sheetName val="STMFD"/>
      <sheetName val="WATBY"/>
      <sheetName val="WNDHM"/>
      <sheetName val="YNHAV"/>
      <sheetName val="11_UCT_CHGS_PMTS"/>
      <sheetName val="12_UCT_CHGS_PMTS"/>
      <sheetName val="ESSSN"/>
    </sheetNames>
    <sheetDataSet>
      <sheetData sheetId="0">
        <row r="138">
          <cell r="C138">
            <v>6932</v>
          </cell>
        </row>
      </sheetData>
      <sheetData sheetId="1">
        <row r="138">
          <cell r="C138">
            <v>5200</v>
          </cell>
        </row>
        <row r="140">
          <cell r="C140">
            <v>2318</v>
          </cell>
        </row>
        <row r="145">
          <cell r="C145">
            <v>11999</v>
          </cell>
        </row>
        <row r="197">
          <cell r="C197">
            <v>252073735</v>
          </cell>
        </row>
        <row r="211">
          <cell r="C211">
            <v>15383.177000000001</v>
          </cell>
        </row>
        <row r="223">
          <cell r="C223">
            <v>18580.507729947833</v>
          </cell>
        </row>
      </sheetData>
      <sheetData sheetId="2">
        <row r="138">
          <cell r="C138">
            <v>6932</v>
          </cell>
        </row>
        <row r="140">
          <cell r="C140">
            <v>6004</v>
          </cell>
        </row>
        <row r="145">
          <cell r="C145">
            <v>19058</v>
          </cell>
        </row>
        <row r="197">
          <cell r="C197">
            <v>383278000</v>
          </cell>
        </row>
        <row r="211">
          <cell r="C211">
            <v>24656.501099999998</v>
          </cell>
        </row>
        <row r="223">
          <cell r="C223">
            <v>15281.181262142643</v>
          </cell>
        </row>
      </sheetData>
      <sheetData sheetId="3">
        <row r="138">
          <cell r="C138">
            <v>3378</v>
          </cell>
        </row>
        <row r="140">
          <cell r="C140">
            <v>1593</v>
          </cell>
        </row>
        <row r="145">
          <cell r="C145">
            <v>7316</v>
          </cell>
        </row>
        <row r="197">
          <cell r="C197">
            <v>131894527</v>
          </cell>
        </row>
        <row r="211">
          <cell r="C211">
            <v>8138.2048000000004</v>
          </cell>
        </row>
        <row r="223">
          <cell r="C223">
            <v>12756.047702983393</v>
          </cell>
        </row>
      </sheetData>
      <sheetData sheetId="4">
        <row r="138">
          <cell r="C138">
            <v>2368</v>
          </cell>
        </row>
      </sheetData>
      <sheetData sheetId="5">
        <row r="138">
          <cell r="C138">
            <v>9495</v>
          </cell>
        </row>
        <row r="140">
          <cell r="C140">
            <v>3069</v>
          </cell>
        </row>
        <row r="145">
          <cell r="C145">
            <v>20763</v>
          </cell>
        </row>
        <row r="197">
          <cell r="C197">
            <v>495471968</v>
          </cell>
        </row>
        <row r="211">
          <cell r="C211">
            <v>25582.591899999999</v>
          </cell>
        </row>
        <row r="223">
          <cell r="C223">
            <v>22771.8295115078</v>
          </cell>
        </row>
      </sheetData>
      <sheetData sheetId="6">
        <row r="138">
          <cell r="C138">
            <v>2368</v>
          </cell>
        </row>
        <row r="140">
          <cell r="C140">
            <v>1240</v>
          </cell>
        </row>
        <row r="145">
          <cell r="C145">
            <v>5182</v>
          </cell>
        </row>
        <row r="197">
          <cell r="C197">
            <v>108436817</v>
          </cell>
        </row>
        <row r="211">
          <cell r="C211">
            <v>5127.0519999999997</v>
          </cell>
        </row>
        <row r="223">
          <cell r="C223">
            <v>12436.318711506014</v>
          </cell>
        </row>
      </sheetData>
      <sheetData sheetId="7">
        <row r="138">
          <cell r="C138">
            <v>3811</v>
          </cell>
        </row>
        <row r="140">
          <cell r="C140">
            <v>1872</v>
          </cell>
        </row>
        <row r="145">
          <cell r="C145">
            <v>9082</v>
          </cell>
        </row>
        <row r="197">
          <cell r="C197">
            <v>262964301</v>
          </cell>
        </row>
        <row r="211">
          <cell r="C211">
            <v>13210.320499999998</v>
          </cell>
        </row>
        <row r="223">
          <cell r="C223">
            <v>10141.438533072545</v>
          </cell>
        </row>
      </sheetData>
      <sheetData sheetId="8">
        <row r="138">
          <cell r="C138">
            <v>5255</v>
          </cell>
        </row>
        <row r="140">
          <cell r="C140">
            <v>445</v>
          </cell>
        </row>
        <row r="145">
          <cell r="C145">
            <v>13479</v>
          </cell>
        </row>
        <row r="197">
          <cell r="C197">
            <v>305925000</v>
          </cell>
        </row>
        <row r="211">
          <cell r="C211">
            <v>15200.414499999999</v>
          </cell>
        </row>
        <row r="223">
          <cell r="C223">
            <v>18867.217718013813</v>
          </cell>
        </row>
      </sheetData>
      <sheetData sheetId="9">
        <row r="138">
          <cell r="C138">
            <v>3482</v>
          </cell>
        </row>
        <row r="140">
          <cell r="C140">
            <v>1306</v>
          </cell>
        </row>
        <row r="145">
          <cell r="C145">
            <v>7494</v>
          </cell>
        </row>
        <row r="197">
          <cell r="C197">
            <v>126168018</v>
          </cell>
        </row>
        <row r="211">
          <cell r="C211">
            <v>8248.6061399999999</v>
          </cell>
        </row>
        <row r="223">
          <cell r="C223">
            <v>8990.328767998577</v>
          </cell>
        </row>
      </sheetData>
      <sheetData sheetId="10">
        <row r="138">
          <cell r="C138">
            <v>15795</v>
          </cell>
        </row>
        <row r="140">
          <cell r="C140">
            <v>9492</v>
          </cell>
        </row>
        <row r="145">
          <cell r="C145">
            <v>40674</v>
          </cell>
        </row>
        <row r="197">
          <cell r="C197">
            <v>963927041</v>
          </cell>
        </row>
        <row r="211">
          <cell r="C211">
            <v>62641.797299999998</v>
          </cell>
        </row>
        <row r="223">
          <cell r="C223">
            <v>20913.912744909623</v>
          </cell>
        </row>
      </sheetData>
      <sheetData sheetId="11">
        <row r="138">
          <cell r="C138">
            <v>3532</v>
          </cell>
        </row>
        <row r="140">
          <cell r="C140">
            <v>1192</v>
          </cell>
        </row>
        <row r="145">
          <cell r="C145">
            <v>6512</v>
          </cell>
        </row>
        <row r="197">
          <cell r="C197">
            <v>113880767</v>
          </cell>
        </row>
        <row r="211">
          <cell r="C211">
            <v>8189.2769000000008</v>
          </cell>
        </row>
        <row r="223">
          <cell r="C223">
            <v>9775.8689240536933</v>
          </cell>
        </row>
      </sheetData>
      <sheetData sheetId="12">
        <row r="138">
          <cell r="C138">
            <v>9651</v>
          </cell>
        </row>
        <row r="140">
          <cell r="C140">
            <v>4816</v>
          </cell>
        </row>
        <row r="145">
          <cell r="C145">
            <v>20546</v>
          </cell>
        </row>
        <row r="197">
          <cell r="C197">
            <v>368573386</v>
          </cell>
        </row>
        <row r="211">
          <cell r="C211">
            <v>24038.309400000002</v>
          </cell>
        </row>
        <row r="223">
          <cell r="C223">
            <v>20329.619301157814</v>
          </cell>
        </row>
      </sheetData>
      <sheetData sheetId="13">
        <row r="138">
          <cell r="C138">
            <v>1616</v>
          </cell>
        </row>
        <row r="140">
          <cell r="C140">
            <v>643</v>
          </cell>
        </row>
        <row r="145">
          <cell r="C145">
            <v>3268</v>
          </cell>
        </row>
        <row r="197">
          <cell r="C197">
            <v>61577163</v>
          </cell>
        </row>
        <row r="211">
          <cell r="C211">
            <v>3770.99629</v>
          </cell>
        </row>
        <row r="223">
          <cell r="C223">
            <v>5042.0335173352187</v>
          </cell>
        </row>
      </sheetData>
      <sheetData sheetId="14">
        <row r="138">
          <cell r="C138">
            <v>6897</v>
          </cell>
        </row>
        <row r="140">
          <cell r="C140">
            <v>3192</v>
          </cell>
        </row>
        <row r="145">
          <cell r="C145">
            <v>15328</v>
          </cell>
        </row>
        <row r="197">
          <cell r="C197">
            <v>312331109</v>
          </cell>
        </row>
        <row r="211">
          <cell r="C211">
            <v>18589.820599999999</v>
          </cell>
        </row>
        <row r="223">
          <cell r="C223">
            <v>21196.10910085791</v>
          </cell>
        </row>
      </sheetData>
      <sheetData sheetId="15">
        <row r="138">
          <cell r="C138">
            <v>3626</v>
          </cell>
        </row>
        <row r="140">
          <cell r="C140">
            <v>1854</v>
          </cell>
        </row>
        <row r="145">
          <cell r="C145">
            <v>9281</v>
          </cell>
        </row>
        <row r="197">
          <cell r="C197">
            <v>173322666</v>
          </cell>
        </row>
        <row r="211">
          <cell r="C211">
            <v>10402.089100000001</v>
          </cell>
        </row>
        <row r="223">
          <cell r="C223">
            <v>18953.415714222196</v>
          </cell>
        </row>
      </sheetData>
      <sheetData sheetId="16">
        <row r="138">
          <cell r="C138">
            <v>7373</v>
          </cell>
        </row>
        <row r="140">
          <cell r="C140">
            <v>2028</v>
          </cell>
        </row>
        <row r="145">
          <cell r="C145">
            <v>13855</v>
          </cell>
        </row>
        <row r="197">
          <cell r="C197">
            <v>328515648</v>
          </cell>
        </row>
        <row r="211">
          <cell r="C211">
            <v>16812.580000000002</v>
          </cell>
        </row>
        <row r="223">
          <cell r="C223">
            <v>16985.757709323792</v>
          </cell>
        </row>
      </sheetData>
      <sheetData sheetId="17">
        <row r="138">
          <cell r="C138">
            <v>4826</v>
          </cell>
        </row>
        <row r="140">
          <cell r="C140">
            <v>2106</v>
          </cell>
        </row>
        <row r="145">
          <cell r="C145">
            <v>10235</v>
          </cell>
        </row>
        <row r="197">
          <cell r="C197">
            <v>203675287</v>
          </cell>
        </row>
        <row r="211">
          <cell r="C211">
            <v>12088.59087</v>
          </cell>
        </row>
        <row r="223">
          <cell r="C223">
            <v>12085.358293771213</v>
          </cell>
        </row>
      </sheetData>
      <sheetData sheetId="18">
        <row r="138">
          <cell r="C138">
            <v>2050</v>
          </cell>
        </row>
        <row r="140">
          <cell r="C140">
            <v>517</v>
          </cell>
        </row>
        <row r="145">
          <cell r="C145">
            <v>4374</v>
          </cell>
        </row>
        <row r="197">
          <cell r="C197">
            <v>85587522</v>
          </cell>
        </row>
        <row r="211">
          <cell r="C211">
            <v>5683.8056199999992</v>
          </cell>
        </row>
        <row r="223">
          <cell r="C223">
            <v>4721.0212284603231</v>
          </cell>
        </row>
      </sheetData>
      <sheetData sheetId="19">
        <row r="138">
          <cell r="C138">
            <v>1199</v>
          </cell>
        </row>
        <row r="140">
          <cell r="C140">
            <v>236</v>
          </cell>
        </row>
        <row r="145">
          <cell r="C145">
            <v>2516</v>
          </cell>
        </row>
        <row r="197">
          <cell r="C197">
            <v>93915766</v>
          </cell>
        </row>
        <row r="211">
          <cell r="C211">
            <v>3073.9465</v>
          </cell>
        </row>
        <row r="223">
          <cell r="C223">
            <v>6896.7700968596255</v>
          </cell>
        </row>
      </sheetData>
      <sheetData sheetId="20">
        <row r="138">
          <cell r="C138">
            <v>6008</v>
          </cell>
        </row>
        <row r="140">
          <cell r="C140">
            <v>3038</v>
          </cell>
        </row>
        <row r="145">
          <cell r="C145">
            <v>14878</v>
          </cell>
        </row>
        <row r="197">
          <cell r="C197">
            <v>338475864</v>
          </cell>
        </row>
        <row r="211">
          <cell r="C211">
            <v>17450.07329</v>
          </cell>
        </row>
        <row r="223">
          <cell r="C223">
            <v>14587.901294531577</v>
          </cell>
        </row>
      </sheetData>
      <sheetData sheetId="21">
        <row r="138">
          <cell r="C138">
            <v>1581</v>
          </cell>
        </row>
        <row r="140">
          <cell r="C140">
            <v>268</v>
          </cell>
        </row>
        <row r="145">
          <cell r="C145">
            <v>2515</v>
          </cell>
        </row>
        <row r="197">
          <cell r="C197">
            <v>68017199</v>
          </cell>
        </row>
        <row r="211">
          <cell r="C211">
            <v>3513.4852099999998</v>
          </cell>
        </row>
        <row r="223">
          <cell r="C223">
            <v>4806.9404522653267</v>
          </cell>
        </row>
      </sheetData>
      <sheetData sheetId="22">
        <row r="138">
          <cell r="C138">
            <v>13685</v>
          </cell>
        </row>
        <row r="140">
          <cell r="C140">
            <v>7447</v>
          </cell>
        </row>
        <row r="145">
          <cell r="C145">
            <v>31842</v>
          </cell>
        </row>
        <row r="197">
          <cell r="C197">
            <v>646777800</v>
          </cell>
        </row>
        <row r="211">
          <cell r="C211">
            <v>46821.602899999998</v>
          </cell>
        </row>
        <row r="223">
          <cell r="C223">
            <v>24836.273116788008</v>
          </cell>
        </row>
      </sheetData>
      <sheetData sheetId="23">
        <row r="138">
          <cell r="C138">
            <v>5576</v>
          </cell>
        </row>
        <row r="140">
          <cell r="C140">
            <v>3197</v>
          </cell>
        </row>
        <row r="145">
          <cell r="C145">
            <v>12534</v>
          </cell>
        </row>
        <row r="197">
          <cell r="C197">
            <v>205686874</v>
          </cell>
        </row>
        <row r="211">
          <cell r="C211">
            <v>16285.768099999999</v>
          </cell>
        </row>
        <row r="223">
          <cell r="C223">
            <v>14470.757185871806</v>
          </cell>
        </row>
      </sheetData>
      <sheetData sheetId="24">
        <row r="138">
          <cell r="C138">
            <v>12686</v>
          </cell>
        </row>
        <row r="140">
          <cell r="C140">
            <v>3916</v>
          </cell>
        </row>
        <row r="145">
          <cell r="C145">
            <v>22801</v>
          </cell>
        </row>
        <row r="197">
          <cell r="C197">
            <v>498321475</v>
          </cell>
        </row>
        <row r="211">
          <cell r="C211">
            <v>33435.565839999996</v>
          </cell>
        </row>
        <row r="223">
          <cell r="C223">
            <v>11842.917585680048</v>
          </cell>
        </row>
      </sheetData>
      <sheetData sheetId="25">
        <row r="138">
          <cell r="C138">
            <v>10164</v>
          </cell>
        </row>
        <row r="140">
          <cell r="C140">
            <v>4488</v>
          </cell>
        </row>
        <row r="145">
          <cell r="C145">
            <v>22100</v>
          </cell>
        </row>
        <row r="197">
          <cell r="C197">
            <v>382310000</v>
          </cell>
        </row>
        <row r="211">
          <cell r="C211">
            <v>28894.015500000001</v>
          </cell>
        </row>
        <row r="223">
          <cell r="C223">
            <v>11191.152002226034</v>
          </cell>
        </row>
      </sheetData>
      <sheetData sheetId="26">
        <row r="138">
          <cell r="C138">
            <v>1530</v>
          </cell>
        </row>
        <row r="140">
          <cell r="C140">
            <v>223</v>
          </cell>
        </row>
        <row r="145">
          <cell r="C145">
            <v>2703</v>
          </cell>
        </row>
        <row r="197">
          <cell r="C197">
            <v>53061849</v>
          </cell>
        </row>
        <row r="211">
          <cell r="C211">
            <v>2984.8303000000001</v>
          </cell>
        </row>
        <row r="223">
          <cell r="C223">
            <v>3703.1328402270601</v>
          </cell>
        </row>
      </sheetData>
      <sheetData sheetId="27">
        <row r="138">
          <cell r="C138">
            <v>5251</v>
          </cell>
        </row>
        <row r="140">
          <cell r="C140">
            <v>3039</v>
          </cell>
        </row>
        <row r="145">
          <cell r="C145">
            <v>14940</v>
          </cell>
        </row>
        <row r="197">
          <cell r="C197">
            <v>461480665</v>
          </cell>
        </row>
        <row r="211">
          <cell r="C211">
            <v>18320.263609999998</v>
          </cell>
        </row>
        <row r="223">
          <cell r="C223">
            <v>22705.58337954916</v>
          </cell>
        </row>
      </sheetData>
      <sheetData sheetId="28">
        <row r="138">
          <cell r="C138">
            <v>5972</v>
          </cell>
        </row>
        <row r="140">
          <cell r="C140">
            <v>3059</v>
          </cell>
        </row>
        <row r="145">
          <cell r="C145">
            <v>12758</v>
          </cell>
        </row>
        <row r="197">
          <cell r="C197">
            <v>235702997</v>
          </cell>
        </row>
        <row r="211">
          <cell r="C211">
            <v>17061.545600000001</v>
          </cell>
        </row>
        <row r="223">
          <cell r="C223">
            <v>8236.995382828678</v>
          </cell>
        </row>
      </sheetData>
      <sheetData sheetId="29">
        <row r="15">
          <cell r="X15">
            <v>10926316</v>
          </cell>
        </row>
        <row r="138">
          <cell r="C138">
            <v>2372</v>
          </cell>
        </row>
        <row r="140">
          <cell r="C140">
            <v>1035</v>
          </cell>
        </row>
        <row r="145">
          <cell r="C145">
            <v>4701</v>
          </cell>
        </row>
        <row r="197">
          <cell r="C197">
            <v>92639489</v>
          </cell>
        </row>
        <row r="211">
          <cell r="C211">
            <v>5179.7664999999997</v>
          </cell>
        </row>
        <row r="223">
          <cell r="C223">
            <v>9251.9237612292418</v>
          </cell>
        </row>
      </sheetData>
      <sheetData sheetId="30">
        <row r="15">
          <cell r="X15">
            <v>10267905</v>
          </cell>
        </row>
        <row r="138">
          <cell r="C138">
            <v>17747</v>
          </cell>
        </row>
        <row r="140">
          <cell r="C140">
            <v>16249</v>
          </cell>
        </row>
        <row r="145">
          <cell r="C145">
            <v>57451</v>
          </cell>
        </row>
        <row r="197">
          <cell r="C197">
            <v>1435807000</v>
          </cell>
        </row>
        <row r="211">
          <cell r="C211">
            <v>83700.003899999996</v>
          </cell>
        </row>
        <row r="223">
          <cell r="C223">
            <v>29010.791887893702</v>
          </cell>
        </row>
      </sheetData>
      <sheetData sheetId="31">
        <row r="15">
          <cell r="X15">
            <v>10926316</v>
          </cell>
        </row>
      </sheetData>
      <sheetData sheetId="32">
        <row r="15">
          <cell r="X15">
            <v>10267905</v>
          </cell>
        </row>
      </sheetData>
      <sheetData sheetId="33">
        <row r="138">
          <cell r="C138">
            <v>5972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's proposal"/>
      <sheetName val="DSS_proposed"/>
    </sheetNames>
    <sheetDataSet>
      <sheetData sheetId="0">
        <row r="6">
          <cell r="T6">
            <v>0</v>
          </cell>
        </row>
        <row r="7">
          <cell r="T7">
            <v>0</v>
          </cell>
        </row>
        <row r="8">
          <cell r="T8">
            <v>2165858.73</v>
          </cell>
        </row>
        <row r="9">
          <cell r="T9">
            <v>0</v>
          </cell>
        </row>
        <row r="10">
          <cell r="T10">
            <v>0</v>
          </cell>
        </row>
        <row r="11">
          <cell r="T11">
            <v>1343044</v>
          </cell>
        </row>
        <row r="12">
          <cell r="T12">
            <v>0</v>
          </cell>
        </row>
        <row r="13">
          <cell r="T13">
            <v>0</v>
          </cell>
        </row>
        <row r="14">
          <cell r="T14">
            <v>946601.86000000057</v>
          </cell>
        </row>
        <row r="15">
          <cell r="T15">
            <v>0</v>
          </cell>
        </row>
        <row r="16">
          <cell r="T16">
            <v>3753253.28</v>
          </cell>
        </row>
        <row r="17">
          <cell r="T17">
            <v>1012806.6400000001</v>
          </cell>
        </row>
        <row r="18">
          <cell r="T18">
            <v>1109039.97</v>
          </cell>
        </row>
        <row r="19">
          <cell r="T19">
            <v>1369623.3599999999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2209720.5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340606.56</v>
          </cell>
        </row>
        <row r="27">
          <cell r="T27">
            <v>335140.00999999995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1160980.1999999997</v>
          </cell>
        </row>
        <row r="35">
          <cell r="T3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46"/>
  <sheetViews>
    <sheetView tabSelected="1" zoomScaleNormal="100" zoomScaleSheetLayoutView="100" workbookViewId="0">
      <selection activeCell="B16" sqref="B16"/>
    </sheetView>
  </sheetViews>
  <sheetFormatPr defaultColWidth="12.5546875" defaultRowHeight="13.2" x14ac:dyDescent="0.25"/>
  <cols>
    <col min="1" max="1" width="12.88671875" style="64" customWidth="1"/>
    <col min="2" max="2" width="14.6640625" style="64" customWidth="1"/>
    <col min="3" max="3" width="10" style="64" customWidth="1"/>
    <col min="4" max="4" width="15.5546875" style="64" customWidth="1"/>
    <col min="5" max="5" width="11.109375" style="64" customWidth="1"/>
    <col min="6" max="6" width="14.88671875" style="64" customWidth="1"/>
    <col min="7" max="7" width="11.6640625" style="64" customWidth="1"/>
    <col min="8" max="8" width="11" style="64" customWidth="1"/>
    <col min="9" max="9" width="12" style="64" customWidth="1"/>
    <col min="10" max="10" width="9.44140625" style="64" bestFit="1" customWidth="1"/>
    <col min="11" max="11" width="12" style="64" customWidth="1"/>
    <col min="12" max="12" width="13.88671875" style="64" customWidth="1"/>
    <col min="13" max="13" width="13.88671875" style="64" bestFit="1" customWidth="1"/>
    <col min="14" max="14" width="13.88671875" style="64" customWidth="1"/>
    <col min="15" max="243" width="9.109375" style="64" customWidth="1"/>
    <col min="244" max="244" width="12.88671875" style="64" customWidth="1"/>
    <col min="245" max="245" width="13.6640625" style="64" customWidth="1"/>
    <col min="246" max="246" width="15.33203125" style="64" customWidth="1"/>
    <col min="247" max="247" width="15.5546875" style="64" customWidth="1"/>
    <col min="248" max="16384" width="12.5546875" style="64"/>
  </cols>
  <sheetData>
    <row r="1" spans="1:14" ht="23.25" customHeight="1" x14ac:dyDescent="0.3">
      <c r="A1" s="130" t="s">
        <v>111</v>
      </c>
      <c r="B1" s="129"/>
      <c r="C1" s="126"/>
      <c r="D1" s="126"/>
      <c r="E1" s="126"/>
      <c r="F1" s="126"/>
      <c r="G1" s="115"/>
      <c r="H1" s="115"/>
      <c r="L1" s="115"/>
      <c r="M1" s="115"/>
      <c r="N1" s="115"/>
    </row>
    <row r="2" spans="1:14" ht="18" hidden="1" customHeight="1" x14ac:dyDescent="0.3">
      <c r="A2" s="129"/>
      <c r="B2" s="129"/>
      <c r="C2" s="126"/>
      <c r="D2" s="126"/>
      <c r="E2" s="126"/>
      <c r="F2" s="126"/>
      <c r="G2" s="115"/>
      <c r="H2" s="115"/>
      <c r="I2" s="115"/>
      <c r="J2" s="115"/>
      <c r="K2" s="115"/>
      <c r="L2" s="115"/>
      <c r="M2" s="115"/>
      <c r="N2" s="115"/>
    </row>
    <row r="3" spans="1:14" ht="16.5" hidden="1" customHeight="1" x14ac:dyDescent="0.3">
      <c r="A3" s="135"/>
      <c r="B3" s="129"/>
      <c r="C3" s="131"/>
      <c r="D3" s="126"/>
      <c r="E3" s="126"/>
      <c r="F3" s="126"/>
      <c r="G3" s="115"/>
      <c r="H3" s="115"/>
      <c r="I3" s="115"/>
      <c r="J3" s="115"/>
      <c r="K3" s="115"/>
      <c r="L3" s="115"/>
      <c r="M3" s="115"/>
      <c r="N3" s="115"/>
    </row>
    <row r="4" spans="1:14" ht="18" hidden="1" customHeight="1" x14ac:dyDescent="0.3">
      <c r="A4" s="135"/>
      <c r="B4" s="129"/>
      <c r="C4" s="131"/>
      <c r="D4" s="126"/>
      <c r="E4" s="126"/>
      <c r="F4" s="126"/>
      <c r="G4" s="113"/>
      <c r="H4" s="113"/>
      <c r="I4" s="113"/>
      <c r="J4" s="113"/>
      <c r="K4" s="113"/>
      <c r="L4" s="113"/>
      <c r="M4" s="113"/>
      <c r="N4" s="113"/>
    </row>
    <row r="5" spans="1:14" ht="18" hidden="1" customHeight="1" x14ac:dyDescent="0.3">
      <c r="A5" s="135"/>
      <c r="B5" s="129"/>
      <c r="C5" s="131"/>
      <c r="D5" s="126"/>
      <c r="E5" s="126"/>
      <c r="F5" s="126"/>
      <c r="G5" s="115"/>
      <c r="H5" s="115"/>
      <c r="I5" s="115"/>
      <c r="J5" s="115"/>
      <c r="K5" s="115"/>
      <c r="L5" s="115"/>
      <c r="M5" s="115"/>
      <c r="N5" s="115"/>
    </row>
    <row r="6" spans="1:14" ht="39" hidden="1" customHeight="1" x14ac:dyDescent="0.3">
      <c r="A6" s="130"/>
      <c r="B6" s="129"/>
      <c r="C6" s="131"/>
      <c r="D6" s="126"/>
      <c r="E6" s="126"/>
      <c r="F6" s="126"/>
      <c r="G6" s="113"/>
      <c r="H6" s="113"/>
      <c r="I6" s="113"/>
      <c r="J6" s="113"/>
      <c r="K6" s="113"/>
      <c r="L6" s="113"/>
      <c r="M6" s="113"/>
      <c r="N6" s="113"/>
    </row>
    <row r="7" spans="1:14" ht="4.5" customHeight="1" x14ac:dyDescent="0.3">
      <c r="B7" s="129"/>
      <c r="C7" s="126"/>
      <c r="D7" s="126"/>
      <c r="E7" s="126"/>
      <c r="F7" s="126"/>
      <c r="G7" s="113"/>
      <c r="H7" s="113"/>
      <c r="I7" s="113"/>
      <c r="J7" s="113"/>
      <c r="K7" s="113"/>
      <c r="L7" s="113"/>
      <c r="M7" s="113"/>
      <c r="N7" s="113"/>
    </row>
    <row r="8" spans="1:14" ht="4.5" customHeight="1" x14ac:dyDescent="0.3">
      <c r="A8" s="130"/>
      <c r="B8" s="129"/>
      <c r="C8" s="126"/>
      <c r="D8" s="126"/>
      <c r="E8" s="126"/>
      <c r="F8" s="126"/>
      <c r="G8" s="113"/>
      <c r="H8" s="113"/>
      <c r="I8" s="113"/>
      <c r="J8" s="113"/>
      <c r="K8" s="113"/>
      <c r="L8" s="113"/>
      <c r="M8" s="113"/>
      <c r="N8" s="113"/>
    </row>
    <row r="9" spans="1:14" ht="4.5" customHeight="1" x14ac:dyDescent="0.3">
      <c r="A9" s="130"/>
      <c r="B9" s="129"/>
      <c r="C9" s="126"/>
      <c r="D9" s="126"/>
      <c r="E9" s="126"/>
      <c r="F9" s="126"/>
      <c r="G9" s="113"/>
      <c r="H9" s="113"/>
      <c r="I9" s="113"/>
      <c r="J9" s="113"/>
      <c r="K9" s="113"/>
      <c r="L9" s="113"/>
      <c r="M9" s="113"/>
      <c r="N9" s="113"/>
    </row>
    <row r="10" spans="1:14" ht="14.25" customHeight="1" x14ac:dyDescent="0.25">
      <c r="A10" s="155"/>
      <c r="B10" s="165"/>
      <c r="C10" s="120"/>
      <c r="D10" s="184" t="s">
        <v>93</v>
      </c>
      <c r="E10" s="75"/>
      <c r="F10" s="75" t="s">
        <v>116</v>
      </c>
      <c r="G10" s="128"/>
      <c r="H10" s="128"/>
      <c r="I10" s="128"/>
      <c r="J10" s="128"/>
      <c r="K10" s="128"/>
      <c r="L10" s="128"/>
      <c r="M10" s="128"/>
      <c r="N10" s="128"/>
    </row>
    <row r="11" spans="1:14" ht="3" customHeight="1" x14ac:dyDescent="0.25">
      <c r="A11" s="127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x14ac:dyDescent="0.25">
      <c r="A12" s="115"/>
      <c r="B12" s="125">
        <v>-1</v>
      </c>
      <c r="C12" s="125">
        <v>-2</v>
      </c>
      <c r="D12" s="125">
        <v>-3</v>
      </c>
      <c r="E12" s="125">
        <v>-4</v>
      </c>
      <c r="F12" s="125">
        <v>-5</v>
      </c>
      <c r="G12" s="125">
        <v>-6</v>
      </c>
      <c r="H12" s="125">
        <v>-7</v>
      </c>
      <c r="I12" s="125">
        <v>-8</v>
      </c>
      <c r="J12" s="125">
        <v>-9</v>
      </c>
      <c r="K12" s="125">
        <v>-10</v>
      </c>
      <c r="L12" s="125">
        <v>-11</v>
      </c>
      <c r="M12" s="125">
        <v>-12</v>
      </c>
      <c r="N12" s="125"/>
    </row>
    <row r="13" spans="1:14" x14ac:dyDescent="0.25">
      <c r="A13" s="120"/>
      <c r="B13" s="154" t="s">
        <v>85</v>
      </c>
      <c r="C13" s="154" t="s">
        <v>85</v>
      </c>
      <c r="D13" s="154" t="s">
        <v>85</v>
      </c>
      <c r="E13" s="154" t="s">
        <v>85</v>
      </c>
      <c r="F13" s="154" t="s">
        <v>85</v>
      </c>
      <c r="G13" s="154" t="s">
        <v>85</v>
      </c>
      <c r="H13" s="154" t="s">
        <v>85</v>
      </c>
      <c r="I13" s="85" t="s">
        <v>85</v>
      </c>
      <c r="J13" s="85" t="s">
        <v>85</v>
      </c>
      <c r="K13" s="154" t="s">
        <v>85</v>
      </c>
      <c r="L13" s="85" t="s">
        <v>85</v>
      </c>
      <c r="M13" s="85" t="s">
        <v>85</v>
      </c>
      <c r="N13" s="85"/>
    </row>
    <row r="14" spans="1:14" ht="52.8" x14ac:dyDescent="0.25">
      <c r="A14" s="120"/>
      <c r="B14" s="122" t="s">
        <v>108</v>
      </c>
      <c r="C14" s="122" t="s">
        <v>81</v>
      </c>
      <c r="D14" s="122" t="s">
        <v>112</v>
      </c>
      <c r="E14" s="122" t="s">
        <v>83</v>
      </c>
      <c r="F14" s="122" t="s">
        <v>90</v>
      </c>
      <c r="G14" s="122" t="s">
        <v>92</v>
      </c>
      <c r="H14" s="122" t="s">
        <v>83</v>
      </c>
      <c r="I14" s="122" t="s">
        <v>94</v>
      </c>
      <c r="J14" s="122" t="s">
        <v>114</v>
      </c>
      <c r="K14" s="122" t="s">
        <v>96</v>
      </c>
      <c r="L14" s="142" t="s">
        <v>186</v>
      </c>
      <c r="M14" s="142" t="s">
        <v>187</v>
      </c>
      <c r="N14" s="122"/>
    </row>
    <row r="15" spans="1:14" ht="52.8" x14ac:dyDescent="0.25">
      <c r="A15" s="120"/>
      <c r="B15" s="122" t="s">
        <v>189</v>
      </c>
      <c r="D15" s="122"/>
      <c r="E15" s="122" t="s">
        <v>97</v>
      </c>
      <c r="F15" s="122"/>
      <c r="H15" s="122" t="s">
        <v>95</v>
      </c>
      <c r="I15" s="124"/>
      <c r="J15" s="124"/>
      <c r="K15" s="122"/>
      <c r="L15" s="122"/>
      <c r="N15" s="122"/>
    </row>
    <row r="16" spans="1:14" ht="26.4" x14ac:dyDescent="0.25">
      <c r="A16" s="120"/>
      <c r="B16" s="192"/>
      <c r="C16" s="142" t="s">
        <v>98</v>
      </c>
      <c r="D16" s="122"/>
      <c r="E16" s="142" t="s">
        <v>99</v>
      </c>
      <c r="F16" s="142"/>
      <c r="G16" s="142" t="s">
        <v>100</v>
      </c>
      <c r="H16" s="184"/>
      <c r="I16" s="143"/>
      <c r="J16" s="143"/>
      <c r="L16" s="142"/>
      <c r="N16" s="142"/>
    </row>
    <row r="17" spans="1:14" x14ac:dyDescent="0.25">
      <c r="A17" s="115"/>
      <c r="B17" s="161"/>
      <c r="C17" s="173">
        <v>0.05</v>
      </c>
      <c r="D17" s="162">
        <f>213843423+900000</f>
        <v>214743423</v>
      </c>
      <c r="E17" s="167">
        <v>25000000</v>
      </c>
      <c r="F17" s="162">
        <f>213843423+900000</f>
        <v>214743423</v>
      </c>
      <c r="G17" s="163">
        <v>-1000000</v>
      </c>
      <c r="I17" s="121"/>
      <c r="J17" s="121"/>
      <c r="K17" s="163"/>
      <c r="L17" s="177"/>
      <c r="M17" s="177"/>
      <c r="N17" s="177"/>
    </row>
    <row r="18" spans="1:14" s="183" customFormat="1" ht="26.4" x14ac:dyDescent="0.25">
      <c r="A18" s="75"/>
      <c r="B18" s="190"/>
      <c r="C18" s="142" t="s">
        <v>82</v>
      </c>
      <c r="D18" s="142" t="s">
        <v>89</v>
      </c>
      <c r="E18" s="142"/>
      <c r="F18" s="142" t="s">
        <v>91</v>
      </c>
      <c r="G18" s="142" t="s">
        <v>113</v>
      </c>
      <c r="I18" s="191"/>
      <c r="J18" s="191"/>
      <c r="K18" s="169" t="s">
        <v>183</v>
      </c>
      <c r="L18" s="169" t="s">
        <v>184</v>
      </c>
      <c r="M18" s="142"/>
      <c r="N18" s="169"/>
    </row>
    <row r="19" spans="1:14" x14ac:dyDescent="0.25">
      <c r="A19" s="115" t="s">
        <v>26</v>
      </c>
      <c r="B19" s="158">
        <v>19087378</v>
      </c>
      <c r="C19" s="174">
        <f>B19/B$47</f>
        <v>3.0992240535785229E-2</v>
      </c>
      <c r="D19" s="158">
        <f>C19*D$17</f>
        <v>6655379.8190938737</v>
      </c>
      <c r="E19" s="100">
        <f>VLOOKUP($A19,$A$69:$E$96,5,FALSE)</f>
        <v>2.1453761418567321E-2</v>
      </c>
      <c r="F19" s="153">
        <f t="shared" ref="F19:F46" si="0">E19*F$17</f>
        <v>4607054.1632484822</v>
      </c>
      <c r="G19" s="164">
        <f t="shared" ref="G19:G46" si="1">F19-D19</f>
        <v>-2048325.6558453916</v>
      </c>
      <c r="H19" s="100">
        <f t="shared" ref="H19:H46" si="2">VLOOKUP($A19,$A$69:$E$96,3,FALSE)</f>
        <v>1.4799617138174298E-2</v>
      </c>
      <c r="I19" s="153">
        <f>VLOOKUP(A19,Low_Cost_Hospitals!$A$9:$Q$38,17,FALSE)</f>
        <v>0</v>
      </c>
      <c r="J19" s="153"/>
      <c r="K19" s="164">
        <f t="shared" ref="K19:K46" si="3">IF(D19=0,0,B19-I19-F19-J19)</f>
        <v>14480323.836751517</v>
      </c>
      <c r="L19" s="164">
        <f t="shared" ref="L19:L46" si="4">F19+I19+J19</f>
        <v>4607054.1632484822</v>
      </c>
      <c r="M19" s="187" t="s">
        <v>101</v>
      </c>
      <c r="N19" s="164"/>
    </row>
    <row r="20" spans="1:14" x14ac:dyDescent="0.25">
      <c r="A20" s="115" t="s">
        <v>25</v>
      </c>
      <c r="B20" s="158">
        <v>21000982</v>
      </c>
      <c r="C20" s="174">
        <f t="shared" ref="C20:C46" si="5">B20/B$47</f>
        <v>3.4099365854843758E-2</v>
      </c>
      <c r="D20" s="158">
        <f t="shared" ref="D20:D46" si="6">C20*D$17</f>
        <v>7322614.5457984693</v>
      </c>
      <c r="E20" s="182">
        <f t="shared" ref="E20:E46" si="7">VLOOKUP(A20,$A$69:$E$96,5,FALSE)</f>
        <v>8.1653959878843427E-2</v>
      </c>
      <c r="F20" s="153">
        <f t="shared" si="0"/>
        <v>17534650.845887505</v>
      </c>
      <c r="G20" s="164">
        <f t="shared" si="1"/>
        <v>10212036.300089035</v>
      </c>
      <c r="H20" s="100">
        <f t="shared" si="2"/>
        <v>8.2804133895255691E-2</v>
      </c>
      <c r="I20" s="153">
        <f>VLOOKUP(A20,Low_Cost_Hospitals!$A$9:$Q$38,17,FALSE)</f>
        <v>0</v>
      </c>
      <c r="J20" s="153">
        <v>23044</v>
      </c>
      <c r="K20" s="164">
        <f t="shared" si="3"/>
        <v>3443287.1541124955</v>
      </c>
      <c r="L20" s="164">
        <f t="shared" si="4"/>
        <v>17557694.845887505</v>
      </c>
      <c r="M20" s="187" t="s">
        <v>102</v>
      </c>
      <c r="N20" s="164"/>
    </row>
    <row r="21" spans="1:14" x14ac:dyDescent="0.25">
      <c r="A21" s="115" t="s">
        <v>24</v>
      </c>
      <c r="B21" s="158">
        <v>9195904</v>
      </c>
      <c r="C21" s="174">
        <f t="shared" si="5"/>
        <v>1.4931420581286206E-2</v>
      </c>
      <c r="D21" s="158">
        <f t="shared" si="6"/>
        <v>3206424.3658780497</v>
      </c>
      <c r="E21" s="100">
        <f t="shared" si="7"/>
        <v>1.5947204535366643E-2</v>
      </c>
      <c r="F21" s="153">
        <f t="shared" si="0"/>
        <v>3424557.2892057574</v>
      </c>
      <c r="G21" s="164">
        <f t="shared" si="1"/>
        <v>218132.92332770769</v>
      </c>
      <c r="H21" s="185">
        <f t="shared" si="2"/>
        <v>1.100098565202297E-2</v>
      </c>
      <c r="I21" s="153">
        <f>VLOOKUP(A21,Low_Cost_Hospitals!$A$9:$Q$38,17,FALSE)</f>
        <v>2088998.0457988679</v>
      </c>
      <c r="J21" s="153"/>
      <c r="K21" s="164">
        <f t="shared" si="3"/>
        <v>3682348.6649953746</v>
      </c>
      <c r="L21" s="164">
        <f t="shared" si="4"/>
        <v>5513555.3350046258</v>
      </c>
      <c r="M21" s="187">
        <f>+I21+F21+J21</f>
        <v>5513555.3350046258</v>
      </c>
      <c r="N21" s="164"/>
    </row>
    <row r="22" spans="1:14" x14ac:dyDescent="0.25">
      <c r="A22" s="115" t="s">
        <v>22</v>
      </c>
      <c r="B22" s="158">
        <v>36715404</v>
      </c>
      <c r="C22" s="174">
        <f t="shared" si="5"/>
        <v>5.9614926268895141E-2</v>
      </c>
      <c r="D22" s="158">
        <f t="shared" si="6"/>
        <v>12801913.328875162</v>
      </c>
      <c r="E22" s="100">
        <f t="shared" si="7"/>
        <v>4.6312401511647346E-2</v>
      </c>
      <c r="F22" s="153">
        <f t="shared" si="0"/>
        <v>9945283.6279615257</v>
      </c>
      <c r="G22" s="164">
        <f t="shared" si="1"/>
        <v>-2856629.700913636</v>
      </c>
      <c r="H22" s="185">
        <f t="shared" si="2"/>
        <v>3.194804853794056E-2</v>
      </c>
      <c r="I22" s="153">
        <f>VLOOKUP(A22,Low_Cost_Hospitals!$A$9:$Q$38,17,FALSE)</f>
        <v>0</v>
      </c>
      <c r="J22" s="153"/>
      <c r="K22" s="164">
        <f t="shared" si="3"/>
        <v>26770120.372038476</v>
      </c>
      <c r="L22" s="164">
        <f t="shared" si="4"/>
        <v>9945283.6279615257</v>
      </c>
      <c r="M22" s="187">
        <f>L22+L35</f>
        <v>10799362.804135082</v>
      </c>
      <c r="N22" s="164"/>
    </row>
    <row r="23" spans="1:14" x14ac:dyDescent="0.25">
      <c r="A23" s="115" t="s">
        <v>21</v>
      </c>
      <c r="B23" s="158">
        <v>4705496</v>
      </c>
      <c r="C23" s="174">
        <f t="shared" si="5"/>
        <v>7.6403298489805807E-3</v>
      </c>
      <c r="D23" s="158">
        <f t="shared" si="6"/>
        <v>1640710.5846191631</v>
      </c>
      <c r="E23" s="100">
        <f t="shared" si="7"/>
        <v>1.3853247525124818E-2</v>
      </c>
      <c r="F23" s="153">
        <f t="shared" si="0"/>
        <v>2974893.7932115817</v>
      </c>
      <c r="G23" s="164">
        <f t="shared" si="1"/>
        <v>1334183.2085924186</v>
      </c>
      <c r="H23" s="185">
        <f t="shared" si="2"/>
        <v>9.556494802574313E-3</v>
      </c>
      <c r="I23" s="153">
        <f>VLOOKUP(A23,Low_Cost_Hospitals!$A$9:$Q$38,17,FALSE)</f>
        <v>1283215.2188264881</v>
      </c>
      <c r="J23" s="153">
        <v>27083</v>
      </c>
      <c r="K23" s="164">
        <f t="shared" si="3"/>
        <v>420303.98796193022</v>
      </c>
      <c r="L23" s="164">
        <f t="shared" si="4"/>
        <v>4285192.0120380698</v>
      </c>
      <c r="M23" s="187">
        <f>+I23+F23+J23</f>
        <v>4285192.0120380698</v>
      </c>
      <c r="N23" s="164"/>
    </row>
    <row r="24" spans="1:14" x14ac:dyDescent="0.25">
      <c r="A24" s="115" t="s">
        <v>20</v>
      </c>
      <c r="B24" s="158">
        <v>10917277</v>
      </c>
      <c r="C24" s="174">
        <f t="shared" si="5"/>
        <v>1.7726419772259749E-2</v>
      </c>
      <c r="D24" s="158">
        <f t="shared" si="6"/>
        <v>3806632.0594299389</v>
      </c>
      <c r="E24" s="100">
        <f t="shared" si="7"/>
        <v>6.7838403821598682E-3</v>
      </c>
      <c r="F24" s="153">
        <f t="shared" si="0"/>
        <v>1456785.1047506381</v>
      </c>
      <c r="G24" s="164">
        <f t="shared" si="1"/>
        <v>-2349846.954679301</v>
      </c>
      <c r="H24" s="185">
        <f t="shared" si="2"/>
        <v>4.67975001789484E-3</v>
      </c>
      <c r="I24" s="153">
        <f>VLOOKUP(A24,Low_Cost_Hospitals!$A$9:$Q$38,17,FALSE)</f>
        <v>0</v>
      </c>
      <c r="J24" s="153"/>
      <c r="K24" s="164">
        <f t="shared" si="3"/>
        <v>9460491.8952493612</v>
      </c>
      <c r="L24" s="164">
        <f t="shared" si="4"/>
        <v>1456785.1047506381</v>
      </c>
      <c r="M24" s="187" t="s">
        <v>102</v>
      </c>
      <c r="N24" s="164"/>
    </row>
    <row r="25" spans="1:14" x14ac:dyDescent="0.25">
      <c r="A25" s="115" t="s">
        <v>19</v>
      </c>
      <c r="B25" s="158">
        <v>9368588</v>
      </c>
      <c r="C25" s="174">
        <f t="shared" si="5"/>
        <v>1.5211808179031771E-2</v>
      </c>
      <c r="D25" s="158">
        <f t="shared" si="6"/>
        <v>3266635.7583846794</v>
      </c>
      <c r="E25" s="100">
        <f t="shared" si="7"/>
        <v>1.9919235284405822E-2</v>
      </c>
      <c r="F25" s="153">
        <f t="shared" si="0"/>
        <v>4277524.7685156846</v>
      </c>
      <c r="G25" s="164">
        <f t="shared" si="1"/>
        <v>1010889.0101310052</v>
      </c>
      <c r="H25" s="185">
        <f t="shared" si="2"/>
        <v>1.3741042894197761E-2</v>
      </c>
      <c r="I25" s="153">
        <f>VLOOKUP(A25,Low_Cost_Hospitals!$A$9:$Q$38,17,FALSE)</f>
        <v>883588.64369951154</v>
      </c>
      <c r="J25" s="153"/>
      <c r="K25" s="164">
        <f t="shared" si="3"/>
        <v>4207474.5877848035</v>
      </c>
      <c r="L25" s="164">
        <f t="shared" si="4"/>
        <v>5161113.4122151965</v>
      </c>
      <c r="M25" s="187">
        <f>+I25+F25+J25</f>
        <v>5161113.4122151965</v>
      </c>
      <c r="N25" s="164"/>
    </row>
    <row r="26" spans="1:14" x14ac:dyDescent="0.25">
      <c r="A26" s="115" t="s">
        <v>18</v>
      </c>
      <c r="B26" s="158">
        <v>50441907</v>
      </c>
      <c r="C26" s="175">
        <f t="shared" si="5"/>
        <v>8.1902695845794474E-2</v>
      </c>
      <c r="D26" s="158">
        <f t="shared" si="6"/>
        <v>17588065.258853786</v>
      </c>
      <c r="E26" s="182">
        <f t="shared" si="7"/>
        <v>8.1653959878843427E-2</v>
      </c>
      <c r="F26" s="153">
        <f t="shared" si="0"/>
        <v>17534650.845887505</v>
      </c>
      <c r="G26" s="164">
        <f t="shared" si="1"/>
        <v>-53414.412966281176</v>
      </c>
      <c r="H26" s="185">
        <f t="shared" si="2"/>
        <v>0.14980768417436327</v>
      </c>
      <c r="I26" s="153">
        <f>VLOOKUP(A26,Low_Cost_Hospitals!$A$9:$Q$38,17,FALSE)</f>
        <v>0</v>
      </c>
      <c r="J26" s="153"/>
      <c r="K26" s="164">
        <f t="shared" si="3"/>
        <v>32907256.154112495</v>
      </c>
      <c r="L26" s="164">
        <f t="shared" si="4"/>
        <v>17534650.845887505</v>
      </c>
      <c r="M26" s="187">
        <f>L19+L26+L27+L32+L45</f>
        <v>52158728.941191964</v>
      </c>
      <c r="N26" s="164"/>
    </row>
    <row r="27" spans="1:14" x14ac:dyDescent="0.25">
      <c r="A27" s="115" t="s">
        <v>30</v>
      </c>
      <c r="B27" s="158">
        <v>27167406</v>
      </c>
      <c r="C27" s="174">
        <f t="shared" si="5"/>
        <v>4.4111809463056421E-2</v>
      </c>
      <c r="D27" s="158">
        <f t="shared" si="6"/>
        <v>9472720.9588205274</v>
      </c>
      <c r="E27" s="100">
        <f t="shared" si="7"/>
        <v>6.6688954496067404E-2</v>
      </c>
      <c r="F27" s="153">
        <f t="shared" si="0"/>
        <v>14321014.364776755</v>
      </c>
      <c r="G27" s="164">
        <f t="shared" si="1"/>
        <v>4848293.4059562273</v>
      </c>
      <c r="H27" s="185">
        <f t="shared" si="2"/>
        <v>4.600456650145944E-2</v>
      </c>
      <c r="I27" s="153">
        <f>VLOOKUP(A27,Low_Cost_Hospitals!$A$9:$Q$38,17,FALSE)</f>
        <v>3520886.0137648121</v>
      </c>
      <c r="J27" s="153"/>
      <c r="K27" s="164">
        <f t="shared" si="3"/>
        <v>9325505.6214584317</v>
      </c>
      <c r="L27" s="164">
        <f t="shared" si="4"/>
        <v>17841900.378541566</v>
      </c>
      <c r="M27" s="187" t="s">
        <v>101</v>
      </c>
      <c r="N27" s="164"/>
    </row>
    <row r="28" spans="1:14" x14ac:dyDescent="0.25">
      <c r="A28" s="115" t="s">
        <v>17</v>
      </c>
      <c r="B28" s="158">
        <v>9976685</v>
      </c>
      <c r="C28" s="174">
        <f t="shared" si="5"/>
        <v>1.6199177344827585E-2</v>
      </c>
      <c r="D28" s="158">
        <f t="shared" si="6"/>
        <v>3478666.7928123269</v>
      </c>
      <c r="E28" s="100">
        <f t="shared" si="7"/>
        <v>1.4318508522356072E-2</v>
      </c>
      <c r="F28" s="153">
        <f t="shared" si="0"/>
        <v>3074805.5323454151</v>
      </c>
      <c r="G28" s="164">
        <f t="shared" si="1"/>
        <v>-403861.26046691183</v>
      </c>
      <c r="H28" s="185">
        <f t="shared" si="2"/>
        <v>9.8774494591497546E-3</v>
      </c>
      <c r="I28" s="153">
        <f>VLOOKUP(A28,Low_Cost_Hospitals!$A$9:$Q$38,17,FALSE)</f>
        <v>955293.81164610817</v>
      </c>
      <c r="J28" s="153"/>
      <c r="K28" s="164">
        <f t="shared" si="3"/>
        <v>5946585.6560084773</v>
      </c>
      <c r="L28" s="164">
        <f t="shared" si="4"/>
        <v>4030099.3439915231</v>
      </c>
      <c r="M28" s="187">
        <f>+I28+F28+J28</f>
        <v>4030099.3439915231</v>
      </c>
      <c r="N28" s="164"/>
    </row>
    <row r="29" spans="1:14" ht="13.8" x14ac:dyDescent="0.25">
      <c r="A29" s="115" t="s">
        <v>16</v>
      </c>
      <c r="B29" s="159">
        <v>0</v>
      </c>
      <c r="C29" s="174">
        <f t="shared" si="5"/>
        <v>0</v>
      </c>
      <c r="D29" s="158">
        <f t="shared" si="6"/>
        <v>0</v>
      </c>
      <c r="E29" s="100">
        <f t="shared" si="7"/>
        <v>6.7184224956633341E-3</v>
      </c>
      <c r="F29" s="153">
        <f t="shared" si="0"/>
        <v>1442737.0438789469</v>
      </c>
      <c r="G29" s="164">
        <f t="shared" si="1"/>
        <v>1442737.0438789469</v>
      </c>
      <c r="H29" s="185">
        <f t="shared" si="2"/>
        <v>4.6346222822382229E-3</v>
      </c>
      <c r="I29" s="153">
        <f>VLOOKUP(A29,Low_Cost_Hospitals!$A$9:$Q$38,17,FALSE)</f>
        <v>1078015.8520205095</v>
      </c>
      <c r="J29" s="153"/>
      <c r="K29" s="164">
        <f t="shared" si="3"/>
        <v>0</v>
      </c>
      <c r="L29" s="164">
        <f t="shared" si="4"/>
        <v>2520752.8958994565</v>
      </c>
      <c r="M29" s="187">
        <f>+I29+F29+J29</f>
        <v>2520752.8958994565</v>
      </c>
      <c r="N29" s="164"/>
    </row>
    <row r="30" spans="1:14" x14ac:dyDescent="0.25">
      <c r="A30" s="115" t="s">
        <v>31</v>
      </c>
      <c r="B30" s="158">
        <v>19408618</v>
      </c>
      <c r="C30" s="174">
        <f t="shared" si="5"/>
        <v>3.1513839015666317E-2</v>
      </c>
      <c r="D30" s="158">
        <f t="shared" si="6"/>
        <v>6767389.662095136</v>
      </c>
      <c r="E30" s="100">
        <f t="shared" si="7"/>
        <v>4.0385813392671506E-2</v>
      </c>
      <c r="F30" s="153">
        <f t="shared" si="0"/>
        <v>8672587.8085815217</v>
      </c>
      <c r="G30" s="164">
        <f t="shared" si="1"/>
        <v>1905198.1464863857</v>
      </c>
      <c r="H30" s="185">
        <f t="shared" si="2"/>
        <v>2.7859663597638917E-2</v>
      </c>
      <c r="I30" s="153">
        <f>VLOOKUP(A30,Low_Cost_Hospitals!$A$9:$Q$38,17,FALSE)</f>
        <v>1215612.4974952824</v>
      </c>
      <c r="J30" s="153"/>
      <c r="K30" s="164">
        <f t="shared" si="3"/>
        <v>9520417.6939231958</v>
      </c>
      <c r="L30" s="164">
        <f t="shared" si="4"/>
        <v>9888200.3060768042</v>
      </c>
      <c r="M30" s="187">
        <f>+I30+F30+J30</f>
        <v>9888200.3060768042</v>
      </c>
      <c r="N30" s="164"/>
    </row>
    <row r="31" spans="1:14" x14ac:dyDescent="0.25">
      <c r="A31" s="115" t="s">
        <v>15</v>
      </c>
      <c r="B31" s="158">
        <v>9536052</v>
      </c>
      <c r="C31" s="174">
        <f t="shared" si="5"/>
        <v>1.5483720045034777E-2</v>
      </c>
      <c r="D31" s="158">
        <f t="shared" si="6"/>
        <v>3325027.0432444825</v>
      </c>
      <c r="E31" s="100">
        <f t="shared" si="7"/>
        <v>1.8255986581732917E-2</v>
      </c>
      <c r="F31" s="153">
        <f t="shared" si="0"/>
        <v>3920353.0488033961</v>
      </c>
      <c r="G31" s="164">
        <f t="shared" si="1"/>
        <v>595326.00555891357</v>
      </c>
      <c r="H31" s="185">
        <f t="shared" si="2"/>
        <v>1.259367094739218E-2</v>
      </c>
      <c r="I31" s="153">
        <f>VLOOKUP(A31,Low_Cost_Hospitals!$A$9:$Q$38,17,FALSE)</f>
        <v>0</v>
      </c>
      <c r="J31" s="153"/>
      <c r="K31" s="164">
        <f t="shared" si="3"/>
        <v>5615698.9511966035</v>
      </c>
      <c r="L31" s="164">
        <f t="shared" si="4"/>
        <v>3920353.0488033961</v>
      </c>
      <c r="M31" s="187">
        <f>L31+L37</f>
        <v>5701835.1904921243</v>
      </c>
      <c r="N31" s="164"/>
    </row>
    <row r="32" spans="1:14" x14ac:dyDescent="0.25">
      <c r="A32" s="115" t="s">
        <v>13</v>
      </c>
      <c r="B32" s="158">
        <v>16210440</v>
      </c>
      <c r="C32" s="174">
        <f t="shared" si="5"/>
        <v>2.6320946526595446E-2</v>
      </c>
      <c r="D32" s="158">
        <f t="shared" si="6"/>
        <v>5652250.1537210662</v>
      </c>
      <c r="E32" s="100">
        <f t="shared" si="7"/>
        <v>2.523103767482027E-2</v>
      </c>
      <c r="F32" s="153">
        <f t="shared" si="0"/>
        <v>5418199.3961328659</v>
      </c>
      <c r="G32" s="164">
        <f t="shared" si="1"/>
        <v>-234050.75758820027</v>
      </c>
      <c r="H32" s="185">
        <f t="shared" si="2"/>
        <v>1.7405325355348698E-2</v>
      </c>
      <c r="I32" s="153">
        <f>VLOOKUP(A32,Low_Cost_Hospitals!$A$9:$Q$38,17,FALSE)</f>
        <v>2108108.070039181</v>
      </c>
      <c r="J32" s="153"/>
      <c r="K32" s="164">
        <f t="shared" si="3"/>
        <v>8684132.533827953</v>
      </c>
      <c r="L32" s="164">
        <f t="shared" si="4"/>
        <v>7526307.466172047</v>
      </c>
      <c r="M32" s="187" t="s">
        <v>101</v>
      </c>
      <c r="N32" s="164"/>
    </row>
    <row r="33" spans="1:14" x14ac:dyDescent="0.25">
      <c r="A33" s="115" t="s">
        <v>14</v>
      </c>
      <c r="B33" s="158">
        <v>14163088</v>
      </c>
      <c r="C33" s="174">
        <f t="shared" si="5"/>
        <v>2.2996654125333159E-2</v>
      </c>
      <c r="D33" s="158">
        <f t="shared" si="6"/>
        <v>4938380.2244211137</v>
      </c>
      <c r="E33" s="100">
        <f t="shared" si="7"/>
        <v>3.2589865645496582E-2</v>
      </c>
      <c r="F33" s="153">
        <f t="shared" si="0"/>
        <v>6998459.303824041</v>
      </c>
      <c r="G33" s="164">
        <f t="shared" si="1"/>
        <v>2060079.0794029273</v>
      </c>
      <c r="H33" s="185">
        <f t="shared" si="2"/>
        <v>2.2481723588128635E-2</v>
      </c>
      <c r="I33" s="153">
        <f>VLOOKUP(A33,Low_Cost_Hospitals!$A$9:$Q$38,17,FALSE)</f>
        <v>0</v>
      </c>
      <c r="J33" s="153"/>
      <c r="K33" s="164">
        <f t="shared" si="3"/>
        <v>7164628.696175959</v>
      </c>
      <c r="L33" s="164">
        <f t="shared" si="4"/>
        <v>6998459.303824041</v>
      </c>
      <c r="M33" s="187">
        <f>+I33+F33+J33</f>
        <v>6998459.303824041</v>
      </c>
      <c r="N33" s="164"/>
    </row>
    <row r="34" spans="1:14" x14ac:dyDescent="0.25">
      <c r="A34" s="115" t="s">
        <v>12</v>
      </c>
      <c r="B34" s="158">
        <v>5529702</v>
      </c>
      <c r="C34" s="174">
        <f t="shared" si="5"/>
        <v>8.9785959326216871E-3</v>
      </c>
      <c r="D34" s="158">
        <f t="shared" si="6"/>
        <v>1928094.4243050586</v>
      </c>
      <c r="E34" s="100">
        <f t="shared" si="7"/>
        <v>5.0806041022550975E-3</v>
      </c>
      <c r="F34" s="153">
        <f t="shared" si="0"/>
        <v>1091026.3158261017</v>
      </c>
      <c r="G34" s="164">
        <f t="shared" si="1"/>
        <v>-837068.10847895686</v>
      </c>
      <c r="H34" s="185">
        <f t="shared" si="2"/>
        <v>3.5047931258776169E-3</v>
      </c>
      <c r="I34" s="153">
        <f>VLOOKUP(A34,Low_Cost_Hospitals!$A$9:$Q$38,17,FALSE)</f>
        <v>0</v>
      </c>
      <c r="J34" s="153"/>
      <c r="K34" s="164">
        <f t="shared" si="3"/>
        <v>4438675.6841738988</v>
      </c>
      <c r="L34" s="164">
        <f t="shared" si="4"/>
        <v>1091026.3158261017</v>
      </c>
      <c r="M34" s="187">
        <f>+I34+F34+J34</f>
        <v>1091026.3158261017</v>
      </c>
      <c r="N34" s="164"/>
    </row>
    <row r="35" spans="1:14" x14ac:dyDescent="0.25">
      <c r="A35" s="115" t="s">
        <v>11</v>
      </c>
      <c r="B35" s="158">
        <v>4886527</v>
      </c>
      <c r="C35" s="174">
        <f t="shared" si="5"/>
        <v>7.934270498997243E-3</v>
      </c>
      <c r="D35" s="158">
        <f t="shared" si="6"/>
        <v>1703832.4059625859</v>
      </c>
      <c r="E35" s="100">
        <f t="shared" si="7"/>
        <v>3.9772076100954958E-3</v>
      </c>
      <c r="F35" s="153">
        <f t="shared" si="0"/>
        <v>854079.17617355613</v>
      </c>
      <c r="G35" s="164">
        <f t="shared" si="1"/>
        <v>-849753.22978902981</v>
      </c>
      <c r="H35" s="185">
        <f t="shared" si="2"/>
        <v>2.7436284369930911E-3</v>
      </c>
      <c r="I35" s="153">
        <f>VLOOKUP(A35,Low_Cost_Hospitals!$A$9:$Q$38,17,FALSE)</f>
        <v>0</v>
      </c>
      <c r="J35" s="153"/>
      <c r="K35" s="164">
        <f t="shared" si="3"/>
        <v>4032447.8238264439</v>
      </c>
      <c r="L35" s="164">
        <f t="shared" si="4"/>
        <v>854079.17617355613</v>
      </c>
      <c r="M35" s="187" t="s">
        <v>103</v>
      </c>
      <c r="N35" s="164"/>
    </row>
    <row r="36" spans="1:14" x14ac:dyDescent="0.25">
      <c r="A36" s="115" t="s">
        <v>10</v>
      </c>
      <c r="B36" s="158">
        <v>30641714</v>
      </c>
      <c r="C36" s="174">
        <f t="shared" si="5"/>
        <v>4.9753055171681403E-2</v>
      </c>
      <c r="D36" s="158">
        <f t="shared" si="6"/>
        <v>10684141.372274717</v>
      </c>
      <c r="E36" s="100">
        <f t="shared" si="7"/>
        <v>4.5628023746160415E-2</v>
      </c>
      <c r="F36" s="153">
        <f t="shared" si="0"/>
        <v>9798318.0039757714</v>
      </c>
      <c r="G36" s="164">
        <f t="shared" si="1"/>
        <v>-885823.36829894595</v>
      </c>
      <c r="H36" s="185">
        <f t="shared" si="2"/>
        <v>3.1475938836081005E-2</v>
      </c>
      <c r="I36" s="153">
        <f>VLOOKUP(A36,Low_Cost_Hospitals!$A$9:$Q$38,17,FALSE)</f>
        <v>0</v>
      </c>
      <c r="J36" s="153"/>
      <c r="K36" s="164">
        <f t="shared" si="3"/>
        <v>20843395.996024229</v>
      </c>
      <c r="L36" s="164">
        <f t="shared" si="4"/>
        <v>9798318.0039757714</v>
      </c>
      <c r="M36" s="187">
        <f>I36+F36+J36</f>
        <v>9798318.0039757714</v>
      </c>
      <c r="N36" s="164"/>
    </row>
    <row r="37" spans="1:14" x14ac:dyDescent="0.25">
      <c r="A37" s="115" t="s">
        <v>9</v>
      </c>
      <c r="B37" s="158">
        <v>4942697</v>
      </c>
      <c r="C37" s="174">
        <f t="shared" si="5"/>
        <v>8.0254739189166823E-3</v>
      </c>
      <c r="D37" s="158">
        <f t="shared" si="6"/>
        <v>1723417.7405453927</v>
      </c>
      <c r="E37" s="100">
        <f t="shared" si="7"/>
        <v>6.7699690074556496E-3</v>
      </c>
      <c r="F37" s="153">
        <f t="shared" si="0"/>
        <v>1453806.3182649387</v>
      </c>
      <c r="G37" s="164">
        <f t="shared" si="1"/>
        <v>-269611.42228045408</v>
      </c>
      <c r="H37" s="185">
        <f t="shared" si="2"/>
        <v>4.6701810182776023E-3</v>
      </c>
      <c r="I37" s="153">
        <f>VLOOKUP(A37,Low_Cost_Hospitals!$A$9:$Q$38,17,FALSE)</f>
        <v>327675.82342378941</v>
      </c>
      <c r="J37" s="153"/>
      <c r="K37" s="164">
        <f t="shared" si="3"/>
        <v>3161214.8583112713</v>
      </c>
      <c r="L37" s="164">
        <f t="shared" si="4"/>
        <v>1781482.141688728</v>
      </c>
      <c r="M37" s="187" t="s">
        <v>104</v>
      </c>
      <c r="N37" s="164"/>
    </row>
    <row r="38" spans="1:14" x14ac:dyDescent="0.25">
      <c r="A38" s="115" t="s">
        <v>8</v>
      </c>
      <c r="B38" s="158">
        <v>49149312</v>
      </c>
      <c r="C38" s="175">
        <f t="shared" si="5"/>
        <v>7.9803904950819099E-2</v>
      </c>
      <c r="D38" s="158">
        <f t="shared" si="6"/>
        <v>17137363.71790554</v>
      </c>
      <c r="E38" s="182">
        <f t="shared" si="7"/>
        <v>8.1653959878843427E-2</v>
      </c>
      <c r="F38" s="153">
        <f t="shared" si="0"/>
        <v>17534650.845887505</v>
      </c>
      <c r="G38" s="164">
        <f t="shared" si="1"/>
        <v>397287.1279819645</v>
      </c>
      <c r="H38" s="185">
        <f t="shared" si="2"/>
        <v>8.431478310019315E-2</v>
      </c>
      <c r="I38" s="153">
        <f>VLOOKUP(A38,Low_Cost_Hospitals!$A$9:$Q$38,17,FALSE)</f>
        <v>0</v>
      </c>
      <c r="J38" s="153"/>
      <c r="K38" s="164">
        <f t="shared" si="3"/>
        <v>31614661.154112495</v>
      </c>
      <c r="L38" s="164">
        <f t="shared" si="4"/>
        <v>17534650.845887505</v>
      </c>
      <c r="M38" s="187">
        <f>+I38+F38+J38</f>
        <v>17534650.845887505</v>
      </c>
      <c r="N38" s="164"/>
    </row>
    <row r="39" spans="1:14" x14ac:dyDescent="0.25">
      <c r="A39" s="115" t="s">
        <v>7</v>
      </c>
      <c r="B39" s="158">
        <v>10813415</v>
      </c>
      <c r="C39" s="174">
        <f t="shared" si="5"/>
        <v>1.7557778689837236E-2</v>
      </c>
      <c r="D39" s="158">
        <f t="shared" si="6"/>
        <v>3770417.4961321033</v>
      </c>
      <c r="E39" s="100">
        <f t="shared" si="7"/>
        <v>4.1173137204615289E-2</v>
      </c>
      <c r="F39" s="153">
        <f t="shared" si="0"/>
        <v>8841660.4189677387</v>
      </c>
      <c r="G39" s="164">
        <f t="shared" si="1"/>
        <v>5071242.922835635</v>
      </c>
      <c r="H39" s="185">
        <f t="shared" si="2"/>
        <v>2.8402789381188072E-2</v>
      </c>
      <c r="I39" s="153">
        <f>VLOOKUP(A39,Low_Cost_Hospitals!$A$9:$Q$38,17,FALSE)</f>
        <v>100000</v>
      </c>
      <c r="J39" s="153"/>
      <c r="K39" s="164">
        <f t="shared" si="3"/>
        <v>1871754.5810322613</v>
      </c>
      <c r="L39" s="164">
        <f t="shared" si="4"/>
        <v>8941660.4189677387</v>
      </c>
      <c r="M39" s="187">
        <f>+I39+F39+J39</f>
        <v>8941660.4189677387</v>
      </c>
      <c r="N39" s="164"/>
    </row>
    <row r="40" spans="1:14" x14ac:dyDescent="0.25">
      <c r="A40" s="115" t="s">
        <v>6</v>
      </c>
      <c r="B40" s="158">
        <v>23445236</v>
      </c>
      <c r="C40" s="174">
        <f t="shared" si="5"/>
        <v>3.806810938255905E-2</v>
      </c>
      <c r="D40" s="158">
        <f t="shared" si="6"/>
        <v>8174876.1159491464</v>
      </c>
      <c r="E40" s="100">
        <f t="shared" si="7"/>
        <v>7.1778942271391782E-2</v>
      </c>
      <c r="F40" s="153">
        <f t="shared" si="0"/>
        <v>15414055.762678066</v>
      </c>
      <c r="G40" s="164">
        <f t="shared" si="1"/>
        <v>7239179.6467289198</v>
      </c>
      <c r="H40" s="185">
        <f t="shared" si="2"/>
        <v>4.9515832840405179E-2</v>
      </c>
      <c r="I40" s="153">
        <f>VLOOKUP(A40,Low_Cost_Hospitals!$A$9:$Q$38,17,FALSE)</f>
        <v>0</v>
      </c>
      <c r="J40" s="153"/>
      <c r="K40" s="164">
        <f t="shared" si="3"/>
        <v>8031180.2373219337</v>
      </c>
      <c r="L40" s="164">
        <f t="shared" si="4"/>
        <v>15414055.762678066</v>
      </c>
      <c r="M40" s="187" t="s">
        <v>102</v>
      </c>
      <c r="N40" s="164"/>
    </row>
    <row r="41" spans="1:14" x14ac:dyDescent="0.25">
      <c r="A41" s="115" t="s">
        <v>5</v>
      </c>
      <c r="B41" s="158">
        <v>35313506</v>
      </c>
      <c r="C41" s="174">
        <f t="shared" si="5"/>
        <v>5.7338659721303524E-2</v>
      </c>
      <c r="D41" s="158">
        <f t="shared" si="6"/>
        <v>12313100.058784945</v>
      </c>
      <c r="E41" s="100">
        <f t="shared" si="7"/>
        <v>7.8402068063559718E-2</v>
      </c>
      <c r="F41" s="153">
        <f t="shared" si="0"/>
        <v>16836328.466247797</v>
      </c>
      <c r="G41" s="164">
        <f t="shared" si="1"/>
        <v>4523228.4074628521</v>
      </c>
      <c r="H41" s="185">
        <f t="shared" si="2"/>
        <v>5.4084715847429805E-2</v>
      </c>
      <c r="I41" s="153">
        <f>VLOOKUP(A41,Low_Cost_Hospitals!$A$9:$Q$38,17,FALSE)</f>
        <v>0</v>
      </c>
      <c r="J41" s="153"/>
      <c r="K41" s="164">
        <f t="shared" si="3"/>
        <v>18477177.533752203</v>
      </c>
      <c r="L41" s="164">
        <f t="shared" si="4"/>
        <v>16836328.466247797</v>
      </c>
      <c r="M41" s="187">
        <f>+I41+F41+J41</f>
        <v>16836328.466247797</v>
      </c>
      <c r="N41" s="164"/>
    </row>
    <row r="42" spans="1:14" x14ac:dyDescent="0.25">
      <c r="A42" s="115" t="s">
        <v>4</v>
      </c>
      <c r="B42" s="158">
        <v>2448181</v>
      </c>
      <c r="C42" s="174">
        <f t="shared" si="5"/>
        <v>3.9751198109629947E-3</v>
      </c>
      <c r="D42" s="158">
        <f t="shared" si="6"/>
        <v>853630.83504130645</v>
      </c>
      <c r="E42" s="100">
        <f t="shared" si="7"/>
        <v>2.4519867612017893E-3</v>
      </c>
      <c r="F42" s="153">
        <f t="shared" si="0"/>
        <v>526548.03025115584</v>
      </c>
      <c r="G42" s="164">
        <f t="shared" si="1"/>
        <v>-327082.80479015061</v>
      </c>
      <c r="H42" s="185">
        <f t="shared" si="2"/>
        <v>1.691473331210459E-3</v>
      </c>
      <c r="I42" s="153">
        <f>VLOOKUP(A42,Low_Cost_Hospitals!$A$9:$Q$38,17,FALSE)</f>
        <v>324380.47919218295</v>
      </c>
      <c r="J42" s="153"/>
      <c r="K42" s="164">
        <f t="shared" si="3"/>
        <v>1597252.4905566613</v>
      </c>
      <c r="L42" s="164">
        <f t="shared" si="4"/>
        <v>850928.50944333873</v>
      </c>
      <c r="M42" s="187">
        <f>+I42+F42+J42</f>
        <v>850928.50944333873</v>
      </c>
      <c r="N42" s="164"/>
    </row>
    <row r="43" spans="1:14" x14ac:dyDescent="0.25">
      <c r="A43" s="115" t="s">
        <v>3</v>
      </c>
      <c r="B43" s="158">
        <v>30109270</v>
      </c>
      <c r="C43" s="174">
        <f t="shared" si="5"/>
        <v>4.8888524039126913E-2</v>
      </c>
      <c r="D43" s="158">
        <f t="shared" si="6"/>
        <v>10498488.997579899</v>
      </c>
      <c r="E43" s="100">
        <f t="shared" si="7"/>
        <v>3.8262843097405526E-2</v>
      </c>
      <c r="F43" s="153">
        <f t="shared" si="0"/>
        <v>8216693.9004487852</v>
      </c>
      <c r="G43" s="164">
        <f t="shared" si="1"/>
        <v>-2281795.0971311135</v>
      </c>
      <c r="H43" s="185">
        <f t="shared" si="2"/>
        <v>2.6395158285369466E-2</v>
      </c>
      <c r="I43" s="153">
        <f>VLOOKUP(A43,Low_Cost_Hospitals!$A$9:$Q$38,17,FALSE)</f>
        <v>0</v>
      </c>
      <c r="J43" s="153"/>
      <c r="K43" s="164">
        <f t="shared" si="3"/>
        <v>21892576.099551216</v>
      </c>
      <c r="L43" s="164">
        <f t="shared" si="4"/>
        <v>8216693.9004487852</v>
      </c>
      <c r="M43" s="187">
        <f>+I43+F43+J43</f>
        <v>8216693.9004487852</v>
      </c>
      <c r="N43" s="164"/>
    </row>
    <row r="44" spans="1:14" x14ac:dyDescent="0.25">
      <c r="A44" s="115" t="s">
        <v>2</v>
      </c>
      <c r="B44" s="158">
        <v>21323826</v>
      </c>
      <c r="C44" s="174">
        <f t="shared" si="5"/>
        <v>3.4623568754976776E-2</v>
      </c>
      <c r="D44" s="158">
        <f t="shared" si="6"/>
        <v>7435183.6709195608</v>
      </c>
      <c r="E44" s="100">
        <f t="shared" si="7"/>
        <v>3.4926677863210069E-2</v>
      </c>
      <c r="F44" s="153">
        <f t="shared" si="0"/>
        <v>7500274.3583640559</v>
      </c>
      <c r="G44" s="164">
        <f t="shared" si="1"/>
        <v>65090.687444495037</v>
      </c>
      <c r="H44" s="185">
        <f t="shared" si="2"/>
        <v>2.4093745157271126E-2</v>
      </c>
      <c r="I44" s="153">
        <f>VLOOKUP(A44,Low_Cost_Hospitals!$A$9:$Q$38,17,FALSE)</f>
        <v>103183.07676631132</v>
      </c>
      <c r="J44" s="153"/>
      <c r="K44" s="164">
        <f t="shared" si="3"/>
        <v>13720368.564869631</v>
      </c>
      <c r="L44" s="164">
        <f t="shared" si="4"/>
        <v>7603457.4351303671</v>
      </c>
      <c r="M44" s="187">
        <f>+I44+F44+J44</f>
        <v>7603457.4351303671</v>
      </c>
      <c r="N44" s="164"/>
    </row>
    <row r="45" spans="1:14" x14ac:dyDescent="0.25">
      <c r="A45" s="115" t="s">
        <v>1</v>
      </c>
      <c r="B45" s="158">
        <v>6399553</v>
      </c>
      <c r="C45" s="174">
        <f t="shared" si="5"/>
        <v>1.0390975957908204E-2</v>
      </c>
      <c r="D45" s="158">
        <f t="shared" si="6"/>
        <v>2231393.7455119118</v>
      </c>
      <c r="E45" s="100">
        <f t="shared" si="7"/>
        <v>1.6474421291195571E-2</v>
      </c>
      <c r="F45" s="153">
        <f t="shared" si="0"/>
        <v>3537773.6200154168</v>
      </c>
      <c r="G45" s="164">
        <f t="shared" si="1"/>
        <v>1306379.874503505</v>
      </c>
      <c r="H45" s="185">
        <f t="shared" si="2"/>
        <v>1.1364679737310299E-2</v>
      </c>
      <c r="I45" s="153">
        <f>VLOOKUP(A45,Low_Cost_Hospitals!$A$9:$Q$38,17,FALSE)</f>
        <v>1111042.4673269477</v>
      </c>
      <c r="J45" s="153"/>
      <c r="K45" s="164">
        <f t="shared" si="3"/>
        <v>1750736.9126576358</v>
      </c>
      <c r="L45" s="164">
        <f t="shared" si="4"/>
        <v>4648816.0873423647</v>
      </c>
      <c r="M45" s="187" t="s">
        <v>101</v>
      </c>
      <c r="N45" s="164"/>
    </row>
    <row r="46" spans="1:14" s="200" customFormat="1" x14ac:dyDescent="0.25">
      <c r="A46" s="193" t="s">
        <v>32</v>
      </c>
      <c r="B46" s="194">
        <v>132977864</v>
      </c>
      <c r="C46" s="195">
        <f t="shared" si="5"/>
        <v>0.21591660976289859</v>
      </c>
      <c r="D46" s="194">
        <f t="shared" si="6"/>
        <v>46366671.86304006</v>
      </c>
      <c r="E46" s="196">
        <f t="shared" si="7"/>
        <v>8.1653959878843427E-2</v>
      </c>
      <c r="F46" s="197">
        <f t="shared" si="0"/>
        <v>17534650.845887505</v>
      </c>
      <c r="G46" s="198">
        <f t="shared" si="1"/>
        <v>-28832021.017152555</v>
      </c>
      <c r="H46" s="199">
        <f t="shared" si="2"/>
        <v>0.21854750205861356</v>
      </c>
      <c r="I46" s="197">
        <f>VLOOKUP(A46,Low_Cost_Hospitals!$A$9:$Q$38,17,FALSE)</f>
        <v>0</v>
      </c>
      <c r="J46" s="197">
        <v>26395</v>
      </c>
      <c r="K46" s="198">
        <f t="shared" si="3"/>
        <v>115416818.15411249</v>
      </c>
      <c r="L46" s="198">
        <f t="shared" si="4"/>
        <v>17561045.845887505</v>
      </c>
      <c r="M46" s="198">
        <f>L20+L24+L40+L46</f>
        <v>51989581.559203714</v>
      </c>
      <c r="N46" s="198"/>
    </row>
    <row r="47" spans="1:14" s="113" customFormat="1" x14ac:dyDescent="0.25">
      <c r="A47" s="119" t="s">
        <v>0</v>
      </c>
      <c r="B47" s="118">
        <f t="shared" ref="B47:M47" si="8">SUM(B19:B46)</f>
        <v>615876028</v>
      </c>
      <c r="C47" s="176">
        <f t="shared" si="8"/>
        <v>0.99999999999999978</v>
      </c>
      <c r="D47" s="179">
        <f t="shared" si="8"/>
        <v>214743423</v>
      </c>
      <c r="E47" s="100">
        <f>SUM(E19:E46)</f>
        <v>0.99999999999999989</v>
      </c>
      <c r="F47" s="158">
        <f>SUM(F19:F46)</f>
        <v>214743422.99999997</v>
      </c>
      <c r="G47" s="158">
        <f t="shared" si="8"/>
        <v>0</v>
      </c>
      <c r="H47" s="186">
        <f>SUM(H19:H46)</f>
        <v>1</v>
      </c>
      <c r="I47" s="153">
        <f>SUM(I19:I46)</f>
        <v>15099999.999999993</v>
      </c>
      <c r="J47" s="153">
        <f>SUM(J19:J46)</f>
        <v>76522</v>
      </c>
      <c r="K47" s="158">
        <f>SUM(K19:K46)</f>
        <v>388476835.89589942</v>
      </c>
      <c r="L47" s="158">
        <f t="shared" si="8"/>
        <v>229919945.00000003</v>
      </c>
      <c r="M47" s="158">
        <f t="shared" si="8"/>
        <v>229919945.00000003</v>
      </c>
      <c r="N47" s="158"/>
    </row>
    <row r="48" spans="1:14" x14ac:dyDescent="0.25">
      <c r="A48" s="115"/>
      <c r="B48" s="155"/>
      <c r="D48" s="100"/>
      <c r="E48" s="100"/>
      <c r="G48" s="116"/>
      <c r="H48" s="116"/>
      <c r="K48" s="116"/>
      <c r="L48" s="116"/>
      <c r="M48" s="116"/>
      <c r="N48" s="116"/>
    </row>
    <row r="49" spans="1:14" x14ac:dyDescent="0.25">
      <c r="I49" s="64" t="s">
        <v>33</v>
      </c>
      <c r="J49" s="197">
        <v>23478</v>
      </c>
      <c r="L49" s="113"/>
      <c r="M49" s="158"/>
      <c r="N49" s="158"/>
    </row>
    <row r="50" spans="1:14" x14ac:dyDescent="0.25">
      <c r="A50" s="183"/>
      <c r="J50" s="153">
        <f>J47+J49</f>
        <v>100000</v>
      </c>
      <c r="M50" s="158"/>
      <c r="N50" s="158"/>
    </row>
    <row r="51" spans="1:14" x14ac:dyDescent="0.25">
      <c r="A51" s="183" t="s">
        <v>105</v>
      </c>
      <c r="J51" s="201"/>
      <c r="M51" s="158"/>
      <c r="N51" s="158"/>
    </row>
    <row r="52" spans="1:14" x14ac:dyDescent="0.25">
      <c r="A52" s="188" t="s">
        <v>106</v>
      </c>
      <c r="B52" s="155"/>
      <c r="C52" s="153"/>
      <c r="D52" s="158">
        <f>D19+D26+D27+D32+D45</f>
        <v>41599809.936001167</v>
      </c>
      <c r="E52" s="155"/>
      <c r="F52" s="158">
        <f>F19+F26+F27+F32+F45</f>
        <v>45418692.390061028</v>
      </c>
      <c r="G52" s="158">
        <f>G19+G26+G27+G32+G45</f>
        <v>3818882.4540598593</v>
      </c>
      <c r="H52" s="158"/>
      <c r="I52" s="158">
        <f>I19+I26+I27+I32+I45</f>
        <v>6740036.5511309402</v>
      </c>
      <c r="J52" s="158">
        <f>J19+J26+J27+J32+J45</f>
        <v>0</v>
      </c>
      <c r="K52" s="158"/>
      <c r="L52" s="158">
        <f>L19+L26+L27+L32+L45</f>
        <v>52158728.941191964</v>
      </c>
      <c r="M52" s="181"/>
      <c r="N52" s="178"/>
    </row>
    <row r="53" spans="1:14" x14ac:dyDescent="0.25">
      <c r="A53" s="189" t="s">
        <v>107</v>
      </c>
      <c r="B53" s="155"/>
      <c r="C53" s="114"/>
      <c r="D53" s="168">
        <f>D20+D24+D40+D46</f>
        <v>65670794.584217615</v>
      </c>
      <c r="E53" s="155"/>
      <c r="F53" s="168">
        <f>F20+F24+F40+F46</f>
        <v>51940142.559203714</v>
      </c>
      <c r="G53" s="168">
        <f>G20+G24+G40+G46</f>
        <v>-13730652.025013901</v>
      </c>
      <c r="H53" s="168"/>
      <c r="I53" s="168">
        <f>I20+I24+I40+I46</f>
        <v>0</v>
      </c>
      <c r="J53" s="168">
        <f>J20+J24+J40+J46</f>
        <v>49439</v>
      </c>
      <c r="K53" s="181"/>
      <c r="L53" s="168">
        <f>L20+L24+L40+L46</f>
        <v>51989581.559203714</v>
      </c>
      <c r="M53" s="181"/>
      <c r="N53" s="178"/>
    </row>
    <row r="54" spans="1:14" x14ac:dyDescent="0.25">
      <c r="A54" s="189" t="s">
        <v>87</v>
      </c>
      <c r="B54" s="155"/>
      <c r="C54" s="114"/>
      <c r="D54" s="168">
        <f>D31+D37</f>
        <v>5048444.783789875</v>
      </c>
      <c r="E54" s="155"/>
      <c r="F54" s="168">
        <f>F31+F37</f>
        <v>5374159.3670683345</v>
      </c>
      <c r="G54" s="168">
        <f>G31+G37</f>
        <v>325714.5832784595</v>
      </c>
      <c r="H54" s="168"/>
      <c r="I54" s="168">
        <f>I31+I37</f>
        <v>327675.82342378941</v>
      </c>
      <c r="J54" s="168">
        <f>J31+J37</f>
        <v>0</v>
      </c>
      <c r="K54" s="181"/>
      <c r="L54" s="168">
        <f>L31+L37</f>
        <v>5701835.1904921243</v>
      </c>
      <c r="M54" s="181"/>
      <c r="N54" s="178"/>
    </row>
    <row r="55" spans="1:14" x14ac:dyDescent="0.25">
      <c r="A55" s="189" t="s">
        <v>88</v>
      </c>
      <c r="B55" s="155"/>
      <c r="C55" s="114"/>
      <c r="D55" s="168">
        <f>D22+D35</f>
        <v>14505745.734837748</v>
      </c>
      <c r="E55" s="155"/>
      <c r="F55" s="168">
        <f>F22+F35</f>
        <v>10799362.804135082</v>
      </c>
      <c r="G55" s="168">
        <f>G22+G35</f>
        <v>-3706382.9307026658</v>
      </c>
      <c r="H55" s="168"/>
      <c r="I55" s="168">
        <f>I22+I35</f>
        <v>0</v>
      </c>
      <c r="J55" s="168">
        <f>J22+J35</f>
        <v>0</v>
      </c>
      <c r="K55" s="181"/>
      <c r="L55" s="168">
        <f>L22+L35</f>
        <v>10799362.804135082</v>
      </c>
      <c r="M55" s="181"/>
      <c r="N55" s="178"/>
    </row>
    <row r="56" spans="1:14" ht="13.8" x14ac:dyDescent="0.25">
      <c r="A56" s="204" t="s">
        <v>115</v>
      </c>
      <c r="B56" s="155"/>
      <c r="C56" s="114"/>
      <c r="D56" s="168">
        <f>D47-SUM(D52:D55)</f>
        <v>87918627.961153597</v>
      </c>
      <c r="E56" s="155"/>
      <c r="F56" s="168">
        <f>F47-SUM(F52:F55)</f>
        <v>101211065.87953182</v>
      </c>
      <c r="G56" s="168">
        <f>G47-SUM(G52:G55)</f>
        <v>13292437.918378247</v>
      </c>
      <c r="H56" s="168"/>
      <c r="I56" s="168">
        <f>I47-SUM(I52:I55)</f>
        <v>8032287.6254452625</v>
      </c>
      <c r="J56" s="181"/>
      <c r="K56" s="181"/>
      <c r="L56" s="168">
        <f>L47-SUM(L52:L55)</f>
        <v>109270436.50497714</v>
      </c>
      <c r="M56" s="181"/>
      <c r="N56" s="178"/>
    </row>
    <row r="57" spans="1:14" ht="13.8" x14ac:dyDescent="0.25">
      <c r="A57" s="204"/>
      <c r="B57" s="155"/>
      <c r="C57" s="114"/>
      <c r="D57" s="168"/>
      <c r="E57" s="155"/>
      <c r="F57" s="168"/>
      <c r="G57" s="168"/>
      <c r="H57" s="168"/>
      <c r="I57" s="168"/>
      <c r="J57" s="181"/>
      <c r="K57" s="181"/>
      <c r="L57" s="168"/>
      <c r="M57" s="181"/>
      <c r="N57" s="178"/>
    </row>
    <row r="58" spans="1:14" x14ac:dyDescent="0.25">
      <c r="A58" s="183"/>
      <c r="B58" s="155"/>
      <c r="C58" s="114"/>
      <c r="D58" s="168"/>
      <c r="E58" s="155"/>
      <c r="F58" s="168"/>
      <c r="G58" s="168"/>
      <c r="H58" s="168"/>
      <c r="I58" s="168"/>
      <c r="J58" s="181"/>
      <c r="K58" s="181"/>
      <c r="L58" s="168"/>
      <c r="M58" s="181"/>
      <c r="N58" s="178"/>
    </row>
    <row r="59" spans="1:14" x14ac:dyDescent="0.25">
      <c r="A59" s="183"/>
      <c r="B59" s="155"/>
      <c r="C59" s="114"/>
      <c r="D59" s="168"/>
      <c r="E59" s="155"/>
      <c r="F59" s="168"/>
      <c r="G59" s="168"/>
      <c r="H59" s="168"/>
      <c r="I59" s="168"/>
      <c r="J59" s="181"/>
      <c r="K59" s="181"/>
      <c r="L59" s="168"/>
      <c r="M59" s="181"/>
      <c r="N59" s="178"/>
    </row>
    <row r="60" spans="1:14" x14ac:dyDescent="0.25">
      <c r="A60" s="183"/>
      <c r="B60" s="155"/>
      <c r="C60" s="114"/>
      <c r="D60" s="168"/>
      <c r="E60" s="155"/>
      <c r="F60" s="168"/>
      <c r="G60" s="168"/>
      <c r="H60" s="168"/>
      <c r="I60" s="168"/>
      <c r="J60" s="181"/>
      <c r="K60" s="181"/>
      <c r="L60" s="168"/>
      <c r="M60" s="181"/>
      <c r="N60" s="178"/>
    </row>
    <row r="61" spans="1:14" ht="17.399999999999999" x14ac:dyDescent="0.3">
      <c r="A61" s="110" t="s">
        <v>80</v>
      </c>
      <c r="B61" s="107"/>
      <c r="C61" s="107"/>
      <c r="D61" s="107"/>
      <c r="E61" s="107"/>
      <c r="F61" s="107"/>
      <c r="G61" s="107"/>
      <c r="H61" s="109"/>
      <c r="I61" s="109"/>
      <c r="J61" s="109"/>
      <c r="K61" s="109"/>
      <c r="L61" s="109"/>
      <c r="M61" s="109"/>
      <c r="N61" s="109"/>
    </row>
    <row r="62" spans="1:14" ht="17.399999999999999" x14ac:dyDescent="0.3">
      <c r="A62" s="110"/>
      <c r="B62" s="109">
        <v>-1</v>
      </c>
      <c r="C62" s="109">
        <v>-2</v>
      </c>
      <c r="D62" s="109">
        <v>-3</v>
      </c>
      <c r="E62" s="109"/>
      <c r="F62" s="109"/>
      <c r="G62" s="109"/>
      <c r="J62" s="202"/>
      <c r="L62" s="202"/>
    </row>
    <row r="63" spans="1:14" ht="15.6" x14ac:dyDescent="0.3">
      <c r="A63" s="108"/>
      <c r="B63" s="106" t="s">
        <v>79</v>
      </c>
      <c r="C63" s="106" t="str">
        <f t="shared" ref="C63:E66" si="9">B63</f>
        <v>FFY 2010</v>
      </c>
      <c r="D63" s="106" t="str">
        <f>B63</f>
        <v>FFY 2010</v>
      </c>
      <c r="E63" s="106" t="str">
        <f t="shared" si="9"/>
        <v>FFY 2010</v>
      </c>
      <c r="L63" s="202"/>
    </row>
    <row r="64" spans="1:14" x14ac:dyDescent="0.25">
      <c r="A64" s="107"/>
      <c r="B64" s="106" t="s">
        <v>78</v>
      </c>
      <c r="C64" s="106" t="str">
        <f t="shared" si="9"/>
        <v>Medicaid</v>
      </c>
      <c r="D64" s="106" t="str">
        <f>B64</f>
        <v>Medicaid</v>
      </c>
      <c r="E64" s="106" t="str">
        <f t="shared" si="9"/>
        <v>Medicaid</v>
      </c>
      <c r="L64" s="202"/>
    </row>
    <row r="65" spans="1:5" x14ac:dyDescent="0.25">
      <c r="A65" s="105" t="s">
        <v>52</v>
      </c>
      <c r="B65" s="106" t="s">
        <v>77</v>
      </c>
      <c r="C65" s="106" t="str">
        <f t="shared" si="9"/>
        <v>Inpatient</v>
      </c>
      <c r="D65" s="106" t="str">
        <f>B65</f>
        <v>Inpatient</v>
      </c>
      <c r="E65" s="106" t="str">
        <f t="shared" si="9"/>
        <v>Inpatient</v>
      </c>
    </row>
    <row r="66" spans="1:5" x14ac:dyDescent="0.25">
      <c r="A66" s="105"/>
      <c r="B66" s="106" t="s">
        <v>76</v>
      </c>
      <c r="C66" s="106" t="str">
        <f t="shared" si="9"/>
        <v xml:space="preserve">Net </v>
      </c>
      <c r="D66" s="106" t="str">
        <f>B66</f>
        <v xml:space="preserve">Net </v>
      </c>
      <c r="E66" s="106" t="str">
        <f t="shared" si="9"/>
        <v xml:space="preserve">Net </v>
      </c>
    </row>
    <row r="67" spans="1:5" x14ac:dyDescent="0.25">
      <c r="A67" s="105"/>
      <c r="B67" s="106" t="s">
        <v>75</v>
      </c>
      <c r="C67" s="106" t="str">
        <f>B67</f>
        <v>Revenue</v>
      </c>
      <c r="D67" s="106" t="s">
        <v>74</v>
      </c>
      <c r="E67" s="106" t="str">
        <f>B67</f>
        <v>Revenue</v>
      </c>
    </row>
    <row r="68" spans="1:5" ht="21" x14ac:dyDescent="0.25">
      <c r="A68" s="105"/>
      <c r="B68" s="104" t="s">
        <v>73</v>
      </c>
      <c r="C68" s="103" t="s">
        <v>72</v>
      </c>
      <c r="D68" s="102">
        <f>E17</f>
        <v>25000000</v>
      </c>
      <c r="E68" s="103" t="s">
        <v>72</v>
      </c>
    </row>
    <row r="69" spans="1:5" x14ac:dyDescent="0.25">
      <c r="A69" s="101" t="s">
        <v>26</v>
      </c>
      <c r="B69" s="97">
        <v>6568500</v>
      </c>
      <c r="C69" s="100">
        <f>B69/B$97</f>
        <v>1.4799617138174298E-2</v>
      </c>
      <c r="D69" s="93">
        <f>IF(B69&gt;D$68,D$68,ROUND(B69,0))</f>
        <v>6568500</v>
      </c>
      <c r="E69" s="100">
        <f t="shared" ref="E69:E96" si="10">D69/D$97</f>
        <v>2.1453761418567321E-2</v>
      </c>
    </row>
    <row r="70" spans="1:5" x14ac:dyDescent="0.25">
      <c r="A70" s="99" t="s">
        <v>25</v>
      </c>
      <c r="B70" s="97">
        <v>36750880</v>
      </c>
      <c r="C70" s="100">
        <f t="shared" ref="C70:C96" si="11">B70/B$97</f>
        <v>8.2804133895255691E-2</v>
      </c>
      <c r="D70" s="206">
        <f t="shared" ref="D70:D96" si="12">IF(B70&gt;D$68,D$68,ROUND(B70,0))</f>
        <v>25000000</v>
      </c>
      <c r="E70" s="100">
        <f>D70/D$97</f>
        <v>8.1653959878843427E-2</v>
      </c>
    </row>
    <row r="71" spans="1:5" x14ac:dyDescent="0.25">
      <c r="A71" s="101" t="s">
        <v>24</v>
      </c>
      <c r="B71" s="97">
        <v>4882557</v>
      </c>
      <c r="C71" s="100">
        <f t="shared" si="11"/>
        <v>1.100098565202297E-2</v>
      </c>
      <c r="D71" s="93">
        <f t="shared" si="12"/>
        <v>4882557</v>
      </c>
      <c r="E71" s="100">
        <f t="shared" si="10"/>
        <v>1.5947204535366643E-2</v>
      </c>
    </row>
    <row r="72" spans="1:5" x14ac:dyDescent="0.25">
      <c r="A72" s="101" t="s">
        <v>22</v>
      </c>
      <c r="B72" s="97">
        <v>14179472</v>
      </c>
      <c r="C72" s="100">
        <f t="shared" si="11"/>
        <v>3.194804853794056E-2</v>
      </c>
      <c r="D72" s="93">
        <f t="shared" si="12"/>
        <v>14179472</v>
      </c>
      <c r="E72" s="100">
        <f t="shared" si="10"/>
        <v>4.6312401511647346E-2</v>
      </c>
    </row>
    <row r="73" spans="1:5" x14ac:dyDescent="0.25">
      <c r="A73" s="101" t="s">
        <v>21</v>
      </c>
      <c r="B73" s="97">
        <v>4241450</v>
      </c>
      <c r="C73" s="100">
        <f t="shared" si="11"/>
        <v>9.556494802574313E-3</v>
      </c>
      <c r="D73" s="93">
        <f t="shared" si="12"/>
        <v>4241450</v>
      </c>
      <c r="E73" s="100">
        <f t="shared" si="10"/>
        <v>1.3853247525124818E-2</v>
      </c>
    </row>
    <row r="74" spans="1:5" x14ac:dyDescent="0.25">
      <c r="A74" s="101" t="s">
        <v>20</v>
      </c>
      <c r="B74" s="97">
        <v>2077009</v>
      </c>
      <c r="C74" s="100">
        <f t="shared" si="11"/>
        <v>4.67975001789484E-3</v>
      </c>
      <c r="D74" s="93">
        <f t="shared" si="12"/>
        <v>2077009</v>
      </c>
      <c r="E74" s="100">
        <f t="shared" si="10"/>
        <v>6.7838403821598682E-3</v>
      </c>
    </row>
    <row r="75" spans="1:5" s="155" customFormat="1" x14ac:dyDescent="0.25">
      <c r="A75" s="101" t="s">
        <v>19</v>
      </c>
      <c r="B75" s="97">
        <v>6098674</v>
      </c>
      <c r="C75" s="100">
        <f t="shared" si="11"/>
        <v>1.3741042894197761E-2</v>
      </c>
      <c r="D75" s="93">
        <f t="shared" si="12"/>
        <v>6098674</v>
      </c>
      <c r="E75" s="100">
        <f t="shared" si="10"/>
        <v>1.9919235284405822E-2</v>
      </c>
    </row>
    <row r="76" spans="1:5" x14ac:dyDescent="0.25">
      <c r="A76" s="99" t="s">
        <v>18</v>
      </c>
      <c r="B76" s="97">
        <v>66489002</v>
      </c>
      <c r="C76" s="100">
        <f t="shared" si="11"/>
        <v>0.14980768417436327</v>
      </c>
      <c r="D76" s="206">
        <f t="shared" si="12"/>
        <v>25000000</v>
      </c>
      <c r="E76" s="100">
        <f t="shared" si="10"/>
        <v>8.1653959878843427E-2</v>
      </c>
    </row>
    <row r="77" spans="1:5" x14ac:dyDescent="0.25">
      <c r="A77" s="115" t="s">
        <v>30</v>
      </c>
      <c r="B77" s="97">
        <v>20418163</v>
      </c>
      <c r="C77" s="100">
        <f t="shared" si="11"/>
        <v>4.600456650145944E-2</v>
      </c>
      <c r="D77" s="93">
        <f t="shared" si="12"/>
        <v>20418163</v>
      </c>
      <c r="E77" s="100">
        <f t="shared" si="10"/>
        <v>6.6688954496067404E-2</v>
      </c>
    </row>
    <row r="78" spans="1:5" x14ac:dyDescent="0.25">
      <c r="A78" s="101" t="s">
        <v>17</v>
      </c>
      <c r="B78" s="97">
        <v>4383899</v>
      </c>
      <c r="C78" s="100">
        <f t="shared" si="11"/>
        <v>9.8774494591497546E-3</v>
      </c>
      <c r="D78" s="93">
        <f t="shared" si="12"/>
        <v>4383899</v>
      </c>
      <c r="E78" s="100">
        <f t="shared" si="10"/>
        <v>1.4318508522356072E-2</v>
      </c>
    </row>
    <row r="79" spans="1:5" x14ac:dyDescent="0.25">
      <c r="A79" s="101" t="s">
        <v>16</v>
      </c>
      <c r="B79" s="97">
        <v>2056980</v>
      </c>
      <c r="C79" s="100">
        <f t="shared" si="11"/>
        <v>4.6346222822382229E-3</v>
      </c>
      <c r="D79" s="93">
        <f t="shared" si="12"/>
        <v>2056980</v>
      </c>
      <c r="E79" s="100">
        <f t="shared" si="10"/>
        <v>6.7184224956633341E-3</v>
      </c>
    </row>
    <row r="80" spans="1:5" x14ac:dyDescent="0.25">
      <c r="A80" s="115" t="s">
        <v>31</v>
      </c>
      <c r="B80" s="97">
        <v>12364928</v>
      </c>
      <c r="C80" s="100">
        <f t="shared" si="11"/>
        <v>2.7859663597638917E-2</v>
      </c>
      <c r="D80" s="93">
        <f t="shared" si="12"/>
        <v>12364928</v>
      </c>
      <c r="E80" s="100">
        <f t="shared" si="10"/>
        <v>4.0385813392671506E-2</v>
      </c>
    </row>
    <row r="81" spans="1:5" x14ac:dyDescent="0.25">
      <c r="A81" s="101" t="s">
        <v>15</v>
      </c>
      <c r="B81" s="97">
        <v>5589437</v>
      </c>
      <c r="C81" s="100">
        <f t="shared" si="11"/>
        <v>1.259367094739218E-2</v>
      </c>
      <c r="D81" s="93">
        <f t="shared" si="12"/>
        <v>5589437</v>
      </c>
      <c r="E81" s="100">
        <f t="shared" si="10"/>
        <v>1.8255986581732917E-2</v>
      </c>
    </row>
    <row r="82" spans="1:5" x14ac:dyDescent="0.25">
      <c r="A82" s="101" t="s">
        <v>13</v>
      </c>
      <c r="B82" s="97">
        <v>7724989</v>
      </c>
      <c r="C82" s="100">
        <f t="shared" si="11"/>
        <v>1.7405325355348698E-2</v>
      </c>
      <c r="D82" s="93">
        <f t="shared" si="12"/>
        <v>7724989</v>
      </c>
      <c r="E82" s="100">
        <f t="shared" si="10"/>
        <v>2.523103767482027E-2</v>
      </c>
    </row>
    <row r="83" spans="1:5" x14ac:dyDescent="0.25">
      <c r="A83" s="101" t="s">
        <v>14</v>
      </c>
      <c r="B83" s="97">
        <v>9978042</v>
      </c>
      <c r="C83" s="100">
        <f t="shared" si="11"/>
        <v>2.2481723588128635E-2</v>
      </c>
      <c r="D83" s="93">
        <f t="shared" si="12"/>
        <v>9978042</v>
      </c>
      <c r="E83" s="100">
        <f t="shared" si="10"/>
        <v>3.2589865645496582E-2</v>
      </c>
    </row>
    <row r="84" spans="1:5" x14ac:dyDescent="0.25">
      <c r="A84" s="101" t="s">
        <v>12</v>
      </c>
      <c r="B84" s="97">
        <v>1555529</v>
      </c>
      <c r="C84" s="100">
        <f t="shared" si="11"/>
        <v>3.5047931258776169E-3</v>
      </c>
      <c r="D84" s="93">
        <f t="shared" si="12"/>
        <v>1555529</v>
      </c>
      <c r="E84" s="100">
        <f t="shared" si="10"/>
        <v>5.0806041022550975E-3</v>
      </c>
    </row>
    <row r="85" spans="1:5" x14ac:dyDescent="0.25">
      <c r="A85" s="101" t="s">
        <v>11</v>
      </c>
      <c r="B85" s="97">
        <v>1217702</v>
      </c>
      <c r="C85" s="100">
        <f t="shared" si="11"/>
        <v>2.7436284369930911E-3</v>
      </c>
      <c r="D85" s="93">
        <f t="shared" si="12"/>
        <v>1217702</v>
      </c>
      <c r="E85" s="100">
        <f t="shared" si="10"/>
        <v>3.9772076100954958E-3</v>
      </c>
    </row>
    <row r="86" spans="1:5" x14ac:dyDescent="0.25">
      <c r="A86" s="101" t="s">
        <v>10</v>
      </c>
      <c r="B86" s="97">
        <v>13969936</v>
      </c>
      <c r="C86" s="100">
        <f t="shared" si="11"/>
        <v>3.1475938836081005E-2</v>
      </c>
      <c r="D86" s="93">
        <f t="shared" si="12"/>
        <v>13969936</v>
      </c>
      <c r="E86" s="100">
        <f t="shared" si="10"/>
        <v>4.5628023746160415E-2</v>
      </c>
    </row>
    <row r="87" spans="1:5" x14ac:dyDescent="0.25">
      <c r="A87" s="101" t="s">
        <v>9</v>
      </c>
      <c r="B87" s="97">
        <v>2072762</v>
      </c>
      <c r="C87" s="100">
        <f t="shared" si="11"/>
        <v>4.6701810182776023E-3</v>
      </c>
      <c r="D87" s="93">
        <f t="shared" si="12"/>
        <v>2072762</v>
      </c>
      <c r="E87" s="100">
        <f t="shared" si="10"/>
        <v>6.7699690074556496E-3</v>
      </c>
    </row>
    <row r="88" spans="1:5" x14ac:dyDescent="0.25">
      <c r="A88" s="99" t="s">
        <v>8</v>
      </c>
      <c r="B88" s="97">
        <v>37421350</v>
      </c>
      <c r="C88" s="100">
        <f t="shared" si="11"/>
        <v>8.431478310019315E-2</v>
      </c>
      <c r="D88" s="206">
        <f t="shared" si="12"/>
        <v>25000000</v>
      </c>
      <c r="E88" s="100">
        <f t="shared" si="10"/>
        <v>8.1653959878843427E-2</v>
      </c>
    </row>
    <row r="89" spans="1:5" x14ac:dyDescent="0.25">
      <c r="A89" s="101" t="s">
        <v>7</v>
      </c>
      <c r="B89" s="97">
        <v>12605983</v>
      </c>
      <c r="C89" s="100">
        <f t="shared" si="11"/>
        <v>2.8402789381188072E-2</v>
      </c>
      <c r="D89" s="93">
        <f t="shared" si="12"/>
        <v>12605983</v>
      </c>
      <c r="E89" s="100">
        <f t="shared" si="10"/>
        <v>4.1173137204615289E-2</v>
      </c>
    </row>
    <row r="90" spans="1:5" x14ac:dyDescent="0.25">
      <c r="A90" s="101" t="s">
        <v>6</v>
      </c>
      <c r="B90" s="97">
        <v>21976565</v>
      </c>
      <c r="C90" s="100">
        <f t="shared" si="11"/>
        <v>4.9515832840405179E-2</v>
      </c>
      <c r="D90" s="93">
        <f t="shared" si="12"/>
        <v>21976565</v>
      </c>
      <c r="E90" s="100">
        <f t="shared" si="10"/>
        <v>7.1778942271391782E-2</v>
      </c>
    </row>
    <row r="91" spans="1:5" x14ac:dyDescent="0.25">
      <c r="A91" s="101" t="s">
        <v>5</v>
      </c>
      <c r="B91" s="97">
        <v>24004368</v>
      </c>
      <c r="C91" s="100">
        <f t="shared" si="11"/>
        <v>5.4084715847429805E-2</v>
      </c>
      <c r="D91" s="93">
        <f t="shared" si="12"/>
        <v>24004368</v>
      </c>
      <c r="E91" s="100">
        <f t="shared" si="10"/>
        <v>7.8402068063559718E-2</v>
      </c>
    </row>
    <row r="92" spans="1:5" x14ac:dyDescent="0.25">
      <c r="A92" s="101" t="s">
        <v>4</v>
      </c>
      <c r="B92" s="97">
        <v>750725</v>
      </c>
      <c r="C92" s="100">
        <f t="shared" si="11"/>
        <v>1.691473331210459E-3</v>
      </c>
      <c r="D92" s="93">
        <f t="shared" si="12"/>
        <v>750725</v>
      </c>
      <c r="E92" s="100">
        <f t="shared" si="10"/>
        <v>2.4519867612017893E-3</v>
      </c>
    </row>
    <row r="93" spans="1:5" x14ac:dyDescent="0.25">
      <c r="A93" s="101" t="s">
        <v>3</v>
      </c>
      <c r="B93" s="97">
        <v>11714938</v>
      </c>
      <c r="C93" s="100">
        <f t="shared" si="11"/>
        <v>2.6395158285369466E-2</v>
      </c>
      <c r="D93" s="93">
        <f t="shared" si="12"/>
        <v>11714938</v>
      </c>
      <c r="E93" s="100">
        <f t="shared" si="10"/>
        <v>3.8262843097405526E-2</v>
      </c>
    </row>
    <row r="94" spans="1:5" x14ac:dyDescent="0.25">
      <c r="A94" s="101" t="s">
        <v>2</v>
      </c>
      <c r="B94" s="97">
        <v>10693504</v>
      </c>
      <c r="C94" s="100">
        <f t="shared" si="11"/>
        <v>2.4093745157271126E-2</v>
      </c>
      <c r="D94" s="93">
        <f t="shared" si="12"/>
        <v>10693504</v>
      </c>
      <c r="E94" s="100">
        <f t="shared" si="10"/>
        <v>3.4926677863210069E-2</v>
      </c>
    </row>
    <row r="95" spans="1:5" x14ac:dyDescent="0.25">
      <c r="A95" s="101" t="s">
        <v>1</v>
      </c>
      <c r="B95" s="97">
        <v>5043975</v>
      </c>
      <c r="C95" s="100">
        <f t="shared" si="11"/>
        <v>1.1364679737310299E-2</v>
      </c>
      <c r="D95" s="93">
        <f t="shared" si="12"/>
        <v>5043975</v>
      </c>
      <c r="E95" s="100">
        <f t="shared" si="10"/>
        <v>1.6474421291195571E-2</v>
      </c>
    </row>
    <row r="96" spans="1:5" x14ac:dyDescent="0.25">
      <c r="A96" s="193" t="s">
        <v>32</v>
      </c>
      <c r="B96" s="97">
        <v>96997730</v>
      </c>
      <c r="C96" s="100">
        <f t="shared" si="11"/>
        <v>0.21854750205861356</v>
      </c>
      <c r="D96" s="206">
        <f t="shared" si="12"/>
        <v>25000000</v>
      </c>
      <c r="E96" s="100">
        <f t="shared" si="10"/>
        <v>8.1653959878843427E-2</v>
      </c>
    </row>
    <row r="97" spans="1:14" x14ac:dyDescent="0.25">
      <c r="A97" s="99" t="s">
        <v>0</v>
      </c>
      <c r="B97" s="97">
        <f>SUM(B69:B96)</f>
        <v>443829049</v>
      </c>
      <c r="C97" s="98">
        <f>SUM(C69:C96)</f>
        <v>1</v>
      </c>
      <c r="D97" s="93">
        <f>SUM(D69:D96)</f>
        <v>306170087</v>
      </c>
      <c r="E97" s="98">
        <f>SUM(E69:E96)</f>
        <v>0.99999999999999989</v>
      </c>
      <c r="I97" s="93"/>
      <c r="J97" s="93"/>
      <c r="K97" s="93"/>
      <c r="L97" s="93"/>
      <c r="M97" s="93"/>
      <c r="N97" s="93"/>
    </row>
    <row r="98" spans="1:14" x14ac:dyDescent="0.25">
      <c r="A98" s="92"/>
      <c r="B98" s="96"/>
      <c r="C98" s="92"/>
      <c r="D98" s="92"/>
      <c r="F98" s="95"/>
      <c r="G98" s="95"/>
      <c r="H98" s="91"/>
      <c r="I98" s="91"/>
      <c r="J98" s="91"/>
      <c r="K98" s="91"/>
      <c r="L98" s="91"/>
      <c r="M98" s="91"/>
      <c r="N98" s="91"/>
    </row>
    <row r="99" spans="1:14" x14ac:dyDescent="0.25">
      <c r="A99" s="68"/>
      <c r="B99" s="91"/>
      <c r="C99" s="91"/>
      <c r="D99" s="91"/>
      <c r="E99" s="91"/>
      <c r="F99" s="91"/>
      <c r="G99" s="91"/>
      <c r="H99" s="88"/>
      <c r="I99" s="88"/>
      <c r="J99" s="88"/>
      <c r="K99" s="88"/>
      <c r="L99" s="88"/>
      <c r="M99" s="88"/>
      <c r="N99" s="88"/>
    </row>
    <row r="100" spans="1:14" ht="15.6" x14ac:dyDescent="0.3">
      <c r="A100" s="90"/>
      <c r="B100" s="86"/>
      <c r="C100" s="85"/>
      <c r="D100" s="85"/>
      <c r="E100" s="85"/>
      <c r="F100" s="85"/>
      <c r="G100" s="85"/>
      <c r="H100" s="89"/>
      <c r="I100" s="89"/>
      <c r="J100" s="89"/>
      <c r="K100" s="89"/>
      <c r="L100" s="89"/>
      <c r="M100" s="89"/>
      <c r="N100" s="89"/>
    </row>
    <row r="101" spans="1:14" x14ac:dyDescent="0.25">
      <c r="A101" s="84"/>
      <c r="B101" s="86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1:14" x14ac:dyDescent="0.25">
      <c r="A102" s="84"/>
      <c r="B102" s="86"/>
      <c r="C102" s="84"/>
      <c r="D102" s="84"/>
      <c r="E102" s="85"/>
      <c r="F102" s="85"/>
      <c r="G102" s="88"/>
      <c r="H102" s="84"/>
      <c r="I102" s="84"/>
      <c r="J102" s="84"/>
      <c r="K102" s="84"/>
      <c r="L102" s="84"/>
      <c r="M102" s="84"/>
      <c r="N102" s="84"/>
    </row>
    <row r="103" spans="1:14" x14ac:dyDescent="0.25">
      <c r="A103" s="84"/>
      <c r="B103" s="84"/>
      <c r="C103" s="84"/>
      <c r="D103" s="84"/>
      <c r="E103" s="85"/>
      <c r="F103" s="85"/>
      <c r="G103" s="84"/>
      <c r="H103" s="84"/>
      <c r="I103" s="84"/>
      <c r="J103" s="84"/>
      <c r="K103" s="84"/>
      <c r="L103" s="84"/>
      <c r="M103" s="84"/>
      <c r="N103" s="84"/>
    </row>
    <row r="104" spans="1:14" x14ac:dyDescent="0.25">
      <c r="A104" s="84"/>
      <c r="B104" s="84"/>
      <c r="C104" s="84"/>
      <c r="D104" s="87"/>
      <c r="E104" s="84"/>
      <c r="F104" s="85"/>
      <c r="G104" s="84"/>
      <c r="H104" s="84"/>
      <c r="I104" s="84"/>
      <c r="J104" s="84"/>
      <c r="K104" s="84"/>
      <c r="L104" s="84"/>
      <c r="M104" s="84"/>
      <c r="N104" s="84"/>
    </row>
    <row r="105" spans="1:14" x14ac:dyDescent="0.25">
      <c r="A105" s="84"/>
      <c r="B105" s="86"/>
      <c r="C105" s="84"/>
      <c r="D105" s="84"/>
      <c r="E105" s="85"/>
      <c r="F105" s="84"/>
      <c r="G105" s="84"/>
      <c r="H105" s="79"/>
      <c r="I105" s="79"/>
      <c r="J105" s="79"/>
      <c r="K105" s="79"/>
      <c r="L105" s="79"/>
      <c r="M105" s="79"/>
      <c r="N105" s="79"/>
    </row>
    <row r="106" spans="1:14" ht="65.25" customHeight="1" x14ac:dyDescent="0.3">
      <c r="A106" s="83"/>
      <c r="B106" s="79"/>
      <c r="C106" s="82"/>
      <c r="D106" s="79"/>
      <c r="E106" s="79"/>
      <c r="F106" s="81"/>
      <c r="G106" s="80"/>
      <c r="H106" s="72"/>
      <c r="I106" s="72"/>
      <c r="J106" s="72"/>
      <c r="K106" s="72"/>
      <c r="L106" s="72"/>
      <c r="M106" s="72"/>
      <c r="N106" s="72"/>
    </row>
    <row r="107" spans="1:14" x14ac:dyDescent="0.25">
      <c r="A107" s="68"/>
      <c r="B107" s="78"/>
      <c r="C107" s="72"/>
      <c r="D107" s="77"/>
      <c r="E107" s="76"/>
      <c r="F107" s="76"/>
      <c r="G107" s="74"/>
      <c r="H107" s="70"/>
      <c r="I107" s="70"/>
      <c r="J107" s="70"/>
      <c r="K107" s="70"/>
      <c r="L107" s="70"/>
      <c r="M107" s="70"/>
      <c r="N107" s="70"/>
    </row>
    <row r="108" spans="1:14" x14ac:dyDescent="0.25">
      <c r="A108" s="68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</row>
    <row r="109" spans="1:14" x14ac:dyDescent="0.25">
      <c r="A109" s="68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</row>
    <row r="110" spans="1:14" x14ac:dyDescent="0.25">
      <c r="A110" s="68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</row>
    <row r="111" spans="1:14" x14ac:dyDescent="0.25">
      <c r="A111" s="68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</row>
    <row r="112" spans="1:14" x14ac:dyDescent="0.25">
      <c r="A112" s="68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</row>
    <row r="113" spans="1:14" x14ac:dyDescent="0.25">
      <c r="A113" s="68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</row>
    <row r="114" spans="1:14" x14ac:dyDescent="0.25">
      <c r="A114" s="68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</row>
    <row r="115" spans="1:14" x14ac:dyDescent="0.25">
      <c r="A115" s="68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</row>
    <row r="116" spans="1:14" x14ac:dyDescent="0.25">
      <c r="A116" s="68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</row>
    <row r="117" spans="1:14" x14ac:dyDescent="0.25">
      <c r="A117" s="68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</row>
    <row r="118" spans="1:14" x14ac:dyDescent="0.25">
      <c r="A118" s="68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</row>
    <row r="119" spans="1:14" x14ac:dyDescent="0.25">
      <c r="A119" s="68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</row>
    <row r="120" spans="1:14" x14ac:dyDescent="0.25">
      <c r="A120" s="68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</row>
    <row r="121" spans="1:14" x14ac:dyDescent="0.25">
      <c r="A121" s="68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</row>
    <row r="122" spans="1:14" x14ac:dyDescent="0.25">
      <c r="A122" s="68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</row>
    <row r="123" spans="1:14" x14ac:dyDescent="0.25">
      <c r="A123" s="68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</row>
    <row r="124" spans="1:14" x14ac:dyDescent="0.25">
      <c r="A124" s="68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</row>
    <row r="125" spans="1:14" x14ac:dyDescent="0.25">
      <c r="A125" s="68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</row>
    <row r="126" spans="1:14" x14ac:dyDescent="0.25">
      <c r="A126" s="68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</row>
    <row r="127" spans="1:14" x14ac:dyDescent="0.25">
      <c r="A127" s="68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</row>
    <row r="128" spans="1:14" x14ac:dyDescent="0.25">
      <c r="A128" s="68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</row>
    <row r="129" spans="1:14" x14ac:dyDescent="0.25">
      <c r="A129" s="68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</row>
    <row r="130" spans="1:14" x14ac:dyDescent="0.25">
      <c r="A130" s="68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</row>
    <row r="131" spans="1:14" x14ac:dyDescent="0.25">
      <c r="A131" s="68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</row>
    <row r="132" spans="1:14" x14ac:dyDescent="0.25">
      <c r="A132" s="68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</row>
    <row r="133" spans="1:14" x14ac:dyDescent="0.25">
      <c r="A133" s="68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</row>
    <row r="134" spans="1:14" x14ac:dyDescent="0.25">
      <c r="A134" s="68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</row>
    <row r="135" spans="1:14" x14ac:dyDescent="0.25">
      <c r="A135" s="68"/>
      <c r="B135" s="70"/>
      <c r="C135" s="70"/>
      <c r="D135" s="70"/>
      <c r="E135" s="70"/>
      <c r="F135" s="70"/>
      <c r="G135" s="70"/>
      <c r="H135" s="67"/>
      <c r="I135" s="67"/>
      <c r="J135" s="67"/>
      <c r="K135" s="67"/>
      <c r="L135" s="67"/>
      <c r="M135" s="67"/>
      <c r="N135" s="67"/>
    </row>
    <row r="136" spans="1:14" x14ac:dyDescent="0.25">
      <c r="A136" s="68"/>
      <c r="B136" s="67"/>
      <c r="C136" s="67"/>
      <c r="D136" s="67"/>
      <c r="E136" s="67"/>
      <c r="F136" s="67"/>
      <c r="G136" s="67"/>
      <c r="H136" s="65"/>
      <c r="I136" s="65"/>
      <c r="J136" s="65"/>
      <c r="K136" s="65"/>
      <c r="L136" s="65"/>
      <c r="M136" s="65"/>
      <c r="N136" s="65"/>
    </row>
    <row r="137" spans="1:14" x14ac:dyDescent="0.25">
      <c r="A137" s="69"/>
      <c r="B137" s="65"/>
      <c r="C137" s="65"/>
      <c r="D137" s="65"/>
      <c r="E137" s="65"/>
      <c r="F137" s="65"/>
      <c r="G137" s="65"/>
    </row>
    <row r="138" spans="1:14" x14ac:dyDescent="0.25">
      <c r="A138" s="68"/>
      <c r="B138" s="65"/>
      <c r="C138" s="65"/>
      <c r="D138" s="65"/>
      <c r="E138" s="65"/>
      <c r="F138" s="65"/>
      <c r="G138" s="65"/>
    </row>
    <row r="139" spans="1:14" x14ac:dyDescent="0.25">
      <c r="A139" s="68"/>
      <c r="B139" s="65"/>
      <c r="C139" s="67"/>
      <c r="D139" s="67"/>
      <c r="E139" s="67"/>
      <c r="F139" s="67"/>
      <c r="G139" s="67"/>
    </row>
    <row r="140" spans="1:14" x14ac:dyDescent="0.25">
      <c r="A140" s="66"/>
      <c r="B140" s="65"/>
      <c r="C140" s="65"/>
      <c r="D140" s="65"/>
      <c r="E140" s="65"/>
      <c r="F140" s="65"/>
      <c r="G140" s="65"/>
    </row>
    <row r="141" spans="1:14" x14ac:dyDescent="0.25">
      <c r="A141" s="66"/>
      <c r="B141" s="65"/>
      <c r="C141" s="65"/>
      <c r="D141" s="65"/>
      <c r="E141" s="65"/>
      <c r="F141" s="65"/>
      <c r="G141" s="65"/>
    </row>
    <row r="142" spans="1:14" x14ac:dyDescent="0.25">
      <c r="A142" s="66"/>
      <c r="B142" s="65"/>
      <c r="C142" s="65"/>
      <c r="D142" s="65"/>
      <c r="E142" s="65"/>
      <c r="F142" s="65"/>
      <c r="G142" s="65"/>
    </row>
    <row r="143" spans="1:14" x14ac:dyDescent="0.25">
      <c r="A143" s="66"/>
      <c r="B143" s="65"/>
      <c r="C143" s="65"/>
      <c r="D143" s="65"/>
      <c r="E143" s="65"/>
      <c r="F143" s="65"/>
      <c r="G143" s="65"/>
    </row>
    <row r="144" spans="1:14" x14ac:dyDescent="0.25">
      <c r="A144" s="66"/>
      <c r="B144" s="65"/>
      <c r="C144" s="65"/>
      <c r="D144" s="65"/>
      <c r="E144" s="65"/>
      <c r="F144" s="65"/>
      <c r="G144" s="65"/>
    </row>
    <row r="145" spans="1:7" x14ac:dyDescent="0.25">
      <c r="A145" s="66"/>
      <c r="B145" s="65"/>
      <c r="C145" s="65"/>
      <c r="D145" s="65"/>
      <c r="E145" s="65"/>
      <c r="F145" s="65"/>
      <c r="G145" s="65"/>
    </row>
    <row r="146" spans="1:7" x14ac:dyDescent="0.25">
      <c r="A146" s="66"/>
      <c r="B146" s="65"/>
      <c r="C146" s="65"/>
      <c r="D146" s="65"/>
      <c r="E146" s="65"/>
      <c r="F146" s="65"/>
      <c r="G146" s="65"/>
    </row>
  </sheetData>
  <conditionalFormatting sqref="C19:C46">
    <cfRule type="cellIs" dxfId="35" priority="19" stopIfTrue="1" operator="greaterThan">
      <formula>$C$17</formula>
    </cfRule>
    <cfRule type="cellIs" dxfId="34" priority="20" stopIfTrue="1" operator="greaterThan">
      <formula>$C$17</formula>
    </cfRule>
    <cfRule type="cellIs" dxfId="33" priority="24" stopIfTrue="1" operator="lessThan">
      <formula>-1000000</formula>
    </cfRule>
  </conditionalFormatting>
  <conditionalFormatting sqref="D69:D96">
    <cfRule type="cellIs" dxfId="32" priority="23" operator="equal">
      <formula>$C$8</formula>
    </cfRule>
  </conditionalFormatting>
  <conditionalFormatting sqref="C47">
    <cfRule type="cellIs" dxfId="31" priority="21" stopIfTrue="1" operator="lessThan">
      <formula>-1000000</formula>
    </cfRule>
  </conditionalFormatting>
  <conditionalFormatting sqref="C17">
    <cfRule type="cellIs" dxfId="30" priority="16" stopIfTrue="1" operator="greaterThan">
      <formula>$C$17</formula>
    </cfRule>
    <cfRule type="cellIs" dxfId="29" priority="17" stopIfTrue="1" operator="greaterThan">
      <formula>$C$17</formula>
    </cfRule>
    <cfRule type="cellIs" dxfId="28" priority="18" stopIfTrue="1" operator="lessThan">
      <formula>-1000000</formula>
    </cfRule>
  </conditionalFormatting>
  <conditionalFormatting sqref="E19:E46">
    <cfRule type="cellIs" dxfId="27" priority="26" stopIfTrue="1" operator="equal">
      <formula>0.037085</formula>
    </cfRule>
    <cfRule type="cellIs" dxfId="26" priority="27" stopIfTrue="1" operator="equal">
      <formula>$E$48</formula>
    </cfRule>
  </conditionalFormatting>
  <conditionalFormatting sqref="F19">
    <cfRule type="expression" priority="10" stopIfTrue="1">
      <formula>D19&gt;0</formula>
    </cfRule>
    <cfRule type="expression" dxfId="25" priority="11">
      <formula>H18e18&gt;B19</formula>
    </cfRule>
  </conditionalFormatting>
  <conditionalFormatting sqref="F20:F46">
    <cfRule type="expression" priority="8" stopIfTrue="1">
      <formula>D20&gt;0</formula>
    </cfRule>
    <cfRule type="expression" dxfId="24" priority="9">
      <formula>H18e18&gt;B20</formula>
    </cfRule>
  </conditionalFormatting>
  <conditionalFormatting sqref="G19:G46 K19:M46">
    <cfRule type="cellIs" dxfId="23" priority="28" stopIfTrue="1" operator="lessThan">
      <formula>$G$17</formula>
    </cfRule>
  </conditionalFormatting>
  <conditionalFormatting sqref="N19:N46">
    <cfRule type="cellIs" dxfId="22" priority="5" operator="lessThan">
      <formula>0</formula>
    </cfRule>
    <cfRule type="cellIs" dxfId="21" priority="6" stopIfTrue="1" operator="lessThan">
      <formula>$G$17</formula>
    </cfRule>
  </conditionalFormatting>
  <conditionalFormatting sqref="H19:H20">
    <cfRule type="cellIs" dxfId="20" priority="3" stopIfTrue="1" operator="equal">
      <formula>0.037085</formula>
    </cfRule>
    <cfRule type="cellIs" dxfId="19" priority="4" stopIfTrue="1" operator="equal">
      <formula>$E$48</formula>
    </cfRule>
  </conditionalFormatting>
  <printOptions headings="1" gridLines="1"/>
  <pageMargins left="0.25" right="0.25" top="0.25" bottom="0.59" header="0.25" footer="0.25"/>
  <pageSetup scale="72" fitToHeight="2" orientation="landscape" r:id="rId1"/>
  <headerFooter alignWithMargins="0">
    <oddFooter>&amp;L&amp;8&amp;Z&amp;F, &amp;A&amp;R&amp;8&amp;D, &amp;T</oddFooter>
  </headerFooter>
  <rowBreaks count="1" manualBreakCount="1">
    <brk id="6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X146"/>
  <sheetViews>
    <sheetView zoomScaleNormal="100" zoomScaleSheetLayoutView="100" workbookViewId="0">
      <selection activeCell="J15" sqref="J15"/>
    </sheetView>
  </sheetViews>
  <sheetFormatPr defaultColWidth="12.5546875" defaultRowHeight="13.2" x14ac:dyDescent="0.25"/>
  <cols>
    <col min="1" max="1" width="12.88671875" style="64" customWidth="1"/>
    <col min="2" max="2" width="14.6640625" style="64" customWidth="1"/>
    <col min="3" max="3" width="10" style="64" customWidth="1"/>
    <col min="4" max="4" width="15.5546875" style="64" customWidth="1"/>
    <col min="5" max="5" width="11.33203125" style="64" customWidth="1"/>
    <col min="6" max="6" width="14.88671875" style="64" customWidth="1"/>
    <col min="7" max="7" width="11.6640625" style="64" customWidth="1"/>
    <col min="8" max="8" width="11" style="64" customWidth="1"/>
    <col min="9" max="9" width="12" style="64" customWidth="1"/>
    <col min="10" max="10" width="9.44140625" style="64" bestFit="1" customWidth="1"/>
    <col min="11" max="11" width="12" style="64" customWidth="1"/>
    <col min="12" max="14" width="13.88671875" style="64" customWidth="1"/>
    <col min="15" max="15" width="13.88671875" style="64" bestFit="1" customWidth="1"/>
    <col min="16" max="18" width="13.88671875" style="64" customWidth="1"/>
    <col min="19" max="19" width="15.5546875" style="64" bestFit="1" customWidth="1"/>
    <col min="20" max="20" width="16.109375" style="64" customWidth="1"/>
    <col min="21" max="21" width="13.88671875" style="64" customWidth="1"/>
    <col min="22" max="28" width="9.109375" style="64" customWidth="1"/>
    <col min="29" max="29" width="15.5546875" style="64" customWidth="1"/>
    <col min="30" max="41" width="9.109375" style="64" customWidth="1"/>
    <col min="42" max="42" width="12.33203125" style="64" bestFit="1" customWidth="1"/>
    <col min="43" max="254" width="9.109375" style="64" customWidth="1"/>
    <col min="255" max="255" width="12.88671875" style="64" customWidth="1"/>
    <col min="256" max="256" width="13.6640625" style="64" customWidth="1"/>
    <col min="257" max="257" width="15.33203125" style="64" customWidth="1"/>
    <col min="258" max="258" width="15.5546875" style="64" customWidth="1"/>
    <col min="259" max="16384" width="12.5546875" style="64"/>
  </cols>
  <sheetData>
    <row r="1" spans="1:25" ht="23.25" customHeight="1" x14ac:dyDescent="0.4">
      <c r="A1" s="130" t="s">
        <v>110</v>
      </c>
      <c r="B1" s="129"/>
      <c r="C1" s="126"/>
      <c r="D1" s="126"/>
      <c r="E1" s="126"/>
      <c r="F1" s="126"/>
      <c r="G1" s="115"/>
      <c r="H1" s="115"/>
      <c r="L1" s="115"/>
      <c r="M1" s="115"/>
      <c r="N1" s="115"/>
      <c r="O1" s="115"/>
      <c r="P1" s="115"/>
      <c r="Q1" s="115"/>
      <c r="R1" s="115"/>
      <c r="S1" s="115"/>
      <c r="T1" s="209"/>
      <c r="U1" s="113"/>
      <c r="V1" s="120"/>
      <c r="W1" s="84"/>
      <c r="X1" s="84"/>
      <c r="Y1" s="210"/>
    </row>
    <row r="2" spans="1:25" ht="17.399999999999999" hidden="1" x14ac:dyDescent="0.3">
      <c r="A2" s="129"/>
      <c r="B2" s="129"/>
      <c r="C2" s="126"/>
      <c r="D2" s="126"/>
      <c r="E2" s="126"/>
      <c r="F2" s="126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260"/>
      <c r="U2" s="261"/>
      <c r="V2" s="140"/>
      <c r="W2" s="139"/>
      <c r="X2" s="139"/>
      <c r="Y2" s="122"/>
    </row>
    <row r="3" spans="1:25" ht="16.5" hidden="1" customHeight="1" x14ac:dyDescent="0.3">
      <c r="A3" s="135"/>
      <c r="B3" s="129"/>
      <c r="C3" s="131"/>
      <c r="D3" s="126"/>
      <c r="E3" s="126"/>
      <c r="F3" s="126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264"/>
      <c r="U3" s="265"/>
      <c r="V3" s="138"/>
      <c r="W3" s="137"/>
      <c r="X3" s="136"/>
      <c r="Y3" s="68"/>
    </row>
    <row r="4" spans="1:25" ht="18" hidden="1" customHeight="1" x14ac:dyDescent="0.3">
      <c r="A4" s="135"/>
      <c r="B4" s="129"/>
      <c r="C4" s="131"/>
      <c r="D4" s="126"/>
      <c r="E4" s="126"/>
      <c r="F4" s="126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11"/>
      <c r="W4" s="139"/>
      <c r="X4" s="132"/>
      <c r="Y4" s="68"/>
    </row>
    <row r="5" spans="1:25" ht="17.399999999999999" hidden="1" x14ac:dyDescent="0.3">
      <c r="A5" s="135"/>
      <c r="B5" s="129"/>
      <c r="C5" s="131"/>
      <c r="D5" s="126"/>
      <c r="E5" s="126"/>
      <c r="F5" s="126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266"/>
      <c r="U5" s="267"/>
      <c r="V5" s="134"/>
      <c r="W5" s="133"/>
      <c r="X5" s="132"/>
      <c r="Y5" s="68"/>
    </row>
    <row r="6" spans="1:25" ht="17.399999999999999" hidden="1" x14ac:dyDescent="0.3">
      <c r="A6" s="130"/>
      <c r="B6" s="129"/>
      <c r="C6" s="131"/>
      <c r="D6" s="126"/>
      <c r="E6" s="126"/>
      <c r="F6" s="126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260"/>
      <c r="U6" s="261"/>
      <c r="V6" s="212"/>
      <c r="W6" s="213"/>
      <c r="X6" s="214"/>
      <c r="Y6" s="68"/>
    </row>
    <row r="7" spans="1:25" ht="4.5" customHeight="1" x14ac:dyDescent="0.3">
      <c r="B7" s="129"/>
      <c r="C7" s="126"/>
      <c r="D7" s="126"/>
      <c r="E7" s="126"/>
      <c r="F7" s="126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260"/>
      <c r="U7" s="261"/>
      <c r="V7" s="215"/>
      <c r="W7" s="216"/>
      <c r="X7" s="217"/>
      <c r="Y7" s="68"/>
    </row>
    <row r="8" spans="1:25" ht="4.5" customHeight="1" x14ac:dyDescent="0.3">
      <c r="A8" s="130"/>
      <c r="B8" s="129"/>
      <c r="C8" s="126"/>
      <c r="D8" s="126"/>
      <c r="E8" s="126"/>
      <c r="F8" s="126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260"/>
      <c r="U8" s="261"/>
      <c r="V8" s="218"/>
      <c r="W8" s="216"/>
      <c r="X8" s="219"/>
      <c r="Y8" s="68"/>
    </row>
    <row r="9" spans="1:25" ht="4.5" customHeight="1" x14ac:dyDescent="0.3">
      <c r="A9" s="130"/>
      <c r="B9" s="129"/>
      <c r="C9" s="126"/>
      <c r="D9" s="126"/>
      <c r="E9" s="126"/>
      <c r="F9" s="126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220"/>
      <c r="U9" s="208"/>
      <c r="V9" s="221"/>
      <c r="W9" s="258"/>
      <c r="X9" s="259"/>
      <c r="Y9" s="68"/>
    </row>
    <row r="10" spans="1:25" ht="14.25" customHeight="1" x14ac:dyDescent="0.25">
      <c r="A10" s="155"/>
      <c r="B10" s="165"/>
      <c r="C10" s="120"/>
      <c r="D10" s="184" t="s">
        <v>93</v>
      </c>
      <c r="E10" s="75"/>
      <c r="F10" s="75" t="s">
        <v>116</v>
      </c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260"/>
      <c r="U10" s="261"/>
      <c r="V10" s="120"/>
      <c r="W10" s="262"/>
      <c r="X10" s="263"/>
      <c r="Y10" s="84"/>
    </row>
    <row r="11" spans="1:25" ht="3" customHeight="1" x14ac:dyDescent="0.25">
      <c r="A11" s="127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144"/>
    </row>
    <row r="12" spans="1:25" x14ac:dyDescent="0.25">
      <c r="A12" s="115"/>
      <c r="B12" s="125">
        <v>-1</v>
      </c>
      <c r="C12" s="125">
        <v>-2</v>
      </c>
      <c r="D12" s="125">
        <v>-3</v>
      </c>
      <c r="E12" s="125">
        <v>-4</v>
      </c>
      <c r="F12" s="125">
        <v>-5</v>
      </c>
      <c r="G12" s="125">
        <v>-6</v>
      </c>
      <c r="H12" s="125">
        <v>-7</v>
      </c>
      <c r="I12" s="125">
        <v>-8</v>
      </c>
      <c r="J12" s="125">
        <v>-9</v>
      </c>
      <c r="K12" s="125">
        <v>-10</v>
      </c>
      <c r="L12" s="125">
        <v>-11</v>
      </c>
      <c r="M12" s="125">
        <v>-12</v>
      </c>
      <c r="N12" s="125"/>
      <c r="P12" s="125"/>
      <c r="Q12" s="125"/>
      <c r="R12" s="125"/>
      <c r="U12" s="125"/>
    </row>
    <row r="13" spans="1:25" x14ac:dyDescent="0.25">
      <c r="A13" s="120"/>
      <c r="B13" s="154" t="s">
        <v>86</v>
      </c>
      <c r="C13" s="154" t="s">
        <v>86</v>
      </c>
      <c r="D13" s="154" t="s">
        <v>86</v>
      </c>
      <c r="E13" s="154" t="s">
        <v>86</v>
      </c>
      <c r="F13" s="154" t="s">
        <v>86</v>
      </c>
      <c r="G13" s="154" t="s">
        <v>86</v>
      </c>
      <c r="H13" s="154" t="s">
        <v>86</v>
      </c>
      <c r="I13" s="154" t="s">
        <v>86</v>
      </c>
      <c r="J13" s="154" t="s">
        <v>86</v>
      </c>
      <c r="K13" s="154" t="s">
        <v>86</v>
      </c>
      <c r="L13" s="85" t="s">
        <v>86</v>
      </c>
      <c r="M13" s="154" t="s">
        <v>86</v>
      </c>
      <c r="N13" s="154"/>
      <c r="P13" s="85"/>
      <c r="Q13" s="85"/>
      <c r="R13" s="85"/>
      <c r="S13" s="154"/>
      <c r="T13" s="154"/>
      <c r="U13" s="154"/>
      <c r="V13" s="154"/>
      <c r="W13" s="155"/>
    </row>
    <row r="14" spans="1:25" ht="52.8" x14ac:dyDescent="0.25">
      <c r="A14" s="120"/>
      <c r="B14" s="122" t="s">
        <v>108</v>
      </c>
      <c r="C14" s="122" t="s">
        <v>81</v>
      </c>
      <c r="D14" s="122" t="s">
        <v>112</v>
      </c>
      <c r="E14" s="122" t="s">
        <v>83</v>
      </c>
      <c r="F14" s="122" t="s">
        <v>90</v>
      </c>
      <c r="G14" s="122" t="s">
        <v>92</v>
      </c>
      <c r="H14" s="122" t="s">
        <v>83</v>
      </c>
      <c r="I14" s="122" t="s">
        <v>94</v>
      </c>
      <c r="J14" s="122" t="s">
        <v>190</v>
      </c>
      <c r="K14" s="122" t="s">
        <v>96</v>
      </c>
      <c r="L14" s="142" t="s">
        <v>186</v>
      </c>
      <c r="M14" s="142" t="s">
        <v>187</v>
      </c>
      <c r="N14" s="142"/>
      <c r="P14" s="122"/>
      <c r="Q14" s="122"/>
      <c r="R14" s="122"/>
      <c r="S14" s="147"/>
      <c r="T14" s="123"/>
      <c r="U14" s="122"/>
      <c r="V14" s="122"/>
      <c r="W14" s="141"/>
      <c r="X14" s="155"/>
    </row>
    <row r="15" spans="1:25" ht="52.8" x14ac:dyDescent="0.25">
      <c r="A15" s="120"/>
      <c r="B15" s="122" t="s">
        <v>188</v>
      </c>
      <c r="D15" s="122"/>
      <c r="E15" s="122" t="s">
        <v>97</v>
      </c>
      <c r="F15" s="122"/>
      <c r="H15" s="122" t="s">
        <v>95</v>
      </c>
      <c r="I15" s="124"/>
      <c r="J15" s="124"/>
      <c r="K15" s="122"/>
      <c r="L15" s="122"/>
      <c r="N15" s="122"/>
      <c r="P15" s="142"/>
      <c r="Q15" s="122"/>
      <c r="R15" s="122"/>
      <c r="S15" s="146"/>
      <c r="T15" s="122"/>
      <c r="U15" s="124"/>
      <c r="V15" s="122"/>
      <c r="W15" s="122"/>
      <c r="X15" s="155"/>
    </row>
    <row r="16" spans="1:25" ht="26.4" x14ac:dyDescent="0.25">
      <c r="A16" s="120"/>
      <c r="B16" s="192"/>
      <c r="C16" s="142" t="s">
        <v>98</v>
      </c>
      <c r="D16" s="122"/>
      <c r="E16" s="142" t="s">
        <v>99</v>
      </c>
      <c r="F16" s="142"/>
      <c r="G16" s="142" t="s">
        <v>100</v>
      </c>
      <c r="H16" s="184"/>
      <c r="I16" s="143"/>
      <c r="J16" s="143"/>
      <c r="L16" s="142"/>
      <c r="N16" s="142"/>
      <c r="P16" s="180"/>
      <c r="Q16" s="142"/>
      <c r="R16" s="142"/>
      <c r="S16" s="148"/>
      <c r="T16" s="141"/>
      <c r="U16" s="143"/>
      <c r="V16" s="143"/>
      <c r="W16" s="143"/>
      <c r="X16" s="155"/>
    </row>
    <row r="17" spans="1:24" ht="13.8" x14ac:dyDescent="0.25">
      <c r="A17" s="115"/>
      <c r="B17" s="161"/>
      <c r="C17" s="173">
        <v>0.05</v>
      </c>
      <c r="D17" s="162">
        <v>80500000</v>
      </c>
      <c r="E17" s="167">
        <v>25000000</v>
      </c>
      <c r="F17" s="162">
        <v>80500000</v>
      </c>
      <c r="G17" s="163">
        <v>-1000000</v>
      </c>
      <c r="I17" s="121"/>
      <c r="J17" s="121"/>
      <c r="K17" s="163"/>
      <c r="L17" s="177"/>
      <c r="M17" s="177"/>
      <c r="N17" s="177"/>
      <c r="P17" s="177"/>
      <c r="Q17" s="177"/>
      <c r="R17" s="177"/>
      <c r="S17" s="149"/>
      <c r="T17" s="160"/>
      <c r="U17" s="156"/>
      <c r="V17" s="157"/>
      <c r="W17" s="156"/>
      <c r="X17" s="155"/>
    </row>
    <row r="18" spans="1:24" s="183" customFormat="1" ht="26.4" x14ac:dyDescent="0.25">
      <c r="A18" s="75"/>
      <c r="B18" s="190"/>
      <c r="C18" s="142" t="s">
        <v>82</v>
      </c>
      <c r="D18" s="142" t="s">
        <v>89</v>
      </c>
      <c r="E18" s="142"/>
      <c r="F18" s="142" t="s">
        <v>91</v>
      </c>
      <c r="G18" s="142" t="s">
        <v>113</v>
      </c>
      <c r="I18" s="191"/>
      <c r="J18" s="191"/>
      <c r="K18" s="169" t="s">
        <v>183</v>
      </c>
      <c r="L18" s="169" t="s">
        <v>185</v>
      </c>
      <c r="M18" s="142"/>
      <c r="N18" s="169"/>
      <c r="P18" s="142"/>
      <c r="Q18" s="169"/>
      <c r="R18" s="169"/>
      <c r="S18" s="150"/>
      <c r="T18" s="142"/>
      <c r="U18" s="191"/>
      <c r="V18" s="142"/>
      <c r="W18" s="142"/>
    </row>
    <row r="19" spans="1:24" x14ac:dyDescent="0.25">
      <c r="A19" s="115" t="s">
        <v>26</v>
      </c>
      <c r="B19" s="158">
        <v>19087378</v>
      </c>
      <c r="C19" s="174">
        <f>B19/B$47</f>
        <v>3.0992240535785229E-2</v>
      </c>
      <c r="D19" s="158">
        <f>C19*D$17</f>
        <v>2494875.363130711</v>
      </c>
      <c r="E19" s="100">
        <f>VLOOKUP($A19,$A$69:$E$96,5,FALSE)</f>
        <v>2.1453761418567321E-2</v>
      </c>
      <c r="F19" s="153">
        <f t="shared" ref="F19:F46" si="0">E19*F$17</f>
        <v>1727027.7941946695</v>
      </c>
      <c r="G19" s="164">
        <f t="shared" ref="G19:G46" si="1">F19-D19</f>
        <v>-767847.56893604156</v>
      </c>
      <c r="H19" s="185">
        <f t="shared" ref="H19:H46" si="2">VLOOKUP($A19,$A$69:$E$96,3,FALSE)</f>
        <v>1.4799617138174298E-2</v>
      </c>
      <c r="I19" s="153">
        <f>VLOOKUP(A19,Low_Cost_Hospitals!$A$9:$Q$38,17,FALSE)</f>
        <v>0</v>
      </c>
      <c r="J19" s="153"/>
      <c r="K19" s="164">
        <f t="shared" ref="K19:K46" si="3">IF(D19=0,0,B19-I19-F19-J19)</f>
        <v>17360350.205805331</v>
      </c>
      <c r="L19" s="164">
        <f t="shared" ref="L19:L46" si="4">F19+I19+J19</f>
        <v>1727027.7941946695</v>
      </c>
      <c r="M19" s="255" t="s">
        <v>101</v>
      </c>
      <c r="N19" s="164"/>
      <c r="P19" s="164"/>
      <c r="Q19" s="164"/>
      <c r="R19" s="164"/>
      <c r="S19" s="151"/>
      <c r="T19" s="158"/>
      <c r="U19" s="153"/>
      <c r="V19" s="153"/>
      <c r="W19" s="153"/>
      <c r="X19" s="155"/>
    </row>
    <row r="20" spans="1:24" x14ac:dyDescent="0.25">
      <c r="A20" s="115" t="s">
        <v>25</v>
      </c>
      <c r="B20" s="158">
        <v>21000982</v>
      </c>
      <c r="C20" s="174">
        <f t="shared" ref="C20:C46" si="5">B20/B$47</f>
        <v>3.4099365854843758E-2</v>
      </c>
      <c r="D20" s="158">
        <f t="shared" ref="D20:D46" si="6">C20*D$17</f>
        <v>2744998.9513149224</v>
      </c>
      <c r="E20" s="182">
        <f t="shared" ref="E20:E46" si="7">VLOOKUP(A20,$A$69:$E$96,5,FALSE)</f>
        <v>8.1653959878843427E-2</v>
      </c>
      <c r="F20" s="153">
        <f t="shared" si="0"/>
        <v>6573143.770246896</v>
      </c>
      <c r="G20" s="164">
        <f t="shared" si="1"/>
        <v>3828144.8189319735</v>
      </c>
      <c r="H20" s="185">
        <f t="shared" si="2"/>
        <v>8.2804133895255691E-2</v>
      </c>
      <c r="I20" s="153">
        <f>VLOOKUP(A20,Low_Cost_Hospitals!$A$9:$Q$38,17,FALSE)</f>
        <v>0</v>
      </c>
      <c r="J20" s="153">
        <v>23044</v>
      </c>
      <c r="K20" s="164">
        <f t="shared" si="3"/>
        <v>14404794.229753103</v>
      </c>
      <c r="L20" s="164">
        <f t="shared" si="4"/>
        <v>6596187.770246896</v>
      </c>
      <c r="M20" s="255" t="s">
        <v>102</v>
      </c>
      <c r="N20" s="164"/>
      <c r="P20" s="164"/>
      <c r="Q20" s="164"/>
      <c r="R20" s="164"/>
      <c r="S20" s="151"/>
      <c r="T20" s="158"/>
      <c r="U20" s="153"/>
      <c r="V20" s="153"/>
      <c r="W20" s="153"/>
      <c r="X20" s="155"/>
    </row>
    <row r="21" spans="1:24" x14ac:dyDescent="0.25">
      <c r="A21" s="115" t="s">
        <v>24</v>
      </c>
      <c r="B21" s="158">
        <v>9195904</v>
      </c>
      <c r="C21" s="174">
        <f t="shared" si="5"/>
        <v>1.4931420581286206E-2</v>
      </c>
      <c r="D21" s="158">
        <f t="shared" si="6"/>
        <v>1201979.3567935396</v>
      </c>
      <c r="E21" s="100">
        <f t="shared" si="7"/>
        <v>1.5947204535366643E-2</v>
      </c>
      <c r="F21" s="153">
        <f t="shared" si="0"/>
        <v>1283749.9650970148</v>
      </c>
      <c r="G21" s="164">
        <f t="shared" si="1"/>
        <v>81770.608303475194</v>
      </c>
      <c r="H21" s="185">
        <f t="shared" si="2"/>
        <v>1.100098565202297E-2</v>
      </c>
      <c r="I21" s="153">
        <f>VLOOKUP(A21,Low_Cost_Hospitals!$A$9:$Q$38,17,FALSE)</f>
        <v>2088998.0457988679</v>
      </c>
      <c r="J21" s="153"/>
      <c r="K21" s="164">
        <f t="shared" si="3"/>
        <v>5823155.9891041173</v>
      </c>
      <c r="L21" s="164">
        <f t="shared" si="4"/>
        <v>3372748.0108958827</v>
      </c>
      <c r="M21" s="255">
        <f>+I21+F21</f>
        <v>3372748.0108958827</v>
      </c>
      <c r="N21" s="164"/>
      <c r="P21" s="164"/>
      <c r="Q21" s="164"/>
      <c r="R21" s="164"/>
      <c r="S21" s="151"/>
      <c r="T21" s="158"/>
      <c r="U21" s="153"/>
      <c r="V21" s="153"/>
      <c r="W21" s="153"/>
      <c r="X21" s="155"/>
    </row>
    <row r="22" spans="1:24" x14ac:dyDescent="0.25">
      <c r="A22" s="115" t="s">
        <v>22</v>
      </c>
      <c r="B22" s="158">
        <v>36715404</v>
      </c>
      <c r="C22" s="174">
        <f t="shared" si="5"/>
        <v>5.9614926268895141E-2</v>
      </c>
      <c r="D22" s="158">
        <f t="shared" si="6"/>
        <v>4799001.5646460587</v>
      </c>
      <c r="E22" s="100">
        <f t="shared" si="7"/>
        <v>4.6312401511647346E-2</v>
      </c>
      <c r="F22" s="153">
        <f t="shared" si="0"/>
        <v>3728148.3216876113</v>
      </c>
      <c r="G22" s="164">
        <f t="shared" si="1"/>
        <v>-1070853.2429584474</v>
      </c>
      <c r="H22" s="185">
        <f t="shared" si="2"/>
        <v>3.194804853794056E-2</v>
      </c>
      <c r="I22" s="153">
        <f>VLOOKUP(A22,Low_Cost_Hospitals!$A$9:$Q$38,17,FALSE)</f>
        <v>0</v>
      </c>
      <c r="J22" s="153"/>
      <c r="K22" s="164">
        <f t="shared" si="3"/>
        <v>32987255.678312387</v>
      </c>
      <c r="L22" s="164">
        <f t="shared" si="4"/>
        <v>3728148.3216876113</v>
      </c>
      <c r="M22" s="255">
        <f>+I22+F22+L35</f>
        <v>4048313.5343002989</v>
      </c>
      <c r="N22" s="164"/>
      <c r="P22" s="164"/>
      <c r="Q22" s="164"/>
      <c r="R22" s="164"/>
      <c r="S22" s="151"/>
      <c r="T22" s="158"/>
      <c r="U22" s="153"/>
      <c r="V22" s="153"/>
      <c r="W22" s="153"/>
      <c r="X22" s="155"/>
    </row>
    <row r="23" spans="1:24" x14ac:dyDescent="0.25">
      <c r="A23" s="115" t="s">
        <v>21</v>
      </c>
      <c r="B23" s="158">
        <v>4705496</v>
      </c>
      <c r="C23" s="174">
        <f t="shared" si="5"/>
        <v>7.6403298489805807E-3</v>
      </c>
      <c r="D23" s="158">
        <f t="shared" si="6"/>
        <v>615046.55284293671</v>
      </c>
      <c r="E23" s="100">
        <f t="shared" si="7"/>
        <v>1.3853247525124818E-2</v>
      </c>
      <c r="F23" s="153">
        <f t="shared" si="0"/>
        <v>1115186.4257725477</v>
      </c>
      <c r="G23" s="164">
        <f t="shared" si="1"/>
        <v>500139.87292961101</v>
      </c>
      <c r="H23" s="185">
        <f t="shared" si="2"/>
        <v>9.556494802574313E-3</v>
      </c>
      <c r="I23" s="153">
        <f>VLOOKUP(A23,Low_Cost_Hospitals!$A$9:$Q$38,17,FALSE)</f>
        <v>1283215.2188264881</v>
      </c>
      <c r="J23" s="153">
        <v>27083</v>
      </c>
      <c r="K23" s="164">
        <f t="shared" si="3"/>
        <v>2280011.3554009642</v>
      </c>
      <c r="L23" s="164">
        <f t="shared" si="4"/>
        <v>2425484.6445990358</v>
      </c>
      <c r="M23" s="255">
        <f>+I23+F23+J23</f>
        <v>2425484.6445990358</v>
      </c>
      <c r="N23" s="164"/>
      <c r="P23" s="164"/>
      <c r="Q23" s="164"/>
      <c r="R23" s="164"/>
      <c r="S23" s="151"/>
      <c r="T23" s="158"/>
      <c r="U23" s="153"/>
      <c r="V23" s="153"/>
      <c r="W23" s="153"/>
      <c r="X23" s="155"/>
    </row>
    <row r="24" spans="1:24" x14ac:dyDescent="0.25">
      <c r="A24" s="115" t="s">
        <v>20</v>
      </c>
      <c r="B24" s="158">
        <v>10917277</v>
      </c>
      <c r="C24" s="174">
        <f t="shared" si="5"/>
        <v>1.7726419772259749E-2</v>
      </c>
      <c r="D24" s="158">
        <f t="shared" si="6"/>
        <v>1426976.7916669098</v>
      </c>
      <c r="E24" s="100">
        <f t="shared" si="7"/>
        <v>6.7838403821598682E-3</v>
      </c>
      <c r="F24" s="153">
        <f t="shared" si="0"/>
        <v>546099.1507638694</v>
      </c>
      <c r="G24" s="164">
        <f t="shared" si="1"/>
        <v>-880877.64090304042</v>
      </c>
      <c r="H24" s="185">
        <f t="shared" si="2"/>
        <v>4.67975001789484E-3</v>
      </c>
      <c r="I24" s="153">
        <f>VLOOKUP(A24,Low_Cost_Hospitals!$A$9:$Q$38,17,FALSE)</f>
        <v>0</v>
      </c>
      <c r="J24" s="153"/>
      <c r="K24" s="164">
        <f t="shared" si="3"/>
        <v>10371177.849236131</v>
      </c>
      <c r="L24" s="164">
        <f t="shared" si="4"/>
        <v>546099.1507638694</v>
      </c>
      <c r="M24" s="255" t="s">
        <v>102</v>
      </c>
      <c r="N24" s="164"/>
      <c r="P24" s="164"/>
      <c r="Q24" s="164"/>
      <c r="R24" s="164"/>
      <c r="S24" s="151"/>
      <c r="T24" s="158"/>
      <c r="U24" s="153"/>
      <c r="V24" s="153"/>
      <c r="W24" s="153"/>
      <c r="X24" s="155"/>
    </row>
    <row r="25" spans="1:24" x14ac:dyDescent="0.25">
      <c r="A25" s="115" t="s">
        <v>19</v>
      </c>
      <c r="B25" s="158">
        <v>9368588</v>
      </c>
      <c r="C25" s="174">
        <f t="shared" si="5"/>
        <v>1.5211808179031771E-2</v>
      </c>
      <c r="D25" s="158">
        <f t="shared" si="6"/>
        <v>1224550.5584120576</v>
      </c>
      <c r="E25" s="100">
        <f t="shared" si="7"/>
        <v>1.9919235284405822E-2</v>
      </c>
      <c r="F25" s="153">
        <f t="shared" si="0"/>
        <v>1603498.4403946686</v>
      </c>
      <c r="G25" s="164">
        <f t="shared" si="1"/>
        <v>378947.88198261103</v>
      </c>
      <c r="H25" s="185">
        <f t="shared" si="2"/>
        <v>1.3741042894197761E-2</v>
      </c>
      <c r="I25" s="153">
        <f>VLOOKUP(A25,Low_Cost_Hospitals!$A$9:$Q$38,17,FALSE)</f>
        <v>883588.64369951154</v>
      </c>
      <c r="J25" s="153"/>
      <c r="K25" s="164">
        <f t="shared" si="3"/>
        <v>6881500.9159058193</v>
      </c>
      <c r="L25" s="164">
        <f t="shared" si="4"/>
        <v>2487087.0840941803</v>
      </c>
      <c r="M25" s="255">
        <f>+I25+F25</f>
        <v>2487087.0840941803</v>
      </c>
      <c r="N25" s="164"/>
      <c r="P25" s="164"/>
      <c r="Q25" s="164"/>
      <c r="R25" s="164"/>
      <c r="S25" s="151"/>
      <c r="T25" s="158"/>
      <c r="U25" s="153"/>
      <c r="V25" s="153"/>
      <c r="W25" s="153"/>
      <c r="X25" s="155"/>
    </row>
    <row r="26" spans="1:24" x14ac:dyDescent="0.25">
      <c r="A26" s="115" t="s">
        <v>18</v>
      </c>
      <c r="B26" s="158">
        <v>50441907</v>
      </c>
      <c r="C26" s="175">
        <f t="shared" si="5"/>
        <v>8.1902695845794474E-2</v>
      </c>
      <c r="D26" s="158">
        <f t="shared" si="6"/>
        <v>6593167.0155864554</v>
      </c>
      <c r="E26" s="182">
        <f t="shared" si="7"/>
        <v>8.1653959878843427E-2</v>
      </c>
      <c r="F26" s="153">
        <f t="shared" si="0"/>
        <v>6573143.770246896</v>
      </c>
      <c r="G26" s="164">
        <f t="shared" si="1"/>
        <v>-20023.245339559391</v>
      </c>
      <c r="H26" s="185">
        <f t="shared" si="2"/>
        <v>0.14980768417436327</v>
      </c>
      <c r="I26" s="153">
        <f>VLOOKUP(A26,Low_Cost_Hospitals!$A$9:$Q$38,17,FALSE)</f>
        <v>0</v>
      </c>
      <c r="J26" s="153"/>
      <c r="K26" s="164">
        <f t="shared" si="3"/>
        <v>43868763.229753107</v>
      </c>
      <c r="L26" s="164">
        <f t="shared" si="4"/>
        <v>6573143.770246896</v>
      </c>
      <c r="M26" s="255">
        <f>L19+L26+L27+L32+L45</f>
        <v>23765958.399270207</v>
      </c>
      <c r="N26" s="164"/>
      <c r="P26" s="164"/>
      <c r="Q26" s="164"/>
      <c r="R26" s="164"/>
      <c r="S26" s="151"/>
      <c r="T26" s="158"/>
      <c r="U26" s="153"/>
      <c r="V26" s="153"/>
      <c r="W26" s="153"/>
      <c r="X26" s="155"/>
    </row>
    <row r="27" spans="1:24" x14ac:dyDescent="0.25">
      <c r="A27" s="115" t="s">
        <v>30</v>
      </c>
      <c r="B27" s="158">
        <v>27167406</v>
      </c>
      <c r="C27" s="174">
        <f t="shared" si="5"/>
        <v>4.4111809463056421E-2</v>
      </c>
      <c r="D27" s="158">
        <f t="shared" si="6"/>
        <v>3551000.6617760421</v>
      </c>
      <c r="E27" s="100">
        <f t="shared" si="7"/>
        <v>6.6688954496067404E-2</v>
      </c>
      <c r="F27" s="153">
        <f t="shared" si="0"/>
        <v>5368460.8369334256</v>
      </c>
      <c r="G27" s="164">
        <f t="shared" si="1"/>
        <v>1817460.1751573835</v>
      </c>
      <c r="H27" s="185">
        <f t="shared" si="2"/>
        <v>4.600456650145944E-2</v>
      </c>
      <c r="I27" s="153">
        <f>VLOOKUP(A27,Low_Cost_Hospitals!$A$9:$Q$38,17,FALSE)</f>
        <v>3520886.0137648121</v>
      </c>
      <c r="J27" s="153"/>
      <c r="K27" s="164">
        <f t="shared" si="3"/>
        <v>18278059.14930176</v>
      </c>
      <c r="L27" s="164">
        <f t="shared" si="4"/>
        <v>8889346.8506982382</v>
      </c>
      <c r="M27" s="255" t="s">
        <v>101</v>
      </c>
      <c r="N27" s="164"/>
      <c r="P27" s="164"/>
      <c r="Q27" s="164"/>
      <c r="R27" s="164"/>
      <c r="S27" s="151"/>
      <c r="T27" s="158"/>
      <c r="U27" s="153"/>
      <c r="V27" s="153"/>
      <c r="W27" s="153"/>
      <c r="X27" s="155"/>
    </row>
    <row r="28" spans="1:24" x14ac:dyDescent="0.25">
      <c r="A28" s="115" t="s">
        <v>17</v>
      </c>
      <c r="B28" s="158">
        <v>9976685</v>
      </c>
      <c r="C28" s="174">
        <f t="shared" si="5"/>
        <v>1.6199177344827585E-2</v>
      </c>
      <c r="D28" s="158">
        <f t="shared" si="6"/>
        <v>1304033.7762586207</v>
      </c>
      <c r="E28" s="100">
        <f t="shared" si="7"/>
        <v>1.4318508522356072E-2</v>
      </c>
      <c r="F28" s="153">
        <f t="shared" si="0"/>
        <v>1152639.9360496639</v>
      </c>
      <c r="G28" s="164">
        <f t="shared" si="1"/>
        <v>-151393.84020895674</v>
      </c>
      <c r="H28" s="185">
        <f t="shared" si="2"/>
        <v>9.8774494591497546E-3</v>
      </c>
      <c r="I28" s="153">
        <f>VLOOKUP(A28,Low_Cost_Hospitals!$A$9:$Q$38,17,FALSE)</f>
        <v>955293.81164610817</v>
      </c>
      <c r="J28" s="153"/>
      <c r="K28" s="164">
        <f t="shared" si="3"/>
        <v>7868751.252304228</v>
      </c>
      <c r="L28" s="164">
        <f t="shared" si="4"/>
        <v>2107933.747695772</v>
      </c>
      <c r="M28" s="255">
        <f>+I28+F28</f>
        <v>2107933.747695772</v>
      </c>
      <c r="N28" s="164"/>
      <c r="P28" s="164"/>
      <c r="Q28" s="164"/>
      <c r="R28" s="164"/>
      <c r="S28" s="151"/>
      <c r="T28" s="158"/>
      <c r="U28" s="153"/>
      <c r="V28" s="153"/>
      <c r="W28" s="153"/>
      <c r="X28" s="155"/>
    </row>
    <row r="29" spans="1:24" ht="13.8" x14ac:dyDescent="0.25">
      <c r="A29" s="115" t="s">
        <v>16</v>
      </c>
      <c r="B29" s="159">
        <v>0</v>
      </c>
      <c r="C29" s="174">
        <f t="shared" si="5"/>
        <v>0</v>
      </c>
      <c r="D29" s="158">
        <f t="shared" si="6"/>
        <v>0</v>
      </c>
      <c r="E29" s="100">
        <f t="shared" si="7"/>
        <v>6.7184224956633341E-3</v>
      </c>
      <c r="F29" s="153">
        <f t="shared" si="0"/>
        <v>540833.01090089837</v>
      </c>
      <c r="G29" s="164">
        <f t="shared" si="1"/>
        <v>540833.01090089837</v>
      </c>
      <c r="H29" s="185">
        <f t="shared" si="2"/>
        <v>4.6346222822382229E-3</v>
      </c>
      <c r="I29" s="153">
        <f>VLOOKUP(A29,Low_Cost_Hospitals!$A$9:$Q$38,17,FALSE)</f>
        <v>1078015.8520205095</v>
      </c>
      <c r="J29" s="153"/>
      <c r="K29" s="164">
        <f t="shared" si="3"/>
        <v>0</v>
      </c>
      <c r="L29" s="164">
        <f t="shared" si="4"/>
        <v>1618848.8629214079</v>
      </c>
      <c r="M29" s="255">
        <f>+I29+F29</f>
        <v>1618848.8629214079</v>
      </c>
      <c r="N29" s="164"/>
      <c r="P29" s="164"/>
      <c r="Q29" s="164"/>
      <c r="R29" s="164"/>
      <c r="S29" s="151"/>
      <c r="T29" s="158"/>
      <c r="U29" s="153"/>
      <c r="V29" s="153"/>
      <c r="W29" s="153"/>
      <c r="X29" s="155"/>
    </row>
    <row r="30" spans="1:24" x14ac:dyDescent="0.25">
      <c r="A30" s="115" t="s">
        <v>31</v>
      </c>
      <c r="B30" s="158">
        <v>19408618</v>
      </c>
      <c r="C30" s="174">
        <f t="shared" si="5"/>
        <v>3.1513839015666317E-2</v>
      </c>
      <c r="D30" s="158">
        <f t="shared" si="6"/>
        <v>2536864.0407611383</v>
      </c>
      <c r="E30" s="100">
        <f t="shared" si="7"/>
        <v>4.0385813392671506E-2</v>
      </c>
      <c r="F30" s="153">
        <f t="shared" si="0"/>
        <v>3251057.9781100564</v>
      </c>
      <c r="G30" s="164">
        <f t="shared" si="1"/>
        <v>714193.93734891806</v>
      </c>
      <c r="H30" s="185">
        <f t="shared" si="2"/>
        <v>2.7859663597638917E-2</v>
      </c>
      <c r="I30" s="153">
        <f>VLOOKUP(A30,Low_Cost_Hospitals!$A$9:$Q$38,17,FALSE)</f>
        <v>1215612.4974952824</v>
      </c>
      <c r="J30" s="153"/>
      <c r="K30" s="164">
        <f t="shared" si="3"/>
        <v>14941947.524394661</v>
      </c>
      <c r="L30" s="164">
        <f t="shared" si="4"/>
        <v>4466670.4756053388</v>
      </c>
      <c r="M30" s="255">
        <f>+I30+F30</f>
        <v>4466670.4756053388</v>
      </c>
      <c r="N30" s="164"/>
      <c r="P30" s="164"/>
      <c r="Q30" s="164"/>
      <c r="R30" s="164"/>
      <c r="S30" s="151"/>
      <c r="T30" s="158"/>
      <c r="U30" s="153"/>
      <c r="V30" s="153"/>
      <c r="W30" s="153"/>
      <c r="X30" s="155"/>
    </row>
    <row r="31" spans="1:24" x14ac:dyDescent="0.25">
      <c r="A31" s="115" t="s">
        <v>15</v>
      </c>
      <c r="B31" s="158">
        <v>9536052</v>
      </c>
      <c r="C31" s="174">
        <f t="shared" si="5"/>
        <v>1.5483720045034777E-2</v>
      </c>
      <c r="D31" s="158">
        <f t="shared" si="6"/>
        <v>1246439.4636252995</v>
      </c>
      <c r="E31" s="100">
        <f t="shared" si="7"/>
        <v>1.8255986581732917E-2</v>
      </c>
      <c r="F31" s="153">
        <f t="shared" si="0"/>
        <v>1469606.9198294999</v>
      </c>
      <c r="G31" s="164">
        <f t="shared" si="1"/>
        <v>223167.4562042004</v>
      </c>
      <c r="H31" s="185">
        <f t="shared" si="2"/>
        <v>1.259367094739218E-2</v>
      </c>
      <c r="I31" s="153">
        <f>VLOOKUP(A31,Low_Cost_Hospitals!$A$9:$Q$38,17,FALSE)</f>
        <v>0</v>
      </c>
      <c r="J31" s="153"/>
      <c r="K31" s="164">
        <f t="shared" si="3"/>
        <v>8066445.0801705001</v>
      </c>
      <c r="L31" s="164">
        <f t="shared" si="4"/>
        <v>1469606.9198294999</v>
      </c>
      <c r="M31" s="255">
        <f>L31+L37</f>
        <v>2342265.2483534692</v>
      </c>
      <c r="N31" s="164"/>
      <c r="P31" s="164"/>
      <c r="Q31" s="164"/>
      <c r="R31" s="164"/>
      <c r="S31" s="151"/>
      <c r="T31" s="158"/>
      <c r="U31" s="153"/>
      <c r="V31" s="153"/>
      <c r="W31" s="153"/>
      <c r="X31" s="155"/>
    </row>
    <row r="32" spans="1:24" x14ac:dyDescent="0.25">
      <c r="A32" s="115" t="s">
        <v>13</v>
      </c>
      <c r="B32" s="158">
        <v>16210440</v>
      </c>
      <c r="C32" s="174">
        <f t="shared" si="5"/>
        <v>2.6320946526595446E-2</v>
      </c>
      <c r="D32" s="158">
        <f t="shared" si="6"/>
        <v>2118836.1953909332</v>
      </c>
      <c r="E32" s="100">
        <f t="shared" si="7"/>
        <v>2.523103767482027E-2</v>
      </c>
      <c r="F32" s="153">
        <f t="shared" si="0"/>
        <v>2031098.5328230318</v>
      </c>
      <c r="G32" s="164">
        <f t="shared" si="1"/>
        <v>-87737.662567901425</v>
      </c>
      <c r="H32" s="185">
        <f t="shared" si="2"/>
        <v>1.7405325355348698E-2</v>
      </c>
      <c r="I32" s="153">
        <f>VLOOKUP(A32,Low_Cost_Hospitals!$A$9:$Q$38,17,FALSE)</f>
        <v>2108108.070039181</v>
      </c>
      <c r="J32" s="153"/>
      <c r="K32" s="164">
        <f t="shared" si="3"/>
        <v>12071233.397137787</v>
      </c>
      <c r="L32" s="164">
        <f t="shared" si="4"/>
        <v>4139206.6028622128</v>
      </c>
      <c r="M32" s="255" t="s">
        <v>101</v>
      </c>
      <c r="N32" s="164"/>
      <c r="P32" s="164"/>
      <c r="Q32" s="164"/>
      <c r="R32" s="164"/>
      <c r="S32" s="151"/>
      <c r="T32" s="158"/>
      <c r="U32" s="153"/>
      <c r="V32" s="153"/>
      <c r="W32" s="153"/>
      <c r="X32" s="155"/>
    </row>
    <row r="33" spans="1:128" x14ac:dyDescent="0.25">
      <c r="A33" s="115" t="s">
        <v>14</v>
      </c>
      <c r="B33" s="158">
        <v>14163088</v>
      </c>
      <c r="C33" s="174">
        <f t="shared" si="5"/>
        <v>2.2996654125333159E-2</v>
      </c>
      <c r="D33" s="158">
        <f t="shared" si="6"/>
        <v>1851230.6570893193</v>
      </c>
      <c r="E33" s="100">
        <f t="shared" si="7"/>
        <v>3.2589865645496582E-2</v>
      </c>
      <c r="F33" s="153">
        <f t="shared" si="0"/>
        <v>2623484.1844624747</v>
      </c>
      <c r="G33" s="164">
        <f t="shared" si="1"/>
        <v>772253.52737315535</v>
      </c>
      <c r="H33" s="185">
        <f t="shared" si="2"/>
        <v>2.2481723588128635E-2</v>
      </c>
      <c r="I33" s="153">
        <f>VLOOKUP(A33,Low_Cost_Hospitals!$A$9:$Q$38,17,FALSE)</f>
        <v>0</v>
      </c>
      <c r="J33" s="153"/>
      <c r="K33" s="164">
        <f t="shared" si="3"/>
        <v>11539603.815537525</v>
      </c>
      <c r="L33" s="164">
        <f t="shared" si="4"/>
        <v>2623484.1844624747</v>
      </c>
      <c r="M33" s="255">
        <f>+I33+F33</f>
        <v>2623484.1844624747</v>
      </c>
      <c r="N33" s="164"/>
      <c r="P33" s="164"/>
      <c r="Q33" s="164"/>
      <c r="R33" s="164"/>
      <c r="S33" s="151"/>
      <c r="T33" s="158"/>
      <c r="U33" s="153"/>
      <c r="V33" s="153"/>
      <c r="W33" s="153"/>
      <c r="X33" s="155"/>
    </row>
    <row r="34" spans="1:128" x14ac:dyDescent="0.25">
      <c r="A34" s="115" t="s">
        <v>12</v>
      </c>
      <c r="B34" s="158">
        <v>5529702</v>
      </c>
      <c r="C34" s="174">
        <f t="shared" si="5"/>
        <v>8.9785959326216871E-3</v>
      </c>
      <c r="D34" s="158">
        <f t="shared" si="6"/>
        <v>722776.97257604578</v>
      </c>
      <c r="E34" s="100">
        <f t="shared" si="7"/>
        <v>5.0806041022550975E-3</v>
      </c>
      <c r="F34" s="153">
        <f t="shared" si="0"/>
        <v>408988.63023153535</v>
      </c>
      <c r="G34" s="164">
        <f t="shared" si="1"/>
        <v>-313788.34234451043</v>
      </c>
      <c r="H34" s="185">
        <f t="shared" si="2"/>
        <v>3.5047931258776169E-3</v>
      </c>
      <c r="I34" s="153">
        <f>VLOOKUP(A34,Low_Cost_Hospitals!$A$9:$Q$38,17,FALSE)</f>
        <v>0</v>
      </c>
      <c r="J34" s="153"/>
      <c r="K34" s="164">
        <f t="shared" si="3"/>
        <v>5120713.3697684649</v>
      </c>
      <c r="L34" s="164">
        <f t="shared" si="4"/>
        <v>408988.63023153535</v>
      </c>
      <c r="M34" s="255">
        <f>+I34+F34</f>
        <v>408988.63023153535</v>
      </c>
      <c r="N34" s="164"/>
      <c r="P34" s="164"/>
      <c r="Q34" s="164"/>
      <c r="R34" s="164"/>
      <c r="S34" s="151"/>
      <c r="T34" s="158"/>
      <c r="U34" s="153"/>
      <c r="V34" s="153"/>
      <c r="W34" s="153"/>
      <c r="X34" s="155"/>
    </row>
    <row r="35" spans="1:128" x14ac:dyDescent="0.25">
      <c r="A35" s="115" t="s">
        <v>11</v>
      </c>
      <c r="B35" s="158">
        <v>4886527</v>
      </c>
      <c r="C35" s="174">
        <f t="shared" si="5"/>
        <v>7.934270498997243E-3</v>
      </c>
      <c r="D35" s="158">
        <f t="shared" si="6"/>
        <v>638708.77516927803</v>
      </c>
      <c r="E35" s="100">
        <f t="shared" si="7"/>
        <v>3.9772076100954958E-3</v>
      </c>
      <c r="F35" s="153">
        <f t="shared" si="0"/>
        <v>320165.21261268744</v>
      </c>
      <c r="G35" s="164">
        <f t="shared" si="1"/>
        <v>-318543.56255659059</v>
      </c>
      <c r="H35" s="185">
        <f t="shared" si="2"/>
        <v>2.7436284369930911E-3</v>
      </c>
      <c r="I35" s="153">
        <f>VLOOKUP(A35,Low_Cost_Hospitals!$A$9:$Q$38,17,FALSE)</f>
        <v>0</v>
      </c>
      <c r="J35" s="153"/>
      <c r="K35" s="164">
        <f t="shared" si="3"/>
        <v>4566361.7873873124</v>
      </c>
      <c r="L35" s="164">
        <f t="shared" si="4"/>
        <v>320165.21261268744</v>
      </c>
      <c r="M35" s="255" t="s">
        <v>103</v>
      </c>
      <c r="N35" s="164"/>
      <c r="P35" s="164"/>
      <c r="Q35" s="164"/>
      <c r="R35" s="164"/>
      <c r="S35" s="151"/>
      <c r="T35" s="158"/>
      <c r="U35" s="153"/>
      <c r="V35" s="153"/>
      <c r="W35" s="153"/>
      <c r="X35" s="155"/>
    </row>
    <row r="36" spans="1:128" x14ac:dyDescent="0.25">
      <c r="A36" s="115" t="s">
        <v>10</v>
      </c>
      <c r="B36" s="158">
        <v>30641714</v>
      </c>
      <c r="C36" s="174">
        <f t="shared" si="5"/>
        <v>4.9753055171681403E-2</v>
      </c>
      <c r="D36" s="158">
        <f t="shared" si="6"/>
        <v>4005120.9413203527</v>
      </c>
      <c r="E36" s="100">
        <f t="shared" si="7"/>
        <v>4.5628023746160415E-2</v>
      </c>
      <c r="F36" s="153">
        <f t="shared" si="0"/>
        <v>3673055.9115659134</v>
      </c>
      <c r="G36" s="164">
        <f t="shared" si="1"/>
        <v>-332065.02975443937</v>
      </c>
      <c r="H36" s="185">
        <f t="shared" si="2"/>
        <v>3.1475938836081005E-2</v>
      </c>
      <c r="I36" s="153">
        <f>VLOOKUP(A36,Low_Cost_Hospitals!$A$9:$Q$38,17,FALSE)</f>
        <v>0</v>
      </c>
      <c r="J36" s="153"/>
      <c r="K36" s="164">
        <f t="shared" si="3"/>
        <v>26968658.088434085</v>
      </c>
      <c r="L36" s="164">
        <f t="shared" si="4"/>
        <v>3673055.9115659134</v>
      </c>
      <c r="M36" s="255">
        <f>+I36+F36</f>
        <v>3673055.9115659134</v>
      </c>
      <c r="N36" s="164"/>
      <c r="P36" s="164"/>
      <c r="Q36" s="164"/>
      <c r="R36" s="164"/>
      <c r="S36" s="151"/>
      <c r="T36" s="158"/>
      <c r="U36" s="153"/>
      <c r="V36" s="153"/>
      <c r="W36" s="153"/>
      <c r="X36" s="155"/>
    </row>
    <row r="37" spans="1:128" x14ac:dyDescent="0.25">
      <c r="A37" s="115" t="s">
        <v>9</v>
      </c>
      <c r="B37" s="158">
        <v>4942697</v>
      </c>
      <c r="C37" s="174">
        <f t="shared" si="5"/>
        <v>8.0254739189166823E-3</v>
      </c>
      <c r="D37" s="158">
        <f t="shared" si="6"/>
        <v>646050.65047279291</v>
      </c>
      <c r="E37" s="100">
        <f t="shared" si="7"/>
        <v>6.7699690074556496E-3</v>
      </c>
      <c r="F37" s="153">
        <f t="shared" si="0"/>
        <v>544982.50510017981</v>
      </c>
      <c r="G37" s="164">
        <f t="shared" si="1"/>
        <v>-101068.1453726131</v>
      </c>
      <c r="H37" s="185">
        <f t="shared" si="2"/>
        <v>4.6701810182776023E-3</v>
      </c>
      <c r="I37" s="153">
        <f>VLOOKUP(A37,Low_Cost_Hospitals!$A$9:$Q$38,17,FALSE)</f>
        <v>327675.82342378941</v>
      </c>
      <c r="J37" s="153"/>
      <c r="K37" s="164">
        <f t="shared" si="3"/>
        <v>4070038.6714760303</v>
      </c>
      <c r="L37" s="164">
        <f t="shared" si="4"/>
        <v>872658.32852396928</v>
      </c>
      <c r="M37" s="255" t="s">
        <v>104</v>
      </c>
      <c r="N37" s="164"/>
      <c r="P37" s="164"/>
      <c r="Q37" s="164"/>
      <c r="R37" s="164"/>
      <c r="S37" s="151"/>
      <c r="T37" s="158"/>
      <c r="U37" s="153"/>
      <c r="V37" s="153"/>
      <c r="W37" s="153"/>
      <c r="X37" s="155"/>
    </row>
    <row r="38" spans="1:128" x14ac:dyDescent="0.25">
      <c r="A38" s="115" t="s">
        <v>8</v>
      </c>
      <c r="B38" s="158">
        <v>49149312</v>
      </c>
      <c r="C38" s="175">
        <f t="shared" si="5"/>
        <v>7.9803904950819099E-2</v>
      </c>
      <c r="D38" s="158">
        <f t="shared" si="6"/>
        <v>6424214.3485409375</v>
      </c>
      <c r="E38" s="182">
        <f t="shared" si="7"/>
        <v>8.1653959878843427E-2</v>
      </c>
      <c r="F38" s="153">
        <f t="shared" si="0"/>
        <v>6573143.770246896</v>
      </c>
      <c r="G38" s="164">
        <f t="shared" si="1"/>
        <v>148929.42170595843</v>
      </c>
      <c r="H38" s="185">
        <f t="shared" si="2"/>
        <v>8.431478310019315E-2</v>
      </c>
      <c r="I38" s="153">
        <f>VLOOKUP(A38,Low_Cost_Hospitals!$A$9:$Q$38,17,FALSE)</f>
        <v>0</v>
      </c>
      <c r="J38" s="153"/>
      <c r="K38" s="164">
        <f t="shared" si="3"/>
        <v>42576168.229753107</v>
      </c>
      <c r="L38" s="164">
        <f t="shared" si="4"/>
        <v>6573143.770246896</v>
      </c>
      <c r="M38" s="255">
        <f>+I38+F38</f>
        <v>6573143.770246896</v>
      </c>
      <c r="N38" s="164"/>
      <c r="P38" s="164"/>
      <c r="Q38" s="164"/>
      <c r="R38" s="164"/>
      <c r="S38" s="151"/>
      <c r="T38" s="158"/>
      <c r="U38" s="153"/>
      <c r="V38" s="153"/>
      <c r="W38" s="153"/>
      <c r="X38" s="155"/>
    </row>
    <row r="39" spans="1:128" x14ac:dyDescent="0.25">
      <c r="A39" s="115" t="s">
        <v>7</v>
      </c>
      <c r="B39" s="158">
        <v>10813415</v>
      </c>
      <c r="C39" s="174">
        <f t="shared" si="5"/>
        <v>1.7557778689837236E-2</v>
      </c>
      <c r="D39" s="158">
        <f t="shared" si="6"/>
        <v>1413401.1845318975</v>
      </c>
      <c r="E39" s="100">
        <f t="shared" si="7"/>
        <v>4.1173137204615289E-2</v>
      </c>
      <c r="F39" s="153">
        <f t="shared" si="0"/>
        <v>3314437.5449715308</v>
      </c>
      <c r="G39" s="164">
        <f t="shared" si="1"/>
        <v>1901036.3604396333</v>
      </c>
      <c r="H39" s="185">
        <f t="shared" si="2"/>
        <v>2.8402789381188072E-2</v>
      </c>
      <c r="I39" s="153">
        <f>VLOOKUP(A39,Low_Cost_Hospitals!$A$9:$Q$38,17,FALSE)</f>
        <v>100000</v>
      </c>
      <c r="J39" s="153"/>
      <c r="K39" s="164">
        <f t="shared" si="3"/>
        <v>7398977.4550284687</v>
      </c>
      <c r="L39" s="164">
        <f t="shared" si="4"/>
        <v>3414437.5449715308</v>
      </c>
      <c r="M39" s="255">
        <f>+I39+F39</f>
        <v>3414437.5449715308</v>
      </c>
      <c r="N39" s="164"/>
      <c r="P39" s="164"/>
      <c r="Q39" s="164"/>
      <c r="R39" s="164"/>
      <c r="S39" s="151"/>
      <c r="T39" s="158"/>
      <c r="U39" s="153"/>
      <c r="V39" s="153"/>
      <c r="W39" s="153"/>
      <c r="X39" s="155"/>
    </row>
    <row r="40" spans="1:128" x14ac:dyDescent="0.25">
      <c r="A40" s="115" t="s">
        <v>6</v>
      </c>
      <c r="B40" s="158">
        <v>23445236</v>
      </c>
      <c r="C40" s="174">
        <f t="shared" si="5"/>
        <v>3.806810938255905E-2</v>
      </c>
      <c r="D40" s="158">
        <f t="shared" si="6"/>
        <v>3064482.8052960034</v>
      </c>
      <c r="E40" s="100">
        <f t="shared" si="7"/>
        <v>7.1778942271391782E-2</v>
      </c>
      <c r="F40" s="153">
        <f t="shared" si="0"/>
        <v>5778204.8528470388</v>
      </c>
      <c r="G40" s="164">
        <f t="shared" si="1"/>
        <v>2713722.0475510354</v>
      </c>
      <c r="H40" s="185">
        <f t="shared" si="2"/>
        <v>4.9515832840405179E-2</v>
      </c>
      <c r="I40" s="153">
        <f>VLOOKUP(A40,Low_Cost_Hospitals!$A$9:$Q$38,17,FALSE)</f>
        <v>0</v>
      </c>
      <c r="J40" s="153"/>
      <c r="K40" s="164">
        <f t="shared" si="3"/>
        <v>17667031.14715296</v>
      </c>
      <c r="L40" s="164">
        <f t="shared" si="4"/>
        <v>5778204.8528470388</v>
      </c>
      <c r="M40" s="255" t="s">
        <v>102</v>
      </c>
      <c r="N40" s="164"/>
      <c r="P40" s="164"/>
      <c r="Q40" s="164"/>
      <c r="R40" s="164"/>
      <c r="S40" s="151"/>
      <c r="T40" s="158"/>
      <c r="U40" s="153"/>
      <c r="V40" s="153"/>
      <c r="W40" s="153"/>
      <c r="X40" s="155"/>
    </row>
    <row r="41" spans="1:128" x14ac:dyDescent="0.25">
      <c r="A41" s="115" t="s">
        <v>5</v>
      </c>
      <c r="B41" s="158">
        <v>35313506</v>
      </c>
      <c r="C41" s="174">
        <f t="shared" si="5"/>
        <v>5.7338659721303524E-2</v>
      </c>
      <c r="D41" s="158">
        <f t="shared" si="6"/>
        <v>4615762.1075649336</v>
      </c>
      <c r="E41" s="100">
        <f t="shared" si="7"/>
        <v>7.8402068063559718E-2</v>
      </c>
      <c r="F41" s="153">
        <f t="shared" si="0"/>
        <v>6311366.4791165572</v>
      </c>
      <c r="G41" s="164">
        <f t="shared" si="1"/>
        <v>1695604.3715516236</v>
      </c>
      <c r="H41" s="185">
        <f t="shared" si="2"/>
        <v>5.4084715847429805E-2</v>
      </c>
      <c r="I41" s="153">
        <f>VLOOKUP(A41,Low_Cost_Hospitals!$A$9:$Q$38,17,FALSE)</f>
        <v>0</v>
      </c>
      <c r="J41" s="153"/>
      <c r="K41" s="164">
        <f t="shared" si="3"/>
        <v>29002139.520883441</v>
      </c>
      <c r="L41" s="164">
        <f t="shared" si="4"/>
        <v>6311366.4791165572</v>
      </c>
      <c r="M41" s="255">
        <f>+I41+F41</f>
        <v>6311366.4791165572</v>
      </c>
      <c r="N41" s="164"/>
      <c r="P41" s="164"/>
      <c r="Q41" s="164"/>
      <c r="R41" s="164"/>
      <c r="S41" s="151"/>
      <c r="T41" s="158"/>
      <c r="U41" s="153"/>
      <c r="V41" s="153"/>
      <c r="W41" s="153"/>
      <c r="X41" s="155"/>
    </row>
    <row r="42" spans="1:128" x14ac:dyDescent="0.25">
      <c r="A42" s="115" t="s">
        <v>4</v>
      </c>
      <c r="B42" s="158">
        <v>2448181</v>
      </c>
      <c r="C42" s="174">
        <f t="shared" si="5"/>
        <v>3.9751198109629947E-3</v>
      </c>
      <c r="D42" s="158">
        <f t="shared" si="6"/>
        <v>319997.14478252106</v>
      </c>
      <c r="E42" s="100">
        <f t="shared" si="7"/>
        <v>2.4519867612017893E-3</v>
      </c>
      <c r="F42" s="153">
        <f t="shared" si="0"/>
        <v>197384.93427674402</v>
      </c>
      <c r="G42" s="164">
        <f t="shared" si="1"/>
        <v>-122612.21050577704</v>
      </c>
      <c r="H42" s="185">
        <f t="shared" si="2"/>
        <v>1.691473331210459E-3</v>
      </c>
      <c r="I42" s="153">
        <f>VLOOKUP(A42,Low_Cost_Hospitals!$A$9:$Q$38,17,FALSE)</f>
        <v>324380.47919218295</v>
      </c>
      <c r="J42" s="153"/>
      <c r="K42" s="164">
        <f t="shared" si="3"/>
        <v>1926415.5865310731</v>
      </c>
      <c r="L42" s="164">
        <f t="shared" si="4"/>
        <v>521765.41346892697</v>
      </c>
      <c r="M42" s="255">
        <f>+I42+F42</f>
        <v>521765.41346892697</v>
      </c>
      <c r="N42" s="164"/>
      <c r="P42" s="164"/>
      <c r="Q42" s="164"/>
      <c r="R42" s="164"/>
      <c r="S42" s="151"/>
      <c r="T42" s="158"/>
      <c r="U42" s="153"/>
      <c r="V42" s="153"/>
      <c r="W42" s="153"/>
      <c r="X42" s="155"/>
    </row>
    <row r="43" spans="1:128" x14ac:dyDescent="0.25">
      <c r="A43" s="115" t="s">
        <v>3</v>
      </c>
      <c r="B43" s="158">
        <v>30109270</v>
      </c>
      <c r="C43" s="174">
        <f t="shared" si="5"/>
        <v>4.8888524039126913E-2</v>
      </c>
      <c r="D43" s="158">
        <f t="shared" si="6"/>
        <v>3935526.1851497167</v>
      </c>
      <c r="E43" s="100">
        <f t="shared" si="7"/>
        <v>3.8262843097405526E-2</v>
      </c>
      <c r="F43" s="153">
        <f t="shared" si="0"/>
        <v>3080158.8693411448</v>
      </c>
      <c r="G43" s="164">
        <f t="shared" si="1"/>
        <v>-855367.31580857188</v>
      </c>
      <c r="H43" s="185">
        <f t="shared" si="2"/>
        <v>2.6395158285369466E-2</v>
      </c>
      <c r="I43" s="153">
        <f>VLOOKUP(A43,Low_Cost_Hospitals!$A$9:$Q$38,17,FALSE)</f>
        <v>0</v>
      </c>
      <c r="J43" s="153"/>
      <c r="K43" s="164">
        <f t="shared" si="3"/>
        <v>27029111.130658854</v>
      </c>
      <c r="L43" s="164">
        <f t="shared" si="4"/>
        <v>3080158.8693411448</v>
      </c>
      <c r="M43" s="255">
        <f>+I43+F43</f>
        <v>3080158.8693411448</v>
      </c>
      <c r="N43" s="164"/>
      <c r="P43" s="164"/>
      <c r="Q43" s="164"/>
      <c r="R43" s="164"/>
      <c r="S43" s="151"/>
      <c r="T43" s="158"/>
      <c r="U43" s="153"/>
      <c r="V43" s="153"/>
      <c r="W43" s="153"/>
      <c r="X43" s="155"/>
    </row>
    <row r="44" spans="1:128" x14ac:dyDescent="0.25">
      <c r="A44" s="115" t="s">
        <v>2</v>
      </c>
      <c r="B44" s="158">
        <v>21323826</v>
      </c>
      <c r="C44" s="174">
        <f t="shared" si="5"/>
        <v>3.4623568754976776E-2</v>
      </c>
      <c r="D44" s="158">
        <f t="shared" si="6"/>
        <v>2787197.2847756306</v>
      </c>
      <c r="E44" s="100">
        <f t="shared" si="7"/>
        <v>3.4926677863210069E-2</v>
      </c>
      <c r="F44" s="153">
        <f t="shared" si="0"/>
        <v>2811597.5679884106</v>
      </c>
      <c r="G44" s="164">
        <f t="shared" si="1"/>
        <v>24400.283212780021</v>
      </c>
      <c r="H44" s="185">
        <f t="shared" si="2"/>
        <v>2.4093745157271126E-2</v>
      </c>
      <c r="I44" s="153">
        <f>VLOOKUP(A44,Low_Cost_Hospitals!$A$9:$Q$38,17,FALSE)</f>
        <v>103183.07676631132</v>
      </c>
      <c r="J44" s="153"/>
      <c r="K44" s="164">
        <f t="shared" si="3"/>
        <v>18409045.355245277</v>
      </c>
      <c r="L44" s="164">
        <f t="shared" si="4"/>
        <v>2914780.6447547218</v>
      </c>
      <c r="M44" s="255">
        <f>+I44+F44</f>
        <v>2914780.6447547218</v>
      </c>
      <c r="N44" s="164"/>
      <c r="P44" s="164"/>
      <c r="Q44" s="164"/>
      <c r="R44" s="164"/>
      <c r="S44" s="151"/>
      <c r="T44" s="158"/>
      <c r="U44" s="153"/>
      <c r="V44" s="153"/>
      <c r="W44" s="153"/>
      <c r="X44" s="155"/>
    </row>
    <row r="45" spans="1:128" x14ac:dyDescent="0.25">
      <c r="A45" s="115" t="s">
        <v>1</v>
      </c>
      <c r="B45" s="158">
        <v>6399553</v>
      </c>
      <c r="C45" s="174">
        <f t="shared" si="5"/>
        <v>1.0390975957908204E-2</v>
      </c>
      <c r="D45" s="158">
        <f t="shared" si="6"/>
        <v>836473.56461161049</v>
      </c>
      <c r="E45" s="100">
        <f t="shared" si="7"/>
        <v>1.6474421291195571E-2</v>
      </c>
      <c r="F45" s="153">
        <f t="shared" si="0"/>
        <v>1326190.9139412434</v>
      </c>
      <c r="G45" s="164">
        <f t="shared" si="1"/>
        <v>489717.34932963294</v>
      </c>
      <c r="H45" s="185">
        <f t="shared" si="2"/>
        <v>1.1364679737310299E-2</v>
      </c>
      <c r="I45" s="153">
        <f>VLOOKUP(A45,Low_Cost_Hospitals!$A$9:$Q$38,17,FALSE)</f>
        <v>1111042.4673269477</v>
      </c>
      <c r="J45" s="153"/>
      <c r="K45" s="164">
        <f t="shared" si="3"/>
        <v>3962319.6187318088</v>
      </c>
      <c r="L45" s="164">
        <f t="shared" si="4"/>
        <v>2437233.3812681912</v>
      </c>
      <c r="M45" s="255" t="s">
        <v>101</v>
      </c>
      <c r="N45" s="164"/>
      <c r="P45" s="164"/>
      <c r="Q45" s="164"/>
      <c r="R45" s="164"/>
      <c r="S45" s="151"/>
      <c r="T45" s="158"/>
      <c r="U45" s="153"/>
      <c r="V45" s="153"/>
      <c r="W45" s="153"/>
      <c r="X45" s="155"/>
      <c r="Y45" s="117"/>
    </row>
    <row r="46" spans="1:128" s="200" customFormat="1" x14ac:dyDescent="0.25">
      <c r="A46" s="193" t="s">
        <v>32</v>
      </c>
      <c r="B46" s="194">
        <v>132977864</v>
      </c>
      <c r="C46" s="195">
        <f t="shared" si="5"/>
        <v>0.21591660976289859</v>
      </c>
      <c r="D46" s="194">
        <f t="shared" si="6"/>
        <v>17381287.085913338</v>
      </c>
      <c r="E46" s="196">
        <f t="shared" si="7"/>
        <v>8.1653959878843427E-2</v>
      </c>
      <c r="F46" s="197">
        <f t="shared" si="0"/>
        <v>6573143.770246896</v>
      </c>
      <c r="G46" s="198">
        <f t="shared" si="1"/>
        <v>-10808143.315666441</v>
      </c>
      <c r="H46" s="199">
        <f t="shared" si="2"/>
        <v>0.21854750205861356</v>
      </c>
      <c r="I46" s="197">
        <f>VLOOKUP(A46,Low_Cost_Hospitals!$A$9:$Q$38,17,FALSE)</f>
        <v>0</v>
      </c>
      <c r="J46" s="197">
        <v>26395</v>
      </c>
      <c r="K46" s="198">
        <f t="shared" si="3"/>
        <v>126378325.22975311</v>
      </c>
      <c r="L46" s="198">
        <f t="shared" si="4"/>
        <v>6599538.770246896</v>
      </c>
      <c r="M46" s="256">
        <f>L20+L24+L40+L46</f>
        <v>19520030.544104699</v>
      </c>
      <c r="N46" s="164"/>
      <c r="O46" s="113"/>
      <c r="P46" s="164"/>
      <c r="Q46" s="164"/>
      <c r="R46" s="164"/>
      <c r="S46" s="222"/>
      <c r="T46" s="158"/>
      <c r="U46" s="201"/>
      <c r="V46" s="201"/>
      <c r="W46" s="201"/>
      <c r="X46" s="68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</row>
    <row r="47" spans="1:128" s="113" customFormat="1" x14ac:dyDescent="0.25">
      <c r="A47" s="119" t="s">
        <v>0</v>
      </c>
      <c r="B47" s="118">
        <f t="shared" ref="B47:G47" si="8">SUM(B19:B46)</f>
        <v>615876028</v>
      </c>
      <c r="C47" s="176">
        <f t="shared" si="8"/>
        <v>0.99999999999999978</v>
      </c>
      <c r="D47" s="179">
        <f t="shared" si="8"/>
        <v>80500000</v>
      </c>
      <c r="E47" s="100">
        <f>SUM(E19:E46)</f>
        <v>0.99999999999999989</v>
      </c>
      <c r="F47" s="158">
        <f>SUM(F19:F46)</f>
        <v>80500000.000000015</v>
      </c>
      <c r="G47" s="158">
        <f t="shared" si="8"/>
        <v>0</v>
      </c>
      <c r="H47" s="186">
        <f t="shared" ref="H47:M47" si="9">SUM(H19:H46)</f>
        <v>1</v>
      </c>
      <c r="I47" s="153">
        <f t="shared" si="9"/>
        <v>15099999.999999993</v>
      </c>
      <c r="J47" s="153">
        <f t="shared" si="9"/>
        <v>76522</v>
      </c>
      <c r="K47" s="158">
        <f t="shared" si="9"/>
        <v>521818354.86292148</v>
      </c>
      <c r="L47" s="158">
        <f t="shared" si="9"/>
        <v>95676522</v>
      </c>
      <c r="M47" s="158">
        <f t="shared" si="9"/>
        <v>95676521.999999985</v>
      </c>
      <c r="N47" s="158"/>
      <c r="P47" s="158"/>
      <c r="Q47" s="158"/>
      <c r="R47" s="158"/>
      <c r="S47" s="152"/>
      <c r="T47" s="152"/>
      <c r="U47" s="153"/>
      <c r="V47" s="153"/>
      <c r="W47" s="153"/>
      <c r="X47" s="68"/>
    </row>
    <row r="48" spans="1:128" x14ac:dyDescent="0.25">
      <c r="A48" s="115"/>
      <c r="B48" s="155"/>
      <c r="D48" s="100"/>
      <c r="E48" s="100"/>
      <c r="G48" s="116"/>
      <c r="H48" s="116"/>
      <c r="K48" s="116"/>
      <c r="L48" s="116"/>
      <c r="M48" s="116"/>
      <c r="N48" s="116"/>
      <c r="O48" s="116"/>
      <c r="P48" s="116"/>
      <c r="Q48" s="116"/>
      <c r="R48" s="116"/>
      <c r="S48" s="166"/>
      <c r="T48" s="153"/>
      <c r="U48" s="153"/>
      <c r="V48" s="158"/>
      <c r="W48" s="153"/>
      <c r="X48" s="155"/>
      <c r="AH48" s="183"/>
    </row>
    <row r="49" spans="1:42" x14ac:dyDescent="0.25">
      <c r="I49" s="207" t="s">
        <v>33</v>
      </c>
      <c r="J49" s="197">
        <v>23478</v>
      </c>
      <c r="L49" s="113"/>
      <c r="M49" s="202"/>
      <c r="O49" s="158"/>
      <c r="P49" s="158"/>
      <c r="Q49" s="158"/>
      <c r="R49" s="158"/>
      <c r="S49" s="114"/>
      <c r="T49" s="153"/>
      <c r="U49" s="153"/>
      <c r="V49" s="158"/>
      <c r="W49" s="153"/>
      <c r="X49" s="155"/>
    </row>
    <row r="50" spans="1:42" x14ac:dyDescent="0.25">
      <c r="A50" s="183"/>
      <c r="J50" s="153">
        <f>J47+J49</f>
        <v>100000</v>
      </c>
      <c r="M50" s="202"/>
      <c r="O50" s="158"/>
      <c r="P50" s="158"/>
      <c r="Q50" s="158"/>
      <c r="R50" s="158"/>
      <c r="S50" s="114"/>
      <c r="T50" s="153"/>
      <c r="U50" s="153"/>
      <c r="V50" s="158"/>
      <c r="W50" s="153"/>
      <c r="X50" s="155"/>
    </row>
    <row r="51" spans="1:42" x14ac:dyDescent="0.25">
      <c r="A51" s="183" t="s">
        <v>105</v>
      </c>
      <c r="O51" s="158"/>
      <c r="P51" s="158"/>
      <c r="Q51" s="158"/>
      <c r="R51" s="158"/>
      <c r="S51" s="114"/>
      <c r="T51" s="153"/>
      <c r="U51" s="153"/>
      <c r="V51" s="158"/>
      <c r="W51" s="153"/>
      <c r="X51" s="155"/>
    </row>
    <row r="52" spans="1:42" x14ac:dyDescent="0.25">
      <c r="A52" s="188" t="s">
        <v>106</v>
      </c>
      <c r="B52" s="155"/>
      <c r="C52" s="153"/>
      <c r="D52" s="158">
        <f>D19+D26+D27+D32+D45</f>
        <v>15594352.800495751</v>
      </c>
      <c r="E52" s="155"/>
      <c r="F52" s="158">
        <f>F19+F26+F27+F32+F45</f>
        <v>17025921.848139267</v>
      </c>
      <c r="G52" s="158">
        <f>G19+G26+G27+G32+G45</f>
        <v>1431569.0476435141</v>
      </c>
      <c r="H52" s="158"/>
      <c r="I52" s="158">
        <f>I19+I26+I27+I32+I45</f>
        <v>6740036.5511309402</v>
      </c>
      <c r="J52" s="158"/>
      <c r="K52" s="158"/>
      <c r="L52" s="158">
        <f>L19+L26+L27+L32+L45</f>
        <v>23765958.399270207</v>
      </c>
      <c r="M52" s="158"/>
      <c r="N52" s="158"/>
      <c r="O52" s="181"/>
      <c r="P52" s="181"/>
      <c r="Q52" s="178"/>
      <c r="R52" s="178"/>
      <c r="S52" s="107"/>
      <c r="T52" s="114"/>
      <c r="U52" s="114"/>
      <c r="V52" s="114"/>
      <c r="W52" s="114"/>
      <c r="X52" s="155"/>
      <c r="AC52" s="203"/>
      <c r="AP52" s="158"/>
    </row>
    <row r="53" spans="1:42" x14ac:dyDescent="0.25">
      <c r="A53" s="189" t="s">
        <v>107</v>
      </c>
      <c r="B53" s="155"/>
      <c r="C53" s="114"/>
      <c r="D53" s="168">
        <f>D20+D24+D40+D46</f>
        <v>24617745.634191174</v>
      </c>
      <c r="E53" s="155"/>
      <c r="F53" s="168">
        <f>F20+F24+F40+F46</f>
        <v>19470591.544104699</v>
      </c>
      <c r="G53" s="168">
        <f>G20+G24+G40+G46</f>
        <v>-5147154.0900864722</v>
      </c>
      <c r="H53" s="168"/>
      <c r="I53" s="168">
        <f>I20+I24+I40+I46</f>
        <v>0</v>
      </c>
      <c r="J53" s="168"/>
      <c r="K53" s="181"/>
      <c r="L53" s="168">
        <f>L20+L24+L40+L46</f>
        <v>19520030.544104699</v>
      </c>
      <c r="M53" s="168"/>
      <c r="N53" s="168"/>
      <c r="O53" s="181"/>
      <c r="P53" s="181"/>
      <c r="Q53" s="178"/>
      <c r="R53" s="178"/>
      <c r="S53" s="107"/>
      <c r="T53" s="114"/>
      <c r="U53" s="114"/>
      <c r="V53" s="114"/>
      <c r="W53" s="114"/>
      <c r="X53" s="155"/>
      <c r="AC53" s="203"/>
      <c r="AP53" s="168"/>
    </row>
    <row r="54" spans="1:42" x14ac:dyDescent="0.25">
      <c r="A54" s="189" t="s">
        <v>87</v>
      </c>
      <c r="B54" s="155"/>
      <c r="C54" s="114"/>
      <c r="D54" s="168">
        <f>D31+D37</f>
        <v>1892490.1140980925</v>
      </c>
      <c r="E54" s="155"/>
      <c r="F54" s="168">
        <f>F31+F37</f>
        <v>2014589.4249296798</v>
      </c>
      <c r="G54" s="168">
        <f>G31+G37</f>
        <v>122099.3108315873</v>
      </c>
      <c r="H54" s="168"/>
      <c r="I54" s="168">
        <f>I31+I37</f>
        <v>327675.82342378941</v>
      </c>
      <c r="J54" s="168"/>
      <c r="K54" s="181"/>
      <c r="L54" s="168">
        <f>L31+L37</f>
        <v>2342265.2483534692</v>
      </c>
      <c r="M54" s="168"/>
      <c r="N54" s="168"/>
      <c r="O54" s="181"/>
      <c r="P54" s="181"/>
      <c r="Q54" s="178"/>
      <c r="R54" s="178"/>
      <c r="S54" s="107"/>
      <c r="T54" s="114"/>
      <c r="U54" s="114"/>
      <c r="V54" s="114"/>
      <c r="W54" s="114"/>
      <c r="X54" s="155"/>
      <c r="AC54" s="203"/>
      <c r="AP54" s="168"/>
    </row>
    <row r="55" spans="1:42" x14ac:dyDescent="0.25">
      <c r="A55" s="189" t="s">
        <v>88</v>
      </c>
      <c r="B55" s="155"/>
      <c r="C55" s="114"/>
      <c r="D55" s="168">
        <f>D22+D35</f>
        <v>5437710.3398153372</v>
      </c>
      <c r="E55" s="155"/>
      <c r="F55" s="168">
        <f>F22+F35</f>
        <v>4048313.5343002989</v>
      </c>
      <c r="G55" s="168">
        <f>G22+G35</f>
        <v>-1389396.8055150381</v>
      </c>
      <c r="H55" s="168"/>
      <c r="I55" s="168">
        <f>I22+I35</f>
        <v>0</v>
      </c>
      <c r="J55" s="168"/>
      <c r="K55" s="181"/>
      <c r="L55" s="168">
        <f>L22+L35</f>
        <v>4048313.5343002989</v>
      </c>
      <c r="M55" s="168"/>
      <c r="N55" s="168"/>
      <c r="O55" s="181"/>
      <c r="P55" s="181"/>
      <c r="Q55" s="178"/>
      <c r="R55" s="178"/>
      <c r="S55" s="107"/>
      <c r="T55" s="114"/>
      <c r="U55" s="114"/>
      <c r="V55" s="114"/>
      <c r="W55" s="114"/>
      <c r="X55" s="155"/>
      <c r="AC55" s="203"/>
      <c r="AP55" s="168"/>
    </row>
    <row r="56" spans="1:42" ht="13.8" x14ac:dyDescent="0.25">
      <c r="A56" s="204" t="s">
        <v>115</v>
      </c>
      <c r="B56" s="155"/>
      <c r="C56" s="114"/>
      <c r="D56" s="168">
        <f>D47-SUM(D52:D55)</f>
        <v>32957701.111399636</v>
      </c>
      <c r="E56" s="155"/>
      <c r="F56" s="168">
        <f>F47-SUM(F52:F55)</f>
        <v>37940583.648526073</v>
      </c>
      <c r="G56" s="168">
        <f>G47-SUM(G52:G55)</f>
        <v>4982882.5371264089</v>
      </c>
      <c r="H56" s="168"/>
      <c r="I56" s="168">
        <f>I47-SUM(I52:I55)</f>
        <v>8032287.6254452625</v>
      </c>
      <c r="J56" s="181"/>
      <c r="K56" s="181"/>
      <c r="L56" s="168">
        <f>L47-SUM(L52:L55)</f>
        <v>45999954.273971334</v>
      </c>
      <c r="M56" s="168"/>
      <c r="N56" s="168"/>
      <c r="O56" s="181"/>
      <c r="P56" s="181"/>
      <c r="Q56" s="178"/>
      <c r="R56" s="178"/>
      <c r="S56" s="107"/>
      <c r="T56" s="114"/>
      <c r="U56" s="114"/>
      <c r="V56" s="114"/>
      <c r="W56" s="114"/>
      <c r="X56" s="155"/>
      <c r="AB56" s="145"/>
      <c r="AC56" s="203"/>
      <c r="AO56" s="204"/>
      <c r="AP56" s="205"/>
    </row>
    <row r="57" spans="1:42" ht="13.8" x14ac:dyDescent="0.25">
      <c r="A57" s="204"/>
      <c r="B57" s="155"/>
      <c r="C57" s="114"/>
      <c r="D57" s="168"/>
      <c r="E57" s="155"/>
      <c r="F57" s="168"/>
      <c r="G57" s="168"/>
      <c r="H57" s="168"/>
      <c r="I57" s="168"/>
      <c r="J57" s="181"/>
      <c r="K57" s="181"/>
      <c r="L57" s="168"/>
      <c r="M57" s="168"/>
      <c r="N57" s="168"/>
      <c r="O57" s="181"/>
      <c r="P57" s="181"/>
      <c r="Q57" s="178"/>
      <c r="R57" s="178"/>
      <c r="S57" s="107"/>
      <c r="T57" s="114"/>
      <c r="U57" s="114"/>
      <c r="V57" s="114"/>
      <c r="W57" s="114"/>
      <c r="X57" s="155"/>
      <c r="AB57" s="145"/>
      <c r="AC57" s="203"/>
      <c r="AO57" s="204"/>
      <c r="AP57" s="205"/>
    </row>
    <row r="58" spans="1:42" ht="13.8" x14ac:dyDescent="0.25">
      <c r="A58" s="183"/>
      <c r="B58" s="155"/>
      <c r="C58" s="114"/>
      <c r="D58" s="168"/>
      <c r="E58" s="155"/>
      <c r="F58" s="168"/>
      <c r="G58" s="168"/>
      <c r="H58" s="168"/>
      <c r="I58" s="168"/>
      <c r="J58" s="181"/>
      <c r="K58" s="181"/>
      <c r="L58" s="168"/>
      <c r="M58" s="168"/>
      <c r="N58" s="168"/>
      <c r="O58" s="181"/>
      <c r="P58" s="181"/>
      <c r="Q58" s="178"/>
      <c r="R58" s="178"/>
      <c r="S58" s="107"/>
      <c r="T58" s="114"/>
      <c r="U58" s="114"/>
      <c r="V58" s="114"/>
      <c r="W58" s="114"/>
      <c r="X58" s="155"/>
      <c r="AB58" s="145"/>
      <c r="AC58" s="203"/>
      <c r="AO58" s="204"/>
      <c r="AP58" s="205"/>
    </row>
    <row r="59" spans="1:42" ht="13.8" x14ac:dyDescent="0.25">
      <c r="A59" s="183"/>
      <c r="B59" s="155"/>
      <c r="C59" s="114"/>
      <c r="D59" s="168"/>
      <c r="E59" s="155"/>
      <c r="F59" s="168"/>
      <c r="G59" s="168"/>
      <c r="H59" s="168"/>
      <c r="I59" s="168"/>
      <c r="J59" s="181"/>
      <c r="K59" s="181"/>
      <c r="L59" s="168"/>
      <c r="M59" s="168"/>
      <c r="N59" s="168"/>
      <c r="O59" s="181"/>
      <c r="P59" s="181"/>
      <c r="Q59" s="178"/>
      <c r="R59" s="178"/>
      <c r="S59" s="107"/>
      <c r="T59" s="114"/>
      <c r="U59" s="114"/>
      <c r="V59" s="114"/>
      <c r="W59" s="114"/>
      <c r="X59" s="155"/>
      <c r="AB59" s="145"/>
      <c r="AC59" s="203"/>
      <c r="AO59" s="204"/>
      <c r="AP59" s="205"/>
    </row>
    <row r="60" spans="1:42" ht="13.8" x14ac:dyDescent="0.25">
      <c r="A60" s="183"/>
      <c r="B60" s="155"/>
      <c r="C60" s="114"/>
      <c r="D60" s="168"/>
      <c r="E60" s="155"/>
      <c r="F60" s="168"/>
      <c r="G60" s="168"/>
      <c r="H60" s="168"/>
      <c r="I60" s="168"/>
      <c r="J60" s="181"/>
      <c r="K60" s="181"/>
      <c r="L60" s="168"/>
      <c r="M60" s="168"/>
      <c r="N60" s="168"/>
      <c r="O60" s="181"/>
      <c r="P60" s="181"/>
      <c r="Q60" s="178"/>
      <c r="R60" s="178"/>
      <c r="S60" s="107"/>
      <c r="T60" s="114"/>
      <c r="U60" s="114"/>
      <c r="V60" s="114"/>
      <c r="W60" s="114"/>
      <c r="X60" s="155"/>
      <c r="AB60" s="145"/>
      <c r="AC60" s="203"/>
      <c r="AO60" s="204"/>
      <c r="AP60" s="205"/>
    </row>
    <row r="61" spans="1:42" ht="17.399999999999999" x14ac:dyDescent="0.3">
      <c r="A61" s="110" t="s">
        <v>109</v>
      </c>
      <c r="B61" s="107"/>
      <c r="C61" s="107"/>
      <c r="D61" s="107"/>
      <c r="E61" s="107"/>
      <c r="F61" s="107"/>
      <c r="G61" s="107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7"/>
      <c r="T61" s="112"/>
      <c r="U61" s="111"/>
    </row>
    <row r="62" spans="1:42" ht="17.399999999999999" x14ac:dyDescent="0.3">
      <c r="A62" s="110"/>
      <c r="B62" s="109">
        <v>-1</v>
      </c>
      <c r="C62" s="109">
        <v>-2</v>
      </c>
      <c r="D62" s="109">
        <v>-3</v>
      </c>
      <c r="E62" s="109"/>
      <c r="F62" s="109"/>
      <c r="G62" s="109"/>
      <c r="L62" s="202"/>
      <c r="P62" s="113"/>
      <c r="Q62" s="113"/>
      <c r="R62" s="113"/>
      <c r="S62" s="109"/>
      <c r="T62" s="109"/>
      <c r="U62" s="109"/>
      <c r="AC62" s="117"/>
    </row>
    <row r="63" spans="1:42" ht="15.6" x14ac:dyDescent="0.3">
      <c r="A63" s="108"/>
      <c r="B63" s="106" t="s">
        <v>79</v>
      </c>
      <c r="C63" s="106" t="str">
        <f t="shared" ref="C63:E66" si="10">B63</f>
        <v>FFY 2010</v>
      </c>
      <c r="D63" s="106" t="str">
        <f>B63</f>
        <v>FFY 2010</v>
      </c>
      <c r="E63" s="106" t="str">
        <f t="shared" si="10"/>
        <v>FFY 2010</v>
      </c>
      <c r="P63" s="113"/>
      <c r="Q63" s="113"/>
      <c r="R63" s="113"/>
    </row>
    <row r="64" spans="1:42" x14ac:dyDescent="0.25">
      <c r="A64" s="107"/>
      <c r="B64" s="106" t="s">
        <v>78</v>
      </c>
      <c r="C64" s="106" t="str">
        <f t="shared" si="10"/>
        <v>Medicaid</v>
      </c>
      <c r="D64" s="106" t="str">
        <f>B64</f>
        <v>Medicaid</v>
      </c>
      <c r="E64" s="106" t="str">
        <f t="shared" si="10"/>
        <v>Medicaid</v>
      </c>
      <c r="P64" s="113"/>
      <c r="Q64" s="113"/>
      <c r="R64" s="113"/>
    </row>
    <row r="65" spans="1:18" x14ac:dyDescent="0.25">
      <c r="A65" s="105" t="s">
        <v>52</v>
      </c>
      <c r="B65" s="106" t="s">
        <v>77</v>
      </c>
      <c r="C65" s="106" t="str">
        <f t="shared" si="10"/>
        <v>Inpatient</v>
      </c>
      <c r="D65" s="106" t="str">
        <f>B65</f>
        <v>Inpatient</v>
      </c>
      <c r="E65" s="106" t="str">
        <f t="shared" si="10"/>
        <v>Inpatient</v>
      </c>
      <c r="P65" s="113"/>
      <c r="Q65" s="113"/>
      <c r="R65" s="113"/>
    </row>
    <row r="66" spans="1:18" x14ac:dyDescent="0.25">
      <c r="A66" s="105"/>
      <c r="B66" s="106" t="s">
        <v>76</v>
      </c>
      <c r="C66" s="106" t="str">
        <f t="shared" si="10"/>
        <v xml:space="preserve">Net </v>
      </c>
      <c r="D66" s="106" t="str">
        <f>B66</f>
        <v xml:space="preserve">Net </v>
      </c>
      <c r="E66" s="106" t="str">
        <f t="shared" si="10"/>
        <v xml:space="preserve">Net </v>
      </c>
      <c r="P66" s="113"/>
      <c r="Q66" s="113"/>
      <c r="R66" s="113"/>
    </row>
    <row r="67" spans="1:18" x14ac:dyDescent="0.25">
      <c r="A67" s="105"/>
      <c r="B67" s="106" t="s">
        <v>75</v>
      </c>
      <c r="C67" s="106" t="str">
        <f>B67</f>
        <v>Revenue</v>
      </c>
      <c r="D67" s="106" t="s">
        <v>74</v>
      </c>
      <c r="E67" s="106" t="str">
        <f>B67</f>
        <v>Revenue</v>
      </c>
      <c r="P67" s="113"/>
      <c r="Q67" s="113"/>
      <c r="R67" s="113"/>
    </row>
    <row r="68" spans="1:18" ht="21" x14ac:dyDescent="0.25">
      <c r="A68" s="105"/>
      <c r="B68" s="104" t="s">
        <v>73</v>
      </c>
      <c r="C68" s="103" t="s">
        <v>72</v>
      </c>
      <c r="D68" s="102">
        <f>E17</f>
        <v>25000000</v>
      </c>
      <c r="E68" s="103" t="s">
        <v>72</v>
      </c>
      <c r="P68" s="113"/>
      <c r="Q68" s="113"/>
      <c r="R68" s="113"/>
    </row>
    <row r="69" spans="1:18" x14ac:dyDescent="0.25">
      <c r="A69" s="101" t="s">
        <v>26</v>
      </c>
      <c r="B69" s="97">
        <v>6568500</v>
      </c>
      <c r="C69" s="100">
        <f>B69/B$97</f>
        <v>1.4799617138174298E-2</v>
      </c>
      <c r="D69" s="93">
        <f>IF(B69&gt;D$68,D$68,ROUND(B69,0))</f>
        <v>6568500</v>
      </c>
      <c r="E69" s="100">
        <f t="shared" ref="E69:E96" si="11">D69/D$97</f>
        <v>2.1453761418567321E-2</v>
      </c>
      <c r="P69" s="113"/>
      <c r="Q69" s="113"/>
      <c r="R69" s="113"/>
    </row>
    <row r="70" spans="1:18" x14ac:dyDescent="0.25">
      <c r="A70" s="99" t="s">
        <v>25</v>
      </c>
      <c r="B70" s="97">
        <v>36750880</v>
      </c>
      <c r="C70" s="100">
        <f t="shared" ref="C70:C96" si="12">B70/B$97</f>
        <v>8.2804133895255691E-2</v>
      </c>
      <c r="D70" s="206">
        <f t="shared" ref="D70:D96" si="13">IF(B70&gt;D$68,D$68,ROUND(B70,0))</f>
        <v>25000000</v>
      </c>
      <c r="E70" s="100">
        <f>D70/D$97</f>
        <v>8.1653959878843427E-2</v>
      </c>
      <c r="P70" s="113"/>
      <c r="Q70" s="113"/>
      <c r="R70" s="113"/>
    </row>
    <row r="71" spans="1:18" x14ac:dyDescent="0.25">
      <c r="A71" s="101" t="s">
        <v>24</v>
      </c>
      <c r="B71" s="97">
        <v>4882557</v>
      </c>
      <c r="C71" s="100">
        <f t="shared" si="12"/>
        <v>1.100098565202297E-2</v>
      </c>
      <c r="D71" s="93">
        <f t="shared" si="13"/>
        <v>4882557</v>
      </c>
      <c r="E71" s="100">
        <f t="shared" si="11"/>
        <v>1.5947204535366643E-2</v>
      </c>
      <c r="P71" s="113"/>
      <c r="Q71" s="113"/>
      <c r="R71" s="113"/>
    </row>
    <row r="72" spans="1:18" x14ac:dyDescent="0.25">
      <c r="A72" s="101" t="s">
        <v>22</v>
      </c>
      <c r="B72" s="97">
        <v>14179472</v>
      </c>
      <c r="C72" s="100">
        <f t="shared" si="12"/>
        <v>3.194804853794056E-2</v>
      </c>
      <c r="D72" s="93">
        <f t="shared" si="13"/>
        <v>14179472</v>
      </c>
      <c r="E72" s="100">
        <f t="shared" si="11"/>
        <v>4.6312401511647346E-2</v>
      </c>
      <c r="P72" s="113"/>
      <c r="Q72" s="113"/>
      <c r="R72" s="113"/>
    </row>
    <row r="73" spans="1:18" x14ac:dyDescent="0.25">
      <c r="A73" s="101" t="s">
        <v>21</v>
      </c>
      <c r="B73" s="97">
        <v>4241450</v>
      </c>
      <c r="C73" s="100">
        <f t="shared" si="12"/>
        <v>9.556494802574313E-3</v>
      </c>
      <c r="D73" s="93">
        <f t="shared" si="13"/>
        <v>4241450</v>
      </c>
      <c r="E73" s="100">
        <f t="shared" si="11"/>
        <v>1.3853247525124818E-2</v>
      </c>
      <c r="P73" s="113"/>
      <c r="Q73" s="113"/>
      <c r="R73" s="113"/>
    </row>
    <row r="74" spans="1:18" x14ac:dyDescent="0.25">
      <c r="A74" s="101" t="s">
        <v>20</v>
      </c>
      <c r="B74" s="97">
        <v>2077009</v>
      </c>
      <c r="C74" s="100">
        <f t="shared" si="12"/>
        <v>4.67975001789484E-3</v>
      </c>
      <c r="D74" s="93">
        <f t="shared" si="13"/>
        <v>2077009</v>
      </c>
      <c r="E74" s="100">
        <f t="shared" si="11"/>
        <v>6.7838403821598682E-3</v>
      </c>
      <c r="P74" s="113"/>
      <c r="Q74" s="113"/>
      <c r="R74" s="113"/>
    </row>
    <row r="75" spans="1:18" x14ac:dyDescent="0.25">
      <c r="A75" s="101" t="s">
        <v>19</v>
      </c>
      <c r="B75" s="97">
        <v>6098674</v>
      </c>
      <c r="C75" s="100">
        <f t="shared" si="12"/>
        <v>1.3741042894197761E-2</v>
      </c>
      <c r="D75" s="93">
        <f t="shared" si="13"/>
        <v>6098674</v>
      </c>
      <c r="E75" s="100">
        <f t="shared" si="11"/>
        <v>1.9919235284405822E-2</v>
      </c>
      <c r="P75" s="113"/>
      <c r="Q75" s="113"/>
      <c r="R75" s="113"/>
    </row>
    <row r="76" spans="1:18" x14ac:dyDescent="0.25">
      <c r="A76" s="99" t="s">
        <v>18</v>
      </c>
      <c r="B76" s="97">
        <v>66489002</v>
      </c>
      <c r="C76" s="100">
        <f t="shared" si="12"/>
        <v>0.14980768417436327</v>
      </c>
      <c r="D76" s="206">
        <f t="shared" si="13"/>
        <v>25000000</v>
      </c>
      <c r="E76" s="100">
        <f t="shared" si="11"/>
        <v>8.1653959878843427E-2</v>
      </c>
      <c r="P76" s="113"/>
      <c r="Q76" s="113"/>
      <c r="R76" s="113"/>
    </row>
    <row r="77" spans="1:18" x14ac:dyDescent="0.25">
      <c r="A77" s="115" t="s">
        <v>30</v>
      </c>
      <c r="B77" s="97">
        <v>20418163</v>
      </c>
      <c r="C77" s="100">
        <f t="shared" si="12"/>
        <v>4.600456650145944E-2</v>
      </c>
      <c r="D77" s="93">
        <f t="shared" si="13"/>
        <v>20418163</v>
      </c>
      <c r="E77" s="100">
        <f t="shared" si="11"/>
        <v>6.6688954496067404E-2</v>
      </c>
    </row>
    <row r="78" spans="1:18" x14ac:dyDescent="0.25">
      <c r="A78" s="101" t="s">
        <v>17</v>
      </c>
      <c r="B78" s="97">
        <v>4383899</v>
      </c>
      <c r="C78" s="100">
        <f t="shared" si="12"/>
        <v>9.8774494591497546E-3</v>
      </c>
      <c r="D78" s="93">
        <f t="shared" si="13"/>
        <v>4383899</v>
      </c>
      <c r="E78" s="100">
        <f t="shared" si="11"/>
        <v>1.4318508522356072E-2</v>
      </c>
    </row>
    <row r="79" spans="1:18" x14ac:dyDescent="0.25">
      <c r="A79" s="101" t="s">
        <v>16</v>
      </c>
      <c r="B79" s="97">
        <v>2056980</v>
      </c>
      <c r="C79" s="100">
        <f t="shared" si="12"/>
        <v>4.6346222822382229E-3</v>
      </c>
      <c r="D79" s="93">
        <f t="shared" si="13"/>
        <v>2056980</v>
      </c>
      <c r="E79" s="100">
        <f t="shared" si="11"/>
        <v>6.7184224956633341E-3</v>
      </c>
    </row>
    <row r="80" spans="1:18" x14ac:dyDescent="0.25">
      <c r="A80" s="115" t="s">
        <v>31</v>
      </c>
      <c r="B80" s="97">
        <v>12364928</v>
      </c>
      <c r="C80" s="100">
        <f t="shared" si="12"/>
        <v>2.7859663597638917E-2</v>
      </c>
      <c r="D80" s="93">
        <f t="shared" si="13"/>
        <v>12364928</v>
      </c>
      <c r="E80" s="100">
        <f t="shared" si="11"/>
        <v>4.0385813392671506E-2</v>
      </c>
    </row>
    <row r="81" spans="1:5" x14ac:dyDescent="0.25">
      <c r="A81" s="101" t="s">
        <v>15</v>
      </c>
      <c r="B81" s="97">
        <v>5589437</v>
      </c>
      <c r="C81" s="100">
        <f t="shared" si="12"/>
        <v>1.259367094739218E-2</v>
      </c>
      <c r="D81" s="93">
        <f t="shared" si="13"/>
        <v>5589437</v>
      </c>
      <c r="E81" s="100">
        <f t="shared" si="11"/>
        <v>1.8255986581732917E-2</v>
      </c>
    </row>
    <row r="82" spans="1:5" x14ac:dyDescent="0.25">
      <c r="A82" s="101" t="s">
        <v>13</v>
      </c>
      <c r="B82" s="97">
        <v>7724989</v>
      </c>
      <c r="C82" s="100">
        <f t="shared" si="12"/>
        <v>1.7405325355348698E-2</v>
      </c>
      <c r="D82" s="93">
        <f t="shared" si="13"/>
        <v>7724989</v>
      </c>
      <c r="E82" s="100">
        <f t="shared" si="11"/>
        <v>2.523103767482027E-2</v>
      </c>
    </row>
    <row r="83" spans="1:5" x14ac:dyDescent="0.25">
      <c r="A83" s="101" t="s">
        <v>14</v>
      </c>
      <c r="B83" s="97">
        <v>9978042</v>
      </c>
      <c r="C83" s="100">
        <f t="shared" si="12"/>
        <v>2.2481723588128635E-2</v>
      </c>
      <c r="D83" s="93">
        <f t="shared" si="13"/>
        <v>9978042</v>
      </c>
      <c r="E83" s="100">
        <f t="shared" si="11"/>
        <v>3.2589865645496582E-2</v>
      </c>
    </row>
    <row r="84" spans="1:5" x14ac:dyDescent="0.25">
      <c r="A84" s="101" t="s">
        <v>12</v>
      </c>
      <c r="B84" s="97">
        <v>1555529</v>
      </c>
      <c r="C84" s="100">
        <f t="shared" si="12"/>
        <v>3.5047931258776169E-3</v>
      </c>
      <c r="D84" s="93">
        <f t="shared" si="13"/>
        <v>1555529</v>
      </c>
      <c r="E84" s="100">
        <f t="shared" si="11"/>
        <v>5.0806041022550975E-3</v>
      </c>
    </row>
    <row r="85" spans="1:5" x14ac:dyDescent="0.25">
      <c r="A85" s="101" t="s">
        <v>11</v>
      </c>
      <c r="B85" s="97">
        <v>1217702</v>
      </c>
      <c r="C85" s="100">
        <f t="shared" si="12"/>
        <v>2.7436284369930911E-3</v>
      </c>
      <c r="D85" s="93">
        <f t="shared" si="13"/>
        <v>1217702</v>
      </c>
      <c r="E85" s="100">
        <f t="shared" si="11"/>
        <v>3.9772076100954958E-3</v>
      </c>
    </row>
    <row r="86" spans="1:5" x14ac:dyDescent="0.25">
      <c r="A86" s="101" t="s">
        <v>10</v>
      </c>
      <c r="B86" s="97">
        <v>13969936</v>
      </c>
      <c r="C86" s="100">
        <f t="shared" si="12"/>
        <v>3.1475938836081005E-2</v>
      </c>
      <c r="D86" s="93">
        <f t="shared" si="13"/>
        <v>13969936</v>
      </c>
      <c r="E86" s="100">
        <f t="shared" si="11"/>
        <v>4.5628023746160415E-2</v>
      </c>
    </row>
    <row r="87" spans="1:5" x14ac:dyDescent="0.25">
      <c r="A87" s="101" t="s">
        <v>9</v>
      </c>
      <c r="B87" s="97">
        <v>2072762</v>
      </c>
      <c r="C87" s="100">
        <f t="shared" si="12"/>
        <v>4.6701810182776023E-3</v>
      </c>
      <c r="D87" s="93">
        <f t="shared" si="13"/>
        <v>2072762</v>
      </c>
      <c r="E87" s="100">
        <f t="shared" si="11"/>
        <v>6.7699690074556496E-3</v>
      </c>
    </row>
    <row r="88" spans="1:5" x14ac:dyDescent="0.25">
      <c r="A88" s="99" t="s">
        <v>8</v>
      </c>
      <c r="B88" s="97">
        <v>37421350</v>
      </c>
      <c r="C88" s="100">
        <f t="shared" si="12"/>
        <v>8.431478310019315E-2</v>
      </c>
      <c r="D88" s="206">
        <f t="shared" si="13"/>
        <v>25000000</v>
      </c>
      <c r="E88" s="100">
        <f t="shared" si="11"/>
        <v>8.1653959878843427E-2</v>
      </c>
    </row>
    <row r="89" spans="1:5" x14ac:dyDescent="0.25">
      <c r="A89" s="101" t="s">
        <v>7</v>
      </c>
      <c r="B89" s="97">
        <v>12605983</v>
      </c>
      <c r="C89" s="100">
        <f t="shared" si="12"/>
        <v>2.8402789381188072E-2</v>
      </c>
      <c r="D89" s="93">
        <f t="shared" si="13"/>
        <v>12605983</v>
      </c>
      <c r="E89" s="100">
        <f t="shared" si="11"/>
        <v>4.1173137204615289E-2</v>
      </c>
    </row>
    <row r="90" spans="1:5" x14ac:dyDescent="0.25">
      <c r="A90" s="101" t="s">
        <v>6</v>
      </c>
      <c r="B90" s="97">
        <v>21976565</v>
      </c>
      <c r="C90" s="100">
        <f t="shared" si="12"/>
        <v>4.9515832840405179E-2</v>
      </c>
      <c r="D90" s="93">
        <f t="shared" si="13"/>
        <v>21976565</v>
      </c>
      <c r="E90" s="100">
        <f t="shared" si="11"/>
        <v>7.1778942271391782E-2</v>
      </c>
    </row>
    <row r="91" spans="1:5" x14ac:dyDescent="0.25">
      <c r="A91" s="101" t="s">
        <v>5</v>
      </c>
      <c r="B91" s="97">
        <v>24004368</v>
      </c>
      <c r="C91" s="100">
        <f t="shared" si="12"/>
        <v>5.4084715847429805E-2</v>
      </c>
      <c r="D91" s="93">
        <f t="shared" si="13"/>
        <v>24004368</v>
      </c>
      <c r="E91" s="100">
        <f t="shared" si="11"/>
        <v>7.8402068063559718E-2</v>
      </c>
    </row>
    <row r="92" spans="1:5" x14ac:dyDescent="0.25">
      <c r="A92" s="101" t="s">
        <v>4</v>
      </c>
      <c r="B92" s="97">
        <v>750725</v>
      </c>
      <c r="C92" s="100">
        <f t="shared" si="12"/>
        <v>1.691473331210459E-3</v>
      </c>
      <c r="D92" s="93">
        <f t="shared" si="13"/>
        <v>750725</v>
      </c>
      <c r="E92" s="100">
        <f t="shared" si="11"/>
        <v>2.4519867612017893E-3</v>
      </c>
    </row>
    <row r="93" spans="1:5" x14ac:dyDescent="0.25">
      <c r="A93" s="101" t="s">
        <v>3</v>
      </c>
      <c r="B93" s="97">
        <v>11714938</v>
      </c>
      <c r="C93" s="100">
        <f t="shared" si="12"/>
        <v>2.6395158285369466E-2</v>
      </c>
      <c r="D93" s="93">
        <f t="shared" si="13"/>
        <v>11714938</v>
      </c>
      <c r="E93" s="100">
        <f t="shared" si="11"/>
        <v>3.8262843097405526E-2</v>
      </c>
    </row>
    <row r="94" spans="1:5" x14ac:dyDescent="0.25">
      <c r="A94" s="101" t="s">
        <v>2</v>
      </c>
      <c r="B94" s="97">
        <v>10693504</v>
      </c>
      <c r="C94" s="100">
        <f t="shared" si="12"/>
        <v>2.4093745157271126E-2</v>
      </c>
      <c r="D94" s="93">
        <f t="shared" si="13"/>
        <v>10693504</v>
      </c>
      <c r="E94" s="100">
        <f t="shared" si="11"/>
        <v>3.4926677863210069E-2</v>
      </c>
    </row>
    <row r="95" spans="1:5" x14ac:dyDescent="0.25">
      <c r="A95" s="101" t="s">
        <v>1</v>
      </c>
      <c r="B95" s="97">
        <v>5043975</v>
      </c>
      <c r="C95" s="100">
        <f t="shared" si="12"/>
        <v>1.1364679737310299E-2</v>
      </c>
      <c r="D95" s="93">
        <f t="shared" si="13"/>
        <v>5043975</v>
      </c>
      <c r="E95" s="100">
        <f t="shared" si="11"/>
        <v>1.6474421291195571E-2</v>
      </c>
    </row>
    <row r="96" spans="1:5" x14ac:dyDescent="0.25">
      <c r="A96" s="99" t="s">
        <v>32</v>
      </c>
      <c r="B96" s="97">
        <v>96997730</v>
      </c>
      <c r="C96" s="100">
        <f t="shared" si="12"/>
        <v>0.21854750205861356</v>
      </c>
      <c r="D96" s="206">
        <f t="shared" si="13"/>
        <v>25000000</v>
      </c>
      <c r="E96" s="100">
        <f t="shared" si="11"/>
        <v>8.1653959878843427E-2</v>
      </c>
    </row>
    <row r="97" spans="1:21" x14ac:dyDescent="0.25">
      <c r="A97" s="99" t="s">
        <v>0</v>
      </c>
      <c r="B97" s="97">
        <f>SUM(B69:B96)</f>
        <v>443829049</v>
      </c>
      <c r="C97" s="98">
        <f>SUM(C69:C96)</f>
        <v>1</v>
      </c>
      <c r="D97" s="93">
        <f>SUM(D69:D96)</f>
        <v>306170087</v>
      </c>
      <c r="E97" s="98">
        <f>SUM(E69:E96)</f>
        <v>0.99999999999999989</v>
      </c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</row>
    <row r="98" spans="1:21" x14ac:dyDescent="0.25">
      <c r="A98" s="92"/>
      <c r="B98" s="96"/>
      <c r="C98" s="92"/>
      <c r="D98" s="92"/>
      <c r="F98" s="95"/>
      <c r="G98" s="95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3"/>
      <c r="T98" s="93"/>
      <c r="U98" s="94"/>
    </row>
    <row r="99" spans="1:21" x14ac:dyDescent="0.25">
      <c r="A99" s="68"/>
      <c r="B99" s="91"/>
      <c r="C99" s="91"/>
      <c r="D99" s="91"/>
      <c r="E99" s="91"/>
      <c r="F99" s="91"/>
      <c r="G99" s="91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91"/>
      <c r="T99" s="91"/>
    </row>
    <row r="100" spans="1:21" ht="15.6" x14ac:dyDescent="0.3">
      <c r="A100" s="90"/>
      <c r="B100" s="86"/>
      <c r="C100" s="85"/>
      <c r="D100" s="85"/>
      <c r="E100" s="85"/>
      <c r="F100" s="85"/>
      <c r="G100" s="85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8"/>
      <c r="T100" s="88"/>
    </row>
    <row r="101" spans="1:21" x14ac:dyDescent="0.25">
      <c r="A101" s="84"/>
      <c r="B101" s="86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9"/>
    </row>
    <row r="102" spans="1:21" x14ac:dyDescent="0.25">
      <c r="A102" s="84"/>
      <c r="B102" s="86"/>
      <c r="C102" s="84"/>
      <c r="D102" s="84"/>
      <c r="E102" s="85"/>
      <c r="F102" s="85"/>
      <c r="G102" s="88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</row>
    <row r="103" spans="1:21" x14ac:dyDescent="0.25">
      <c r="A103" s="84"/>
      <c r="B103" s="84"/>
      <c r="C103" s="84"/>
      <c r="D103" s="84"/>
      <c r="E103" s="85"/>
      <c r="F103" s="85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</row>
    <row r="104" spans="1:21" x14ac:dyDescent="0.25">
      <c r="A104" s="84"/>
      <c r="B104" s="84"/>
      <c r="C104" s="84"/>
      <c r="D104" s="87"/>
      <c r="E104" s="84"/>
      <c r="F104" s="85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</row>
    <row r="105" spans="1:21" x14ac:dyDescent="0.25">
      <c r="A105" s="84"/>
      <c r="B105" s="86"/>
      <c r="C105" s="84"/>
      <c r="D105" s="84"/>
      <c r="E105" s="85"/>
      <c r="F105" s="84"/>
      <c r="G105" s="84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84"/>
      <c r="T105" s="84"/>
    </row>
    <row r="106" spans="1:21" ht="15.6" x14ac:dyDescent="0.3">
      <c r="A106" s="83"/>
      <c r="B106" s="79"/>
      <c r="C106" s="82"/>
      <c r="D106" s="79"/>
      <c r="E106" s="79"/>
      <c r="F106" s="81"/>
      <c r="G106" s="80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9"/>
      <c r="T106" s="79"/>
    </row>
    <row r="107" spans="1:21" x14ac:dyDescent="0.25">
      <c r="A107" s="68"/>
      <c r="B107" s="78"/>
      <c r="C107" s="72"/>
      <c r="D107" s="77"/>
      <c r="E107" s="76"/>
      <c r="F107" s="76"/>
      <c r="G107" s="74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3"/>
      <c r="T107" s="72"/>
    </row>
    <row r="108" spans="1:21" x14ac:dyDescent="0.25">
      <c r="A108" s="257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1"/>
      <c r="T108" s="70"/>
    </row>
    <row r="109" spans="1:21" x14ac:dyDescent="0.25">
      <c r="A109" s="257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1"/>
      <c r="T109" s="70"/>
    </row>
    <row r="110" spans="1:21" x14ac:dyDescent="0.25">
      <c r="A110" s="257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1"/>
      <c r="T110" s="70"/>
    </row>
    <row r="111" spans="1:21" x14ac:dyDescent="0.25">
      <c r="A111" s="68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1"/>
      <c r="T111" s="70"/>
    </row>
    <row r="112" spans="1:21" x14ac:dyDescent="0.25">
      <c r="A112" s="68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1"/>
      <c r="T112" s="70"/>
    </row>
    <row r="113" spans="1:20" x14ac:dyDescent="0.25">
      <c r="A113" s="2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1"/>
      <c r="T113" s="70"/>
    </row>
    <row r="114" spans="1:20" x14ac:dyDescent="0.25">
      <c r="A114" s="68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1"/>
      <c r="T114" s="70"/>
    </row>
    <row r="115" spans="1:20" x14ac:dyDescent="0.25">
      <c r="A115" s="68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1"/>
      <c r="T115" s="70"/>
    </row>
    <row r="116" spans="1:20" x14ac:dyDescent="0.25">
      <c r="A116" s="68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1"/>
      <c r="T116" s="70"/>
    </row>
    <row r="117" spans="1:20" x14ac:dyDescent="0.25">
      <c r="A117" s="68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1"/>
      <c r="T117" s="70"/>
    </row>
    <row r="118" spans="1:20" x14ac:dyDescent="0.25">
      <c r="A118" s="68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1"/>
      <c r="T118" s="70"/>
    </row>
    <row r="119" spans="1:20" x14ac:dyDescent="0.25">
      <c r="A119" s="68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1"/>
      <c r="T119" s="70"/>
    </row>
    <row r="120" spans="1:20" x14ac:dyDescent="0.25">
      <c r="A120" s="68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1"/>
      <c r="T120" s="70"/>
    </row>
    <row r="121" spans="1:20" x14ac:dyDescent="0.25">
      <c r="A121" s="68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1"/>
      <c r="T121" s="70"/>
    </row>
    <row r="122" spans="1:20" x14ac:dyDescent="0.25">
      <c r="A122" s="68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1"/>
      <c r="T122" s="70"/>
    </row>
    <row r="123" spans="1:20" x14ac:dyDescent="0.25">
      <c r="A123" s="68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1"/>
      <c r="T123" s="70"/>
    </row>
    <row r="124" spans="1:20" x14ac:dyDescent="0.25">
      <c r="A124" s="68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1"/>
      <c r="T124" s="70"/>
    </row>
    <row r="125" spans="1:20" x14ac:dyDescent="0.25">
      <c r="A125" s="68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1"/>
      <c r="T125" s="70"/>
    </row>
    <row r="126" spans="1:20" x14ac:dyDescent="0.25">
      <c r="A126" s="68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1"/>
      <c r="T126" s="70"/>
    </row>
    <row r="127" spans="1:20" x14ac:dyDescent="0.25">
      <c r="A127" s="68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1"/>
      <c r="T127" s="70"/>
    </row>
    <row r="128" spans="1:20" x14ac:dyDescent="0.25">
      <c r="A128" s="68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1"/>
      <c r="T128" s="70"/>
    </row>
    <row r="129" spans="1:20" x14ac:dyDescent="0.25">
      <c r="A129" s="68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1"/>
      <c r="T129" s="70"/>
    </row>
    <row r="130" spans="1:20" x14ac:dyDescent="0.25">
      <c r="A130" s="68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1"/>
      <c r="T130" s="70"/>
    </row>
    <row r="131" spans="1:20" x14ac:dyDescent="0.25">
      <c r="A131" s="68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1"/>
      <c r="T131" s="70"/>
    </row>
    <row r="132" spans="1:20" x14ac:dyDescent="0.25">
      <c r="A132" s="68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1"/>
      <c r="T132" s="70"/>
    </row>
    <row r="133" spans="1:20" x14ac:dyDescent="0.25">
      <c r="A133" s="68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1"/>
      <c r="T133" s="70"/>
    </row>
    <row r="134" spans="1:20" x14ac:dyDescent="0.25">
      <c r="A134" s="68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1"/>
      <c r="T134" s="70"/>
    </row>
    <row r="135" spans="1:20" x14ac:dyDescent="0.25">
      <c r="A135" s="68"/>
      <c r="B135" s="70"/>
      <c r="C135" s="70"/>
      <c r="D135" s="70"/>
      <c r="E135" s="70"/>
      <c r="F135" s="70"/>
      <c r="G135" s="70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71"/>
      <c r="T135" s="70"/>
    </row>
    <row r="136" spans="1:20" x14ac:dyDescent="0.25">
      <c r="A136" s="68"/>
      <c r="B136" s="67"/>
      <c r="C136" s="67"/>
      <c r="D136" s="67"/>
      <c r="E136" s="67"/>
      <c r="F136" s="67"/>
      <c r="G136" s="67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7"/>
      <c r="T136" s="67"/>
    </row>
    <row r="137" spans="1:20" x14ac:dyDescent="0.25">
      <c r="A137" s="69"/>
      <c r="B137" s="65"/>
      <c r="C137" s="65"/>
      <c r="D137" s="65"/>
      <c r="E137" s="65"/>
      <c r="F137" s="65"/>
      <c r="G137" s="65"/>
      <c r="S137" s="65"/>
      <c r="T137" s="65"/>
    </row>
    <row r="138" spans="1:20" x14ac:dyDescent="0.25">
      <c r="A138" s="68"/>
      <c r="B138" s="65"/>
      <c r="C138" s="65"/>
      <c r="D138" s="65"/>
      <c r="E138" s="65"/>
      <c r="F138" s="65"/>
      <c r="G138" s="65"/>
    </row>
    <row r="139" spans="1:20" x14ac:dyDescent="0.25">
      <c r="A139" s="68"/>
      <c r="B139" s="65"/>
      <c r="C139" s="67"/>
      <c r="D139" s="67"/>
      <c r="E139" s="67"/>
      <c r="F139" s="67"/>
      <c r="G139" s="67"/>
    </row>
    <row r="140" spans="1:20" x14ac:dyDescent="0.25">
      <c r="A140" s="66"/>
      <c r="B140" s="65"/>
      <c r="C140" s="65"/>
      <c r="D140" s="65"/>
      <c r="E140" s="65"/>
      <c r="F140" s="65"/>
      <c r="G140" s="65"/>
    </row>
    <row r="141" spans="1:20" x14ac:dyDescent="0.25">
      <c r="A141" s="66"/>
      <c r="B141" s="65"/>
      <c r="C141" s="65"/>
      <c r="D141" s="65"/>
      <c r="E141" s="65"/>
      <c r="F141" s="65"/>
      <c r="G141" s="65"/>
    </row>
    <row r="142" spans="1:20" x14ac:dyDescent="0.25">
      <c r="A142" s="66"/>
      <c r="B142" s="65"/>
      <c r="C142" s="65"/>
      <c r="D142" s="65"/>
      <c r="E142" s="65"/>
      <c r="F142" s="65"/>
      <c r="G142" s="65"/>
    </row>
    <row r="143" spans="1:20" x14ac:dyDescent="0.25">
      <c r="A143" s="66"/>
      <c r="B143" s="65"/>
      <c r="C143" s="65"/>
      <c r="D143" s="65"/>
      <c r="E143" s="65"/>
      <c r="F143" s="65"/>
      <c r="G143" s="65"/>
    </row>
    <row r="144" spans="1:20" x14ac:dyDescent="0.25">
      <c r="A144" s="66"/>
      <c r="B144" s="65"/>
      <c r="C144" s="65"/>
      <c r="D144" s="65"/>
      <c r="E144" s="65"/>
      <c r="F144" s="65"/>
      <c r="G144" s="65"/>
    </row>
    <row r="145" spans="1:7" x14ac:dyDescent="0.25">
      <c r="A145" s="66"/>
      <c r="B145" s="65"/>
      <c r="C145" s="65"/>
      <c r="D145" s="65"/>
      <c r="E145" s="65"/>
      <c r="F145" s="65"/>
      <c r="G145" s="65"/>
    </row>
    <row r="146" spans="1:7" x14ac:dyDescent="0.25">
      <c r="A146" s="66"/>
      <c r="B146" s="65"/>
      <c r="C146" s="65"/>
      <c r="D146" s="65"/>
      <c r="E146" s="65"/>
      <c r="F146" s="65"/>
      <c r="G146" s="65"/>
    </row>
  </sheetData>
  <mergeCells count="9">
    <mergeCell ref="W9:X9"/>
    <mergeCell ref="T10:U10"/>
    <mergeCell ref="W10:X10"/>
    <mergeCell ref="T2:U2"/>
    <mergeCell ref="T3:U3"/>
    <mergeCell ref="T5:U5"/>
    <mergeCell ref="T6:U6"/>
    <mergeCell ref="T7:U7"/>
    <mergeCell ref="T8:U8"/>
  </mergeCells>
  <conditionalFormatting sqref="C19:C46">
    <cfRule type="cellIs" dxfId="18" priority="12" stopIfTrue="1" operator="greaterThan">
      <formula>$C$17</formula>
    </cfRule>
    <cfRule type="cellIs" dxfId="17" priority="13" stopIfTrue="1" operator="greaterThan">
      <formula>$C$17</formula>
    </cfRule>
    <cfRule type="cellIs" dxfId="16" priority="17" stopIfTrue="1" operator="lessThan">
      <formula>-1000000</formula>
    </cfRule>
  </conditionalFormatting>
  <conditionalFormatting sqref="D69:D96">
    <cfRule type="cellIs" dxfId="15" priority="16" operator="equal">
      <formula>$C$8</formula>
    </cfRule>
  </conditionalFormatting>
  <conditionalFormatting sqref="W48:W51">
    <cfRule type="cellIs" dxfId="14" priority="15" operator="greaterThan">
      <formula>V48</formula>
    </cfRule>
  </conditionalFormatting>
  <conditionalFormatting sqref="C47">
    <cfRule type="cellIs" dxfId="13" priority="14" stopIfTrue="1" operator="lessThan">
      <formula>-1000000</formula>
    </cfRule>
  </conditionalFormatting>
  <conditionalFormatting sqref="C17">
    <cfRule type="cellIs" dxfId="12" priority="9" stopIfTrue="1" operator="greaterThan">
      <formula>$C$17</formula>
    </cfRule>
    <cfRule type="cellIs" dxfId="11" priority="10" stopIfTrue="1" operator="greaterThan">
      <formula>$C$17</formula>
    </cfRule>
    <cfRule type="cellIs" dxfId="10" priority="11" stopIfTrue="1" operator="lessThan">
      <formula>-1000000</formula>
    </cfRule>
  </conditionalFormatting>
  <conditionalFormatting sqref="W30:W47 W19:W28">
    <cfRule type="cellIs" dxfId="9" priority="18" operator="greaterThan">
      <formula>B19</formula>
    </cfRule>
  </conditionalFormatting>
  <conditionalFormatting sqref="E19:E46">
    <cfRule type="cellIs" dxfId="8" priority="19" stopIfTrue="1" operator="equal">
      <formula>0.037085</formula>
    </cfRule>
    <cfRule type="cellIs" dxfId="7" priority="20" stopIfTrue="1" operator="equal">
      <formula>$E$48</formula>
    </cfRule>
  </conditionalFormatting>
  <conditionalFormatting sqref="F19">
    <cfRule type="expression" priority="7" stopIfTrue="1">
      <formula>D19&gt;0</formula>
    </cfRule>
    <cfRule type="expression" dxfId="6" priority="8">
      <formula>H18e18&gt;B19</formula>
    </cfRule>
  </conditionalFormatting>
  <conditionalFormatting sqref="F20:F46">
    <cfRule type="expression" priority="5" stopIfTrue="1">
      <formula>D20&gt;0</formula>
    </cfRule>
    <cfRule type="expression" dxfId="5" priority="6">
      <formula>H18e18&gt;B20</formula>
    </cfRule>
  </conditionalFormatting>
  <conditionalFormatting sqref="V19:V46">
    <cfRule type="cellIs" dxfId="4" priority="4" stopIfTrue="1" operator="lessThan">
      <formula>0</formula>
    </cfRule>
  </conditionalFormatting>
  <conditionalFormatting sqref="G19:G46 P19:P46 K19:N46">
    <cfRule type="cellIs" dxfId="3" priority="21" stopIfTrue="1" operator="lessThan">
      <formula>$G$17</formula>
    </cfRule>
  </conditionalFormatting>
  <conditionalFormatting sqref="Q19:R46">
    <cfRule type="cellIs" dxfId="2" priority="2" operator="lessThan">
      <formula>0</formula>
    </cfRule>
    <cfRule type="cellIs" dxfId="1" priority="3" stopIfTrue="1" operator="lessThan">
      <formula>$G$17</formula>
    </cfRule>
  </conditionalFormatting>
  <printOptions headings="1" gridLines="1"/>
  <pageMargins left="0.25" right="0.25" top="0.25" bottom="0.59" header="0.25" footer="0.25"/>
  <pageSetup scale="71" fitToHeight="2" orientation="landscape" r:id="rId1"/>
  <headerFooter alignWithMargins="0">
    <oddFooter>&amp;L&amp;8&amp;Z&amp;F, &amp;A&amp;R&amp;8&amp;D, &amp;T</oddFooter>
  </headerFooter>
  <rowBreaks count="1" manualBreakCount="1">
    <brk id="6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A46" sqref="A46"/>
    </sheetView>
  </sheetViews>
  <sheetFormatPr defaultColWidth="9.109375" defaultRowHeight="13.2" outlineLevelCol="1" x14ac:dyDescent="0.25"/>
  <cols>
    <col min="1" max="1" width="18.109375" style="2" customWidth="1"/>
    <col min="2" max="2" width="10.44140625" style="2" customWidth="1"/>
    <col min="3" max="3" width="15" style="2" hidden="1" customWidth="1" outlineLevel="1"/>
    <col min="4" max="4" width="11" style="2" hidden="1" customWidth="1" outlineLevel="1"/>
    <col min="5" max="5" width="11.44140625" style="2" hidden="1" customWidth="1" outlineLevel="1"/>
    <col min="6" max="6" width="9.33203125" style="2" customWidth="1" collapsed="1"/>
    <col min="7" max="8" width="9.109375" style="2" bestFit="1" customWidth="1"/>
    <col min="9" max="9" width="9.109375" style="2" customWidth="1"/>
    <col min="10" max="10" width="7.44140625" style="2" customWidth="1"/>
    <col min="11" max="11" width="12" style="2" hidden="1" customWidth="1"/>
    <col min="12" max="12" width="8.6640625" style="2" customWidth="1"/>
    <col min="13" max="13" width="9.88671875" style="2" customWidth="1"/>
    <col min="14" max="14" width="9.6640625" style="2" bestFit="1" customWidth="1"/>
    <col min="15" max="15" width="6.6640625" style="1" bestFit="1" customWidth="1"/>
    <col min="16" max="16" width="11.109375" style="2" bestFit="1" customWidth="1"/>
    <col min="17" max="17" width="12.5546875" style="2" customWidth="1"/>
    <col min="18" max="18" width="12.33203125" style="2" customWidth="1"/>
    <col min="19" max="19" width="10.33203125" style="2" bestFit="1" customWidth="1"/>
    <col min="20" max="16384" width="9.109375" style="2"/>
  </cols>
  <sheetData>
    <row r="1" spans="1:19" x14ac:dyDescent="0.25">
      <c r="A1" s="1" t="s">
        <v>34</v>
      </c>
      <c r="O1" s="3"/>
      <c r="P1" s="3"/>
      <c r="Q1" s="4"/>
    </row>
    <row r="2" spans="1:19" ht="13.8" x14ac:dyDescent="0.25">
      <c r="A2" s="1" t="s">
        <v>35</v>
      </c>
      <c r="F2" s="5"/>
      <c r="G2" s="6"/>
      <c r="H2" s="6"/>
      <c r="I2" s="6"/>
      <c r="K2" s="7" t="s">
        <v>36</v>
      </c>
      <c r="O2" s="3"/>
      <c r="P2" s="8"/>
      <c r="Q2" s="8"/>
    </row>
    <row r="3" spans="1:19" x14ac:dyDescent="0.25">
      <c r="A3" s="1"/>
      <c r="B3" s="9">
        <v>-1</v>
      </c>
      <c r="C3" s="9">
        <v>-2</v>
      </c>
      <c r="D3" s="9">
        <v>-3</v>
      </c>
      <c r="E3" s="9">
        <v>-4</v>
      </c>
      <c r="F3" s="9">
        <v>-5</v>
      </c>
      <c r="G3" s="9">
        <v>-6</v>
      </c>
      <c r="H3" s="9">
        <v>-7</v>
      </c>
      <c r="I3" s="9">
        <v>-8</v>
      </c>
      <c r="J3" s="9">
        <v>-9</v>
      </c>
      <c r="K3" s="9">
        <v>-6.8636363636363598</v>
      </c>
      <c r="L3" s="9">
        <v>-10</v>
      </c>
      <c r="M3" s="10">
        <v>-11</v>
      </c>
      <c r="N3" s="10">
        <v>-12</v>
      </c>
      <c r="O3" s="11">
        <v>-13</v>
      </c>
      <c r="P3" s="12">
        <v>-14</v>
      </c>
      <c r="Q3" s="12">
        <v>-15</v>
      </c>
      <c r="R3" s="13">
        <v>-16</v>
      </c>
      <c r="S3" s="13">
        <v>-17</v>
      </c>
    </row>
    <row r="4" spans="1:19" x14ac:dyDescent="0.25">
      <c r="A4" s="1"/>
      <c r="B4" s="9"/>
      <c r="C4" s="14" t="s">
        <v>37</v>
      </c>
      <c r="D4" s="9" t="str">
        <f t="shared" ref="D4:I4" si="0">C4</f>
        <v>FFY 2011</v>
      </c>
      <c r="E4" s="9" t="str">
        <f t="shared" si="0"/>
        <v>FFY 2011</v>
      </c>
      <c r="F4" s="9" t="str">
        <f t="shared" si="0"/>
        <v>FFY 2011</v>
      </c>
      <c r="G4" s="9" t="str">
        <f t="shared" si="0"/>
        <v>FFY 2011</v>
      </c>
      <c r="H4" s="9" t="str">
        <f t="shared" si="0"/>
        <v>FFY 2011</v>
      </c>
      <c r="I4" s="9" t="str">
        <f t="shared" si="0"/>
        <v>FFY 2011</v>
      </c>
      <c r="J4" s="9"/>
      <c r="K4" s="9"/>
      <c r="L4" s="15" t="s">
        <v>38</v>
      </c>
      <c r="M4" s="16" t="s">
        <v>39</v>
      </c>
      <c r="N4" s="7" t="s">
        <v>38</v>
      </c>
      <c r="O4" s="3"/>
      <c r="P4" s="17" t="s">
        <v>40</v>
      </c>
      <c r="Q4" s="8"/>
      <c r="R4" s="3"/>
      <c r="S4" s="3"/>
    </row>
    <row r="5" spans="1:19" x14ac:dyDescent="0.25">
      <c r="A5" s="18"/>
      <c r="B5" s="19">
        <v>40909</v>
      </c>
      <c r="C5" s="18" t="s">
        <v>41</v>
      </c>
      <c r="D5" s="15" t="s">
        <v>27</v>
      </c>
      <c r="E5" s="15" t="s">
        <v>27</v>
      </c>
      <c r="F5" s="15" t="s">
        <v>42</v>
      </c>
      <c r="G5" s="15" t="s">
        <v>43</v>
      </c>
      <c r="H5" s="15" t="s">
        <v>44</v>
      </c>
      <c r="I5" s="15" t="s">
        <v>45</v>
      </c>
      <c r="J5" s="172" t="s">
        <v>46</v>
      </c>
      <c r="K5" s="7" t="s">
        <v>47</v>
      </c>
      <c r="L5" s="7" t="s">
        <v>48</v>
      </c>
      <c r="M5" s="7" t="s">
        <v>49</v>
      </c>
      <c r="N5" s="20" t="s">
        <v>50</v>
      </c>
      <c r="O5" s="3"/>
      <c r="P5" s="21" t="s">
        <v>51</v>
      </c>
      <c r="Q5" s="17"/>
      <c r="R5" s="3"/>
      <c r="S5" s="3"/>
    </row>
    <row r="6" spans="1:19" s="27" customFormat="1" ht="39.6" x14ac:dyDescent="0.25">
      <c r="A6" s="22" t="s">
        <v>52</v>
      </c>
      <c r="B6" s="17" t="s">
        <v>50</v>
      </c>
      <c r="C6" s="17" t="s">
        <v>53</v>
      </c>
      <c r="D6" s="17" t="s">
        <v>54</v>
      </c>
      <c r="E6" s="17" t="s">
        <v>55</v>
      </c>
      <c r="F6" s="17" t="s">
        <v>56</v>
      </c>
      <c r="G6" s="171" t="s">
        <v>57</v>
      </c>
      <c r="H6" s="171" t="s">
        <v>57</v>
      </c>
      <c r="I6" s="171" t="s">
        <v>57</v>
      </c>
      <c r="J6" s="23" t="s">
        <v>58</v>
      </c>
      <c r="K6" s="20" t="s">
        <v>59</v>
      </c>
      <c r="L6" s="23" t="s">
        <v>60</v>
      </c>
      <c r="M6" s="20" t="s">
        <v>61</v>
      </c>
      <c r="N6" s="24">
        <f>B40</f>
        <v>5354.2322526201015</v>
      </c>
      <c r="O6" s="20" t="s">
        <v>62</v>
      </c>
      <c r="P6" s="26">
        <v>4901.7509829245873</v>
      </c>
      <c r="Q6" s="23" t="s">
        <v>63</v>
      </c>
      <c r="R6" s="23" t="s">
        <v>64</v>
      </c>
      <c r="S6" s="23" t="s">
        <v>29</v>
      </c>
    </row>
    <row r="7" spans="1:19" s="27" customFormat="1" ht="39.6" x14ac:dyDescent="0.25">
      <c r="A7" s="22" t="s">
        <v>65</v>
      </c>
      <c r="B7" s="17"/>
      <c r="C7" s="17"/>
      <c r="D7" s="17"/>
      <c r="E7" s="17"/>
      <c r="F7" s="28" t="s">
        <v>66</v>
      </c>
      <c r="G7" s="20"/>
      <c r="H7" s="20"/>
      <c r="I7" s="20"/>
      <c r="J7" s="20"/>
      <c r="K7" s="20"/>
      <c r="L7" s="23" t="s">
        <v>67</v>
      </c>
      <c r="M7" s="23" t="s">
        <v>68</v>
      </c>
      <c r="N7" s="20"/>
      <c r="O7" s="25"/>
      <c r="P7" s="29"/>
      <c r="Q7" s="20"/>
    </row>
    <row r="8" spans="1:19" s="16" customFormat="1" ht="52.8" x14ac:dyDescent="0.25">
      <c r="A8" s="30" t="s">
        <v>69</v>
      </c>
      <c r="B8" s="7"/>
      <c r="C8" s="31" t="s">
        <v>84</v>
      </c>
      <c r="D8" s="31" t="str">
        <f>C8</f>
        <v>OHCA filing - Report 550</v>
      </c>
      <c r="E8" s="31" t="str">
        <f>D8</f>
        <v>OHCA filing - Report 550</v>
      </c>
      <c r="F8" s="170"/>
      <c r="G8" s="31" t="str">
        <f>E8</f>
        <v>OHCA filing - Report 550</v>
      </c>
      <c r="H8" s="31" t="str">
        <f>G8</f>
        <v>OHCA filing - Report 550</v>
      </c>
      <c r="I8" s="31" t="str">
        <f>H8</f>
        <v>OHCA filing - Report 550</v>
      </c>
      <c r="J8" s="20"/>
      <c r="K8" s="20"/>
      <c r="L8" s="31" t="str">
        <f>A40</f>
        <v>Weighted Avg</v>
      </c>
      <c r="M8" s="31" t="str">
        <f>L8</f>
        <v>Weighted Avg</v>
      </c>
      <c r="N8" s="20"/>
      <c r="O8" s="25"/>
      <c r="P8" s="32"/>
      <c r="Q8" s="20"/>
      <c r="R8" s="27"/>
      <c r="S8" s="27"/>
    </row>
    <row r="9" spans="1:19" ht="13.8" x14ac:dyDescent="0.25">
      <c r="A9" s="115" t="s">
        <v>26</v>
      </c>
      <c r="B9" s="33">
        <v>4201.2299999999996</v>
      </c>
      <c r="C9" s="34">
        <f>[1]BCKUS!$C$197</f>
        <v>252073735</v>
      </c>
      <c r="D9" s="35">
        <f>[1]BCKUS!$C$211</f>
        <v>15383.177000000001</v>
      </c>
      <c r="E9" s="35">
        <f>[1]BCKUS!$C$223</f>
        <v>18580.507729947833</v>
      </c>
      <c r="F9" s="5">
        <f>C9/(D9+E9)</f>
        <v>7421.8606433397772</v>
      </c>
      <c r="G9" s="6">
        <f>[1]BCKUS!$C$138</f>
        <v>5200</v>
      </c>
      <c r="H9" s="6">
        <f>[1]BCKUS!$C$140</f>
        <v>2318</v>
      </c>
      <c r="I9" s="6">
        <f>[1]BCKUS!$C$145</f>
        <v>11999</v>
      </c>
      <c r="J9" s="36">
        <f t="shared" ref="J9:J38" si="1">(+G9+H9)/I9</f>
        <v>0.62655221268439032</v>
      </c>
      <c r="K9" s="36">
        <v>0.39300000000000002</v>
      </c>
      <c r="L9" s="18">
        <f>IF(OR(AND(L8="Avg.",F9&lt;F$39),AND(L$8="Weighted Avg",F9&lt;F$40)),1,0)</f>
        <v>1</v>
      </c>
      <c r="M9" s="18">
        <f>IF(OR(AND(M$8="Avg.",J9&gt;J$39),AND(M$8="Weighted Avg",J9&gt;J$40)),1,0)</f>
        <v>0</v>
      </c>
      <c r="N9" s="18">
        <f t="shared" ref="N9:N38" si="2">IF(+B9&lt;$N$6,1,0)</f>
        <v>1</v>
      </c>
      <c r="O9" s="4">
        <f>IF(AND(L9+M9=2,N9=1),1,0)</f>
        <v>0</v>
      </c>
      <c r="P9" s="37">
        <f>IF(O9=1,$P$6-B9,0)</f>
        <v>0</v>
      </c>
      <c r="Q9" s="38">
        <f>+P9*H9</f>
        <v>0</v>
      </c>
      <c r="R9" s="39">
        <f>'[2]Hospital''s proposal'!T6</f>
        <v>0</v>
      </c>
      <c r="S9" s="39">
        <f>Q9-R9</f>
        <v>0</v>
      </c>
    </row>
    <row r="10" spans="1:19" ht="13.8" x14ac:dyDescent="0.25">
      <c r="A10" s="16" t="s">
        <v>25</v>
      </c>
      <c r="B10" s="33">
        <v>5356.54</v>
      </c>
      <c r="C10" s="34">
        <f>[1]BRGPT!$C$197</f>
        <v>383278000</v>
      </c>
      <c r="D10" s="35">
        <f>[1]BRGPT!$C$211</f>
        <v>24656.501099999998</v>
      </c>
      <c r="E10" s="35">
        <f>[1]BRGPT!$C$223</f>
        <v>15281.181262142643</v>
      </c>
      <c r="F10" s="5">
        <f t="shared" ref="F10:F38" si="3">C10/(D10+E10)</f>
        <v>9596.9014056587639</v>
      </c>
      <c r="G10" s="6">
        <f>[1]BRGPT!$C$138</f>
        <v>6932</v>
      </c>
      <c r="H10" s="6">
        <f>[1]BRGPT!$C$140</f>
        <v>6004</v>
      </c>
      <c r="I10" s="6">
        <f>[1]BRGPT!$C$145</f>
        <v>19058</v>
      </c>
      <c r="J10" s="36">
        <f t="shared" si="1"/>
        <v>0.67877007031168013</v>
      </c>
      <c r="K10" s="36">
        <v>0.54300000000000004</v>
      </c>
      <c r="L10" s="18">
        <f t="shared" ref="L10:L38" si="4">IF(OR(AND(L9="Avg.",F10&lt;F$39),AND(L$8="Weighted Avg",F10&lt;F$40)),1,0)</f>
        <v>0</v>
      </c>
      <c r="M10" s="18">
        <f t="shared" ref="M10:M38" si="5">IF(OR(AND(M$8="Avg.",J10&gt;J$39),AND(M$8="Weighted Avg",J10&gt;J$40)),1,0)</f>
        <v>1</v>
      </c>
      <c r="N10" s="18">
        <f t="shared" si="2"/>
        <v>0</v>
      </c>
      <c r="O10" s="4">
        <f t="shared" ref="O10:O38" si="6">IF(AND(L10+M10=2,N10=1),1,0)</f>
        <v>0</v>
      </c>
      <c r="P10" s="37">
        <f>IF(O10=1,$P$6-B10,0)</f>
        <v>0</v>
      </c>
      <c r="Q10" s="38">
        <f>+P10*H10</f>
        <v>0</v>
      </c>
      <c r="R10" s="39">
        <f>'[2]Hospital''s proposal'!T7</f>
        <v>0</v>
      </c>
      <c r="S10" s="39">
        <f t="shared" ref="S10:S38" si="7">Q10-R10</f>
        <v>0</v>
      </c>
    </row>
    <row r="11" spans="1:19" s="51" customFormat="1" x14ac:dyDescent="0.25">
      <c r="A11" s="40" t="s">
        <v>24</v>
      </c>
      <c r="B11" s="41">
        <v>3590.39</v>
      </c>
      <c r="C11" s="42">
        <f>[1]BRSTL!$C$197</f>
        <v>131894527</v>
      </c>
      <c r="D11" s="43">
        <f>[1]BRSTL!$C$211</f>
        <v>8138.2048000000004</v>
      </c>
      <c r="E11" s="43">
        <f>[1]BRSTL!$C$223</f>
        <v>12756.047702983393</v>
      </c>
      <c r="F11" s="44">
        <f t="shared" si="3"/>
        <v>6312.4788494428021</v>
      </c>
      <c r="G11" s="45">
        <f>[1]BRSTL!$C$138</f>
        <v>3378</v>
      </c>
      <c r="H11" s="45">
        <f>[1]BRSTL!$C$140</f>
        <v>1593</v>
      </c>
      <c r="I11" s="45">
        <f>[1]BRSTL!$C$145</f>
        <v>7316</v>
      </c>
      <c r="J11" s="46">
        <f t="shared" si="1"/>
        <v>0.67946965554948058</v>
      </c>
      <c r="K11" s="46">
        <v>0.56499999999999995</v>
      </c>
      <c r="L11" s="47">
        <f t="shared" si="4"/>
        <v>1</v>
      </c>
      <c r="M11" s="47">
        <f t="shared" si="5"/>
        <v>1</v>
      </c>
      <c r="N11" s="47">
        <f t="shared" si="2"/>
        <v>1</v>
      </c>
      <c r="O11" s="48">
        <f t="shared" si="6"/>
        <v>1</v>
      </c>
      <c r="P11" s="49">
        <f>IF(O11=1,$P$6-B11,0)</f>
        <v>1311.3609829245875</v>
      </c>
      <c r="Q11" s="50">
        <f>+P11*H11</f>
        <v>2088998.0457988679</v>
      </c>
      <c r="R11" s="50">
        <f>'[2]Hospital''s proposal'!T8</f>
        <v>2165858.73</v>
      </c>
      <c r="S11" s="50">
        <f t="shared" si="7"/>
        <v>-76860.68420113204</v>
      </c>
    </row>
    <row r="12" spans="1:19" ht="13.8" x14ac:dyDescent="0.25">
      <c r="A12" s="16" t="s">
        <v>23</v>
      </c>
      <c r="B12" s="33"/>
      <c r="F12" s="5">
        <v>14598</v>
      </c>
      <c r="G12" s="6">
        <v>14</v>
      </c>
      <c r="H12" s="6">
        <v>3177</v>
      </c>
      <c r="I12" s="6">
        <v>6203</v>
      </c>
      <c r="J12" s="36">
        <f>(+G12+H12)/I12</f>
        <v>0.51442850233757864</v>
      </c>
      <c r="K12" s="36">
        <v>0.39500000000000002</v>
      </c>
      <c r="L12" s="18">
        <f t="shared" si="4"/>
        <v>0</v>
      </c>
      <c r="M12" s="18">
        <f t="shared" si="5"/>
        <v>0</v>
      </c>
      <c r="N12" s="18">
        <f t="shared" si="2"/>
        <v>1</v>
      </c>
      <c r="O12" s="4">
        <f t="shared" si="6"/>
        <v>0</v>
      </c>
      <c r="P12" s="37">
        <f>IF(N12+O12=2,1,0)</f>
        <v>0</v>
      </c>
      <c r="Q12" s="37">
        <f>IF(P12=1,$N$4-B12,0)</f>
        <v>0</v>
      </c>
      <c r="R12" s="39">
        <f>'[2]Hospital''s proposal'!T9</f>
        <v>0</v>
      </c>
      <c r="S12" s="39">
        <f t="shared" si="7"/>
        <v>0</v>
      </c>
    </row>
    <row r="13" spans="1:19" ht="13.8" x14ac:dyDescent="0.25">
      <c r="A13" s="16" t="s">
        <v>22</v>
      </c>
      <c r="B13" s="33">
        <v>5377.29</v>
      </c>
      <c r="C13" s="34">
        <f>[1]DANBY!$C$197</f>
        <v>495471968</v>
      </c>
      <c r="D13" s="35">
        <f>[1]DANBY!$C$211</f>
        <v>25582.591899999999</v>
      </c>
      <c r="E13" s="35">
        <f>[1]DANBY!$C$223</f>
        <v>22771.8295115078</v>
      </c>
      <c r="F13" s="5">
        <f t="shared" si="3"/>
        <v>10246.673489967214</v>
      </c>
      <c r="G13" s="6">
        <f>[1]DANBY!$C$138</f>
        <v>9495</v>
      </c>
      <c r="H13" s="6">
        <f>[1]DANBY!$C$140</f>
        <v>3069</v>
      </c>
      <c r="I13" s="6">
        <f>[1]DANBY!$C$145</f>
        <v>20763</v>
      </c>
      <c r="J13" s="36">
        <f t="shared" si="1"/>
        <v>0.60511486779367141</v>
      </c>
      <c r="K13" s="36">
        <v>0.40899999999999997</v>
      </c>
      <c r="L13" s="18">
        <f t="shared" si="4"/>
        <v>0</v>
      </c>
      <c r="M13" s="18">
        <f t="shared" si="5"/>
        <v>0</v>
      </c>
      <c r="N13" s="18">
        <f t="shared" si="2"/>
        <v>0</v>
      </c>
      <c r="O13" s="4">
        <f t="shared" si="6"/>
        <v>0</v>
      </c>
      <c r="P13" s="37">
        <f t="shared" ref="P13:P38" si="8">IF(O13=1,$P$6-B13,0)</f>
        <v>0</v>
      </c>
      <c r="Q13" s="38">
        <f t="shared" ref="Q13:Q38" si="9">+P13*H13</f>
        <v>0</v>
      </c>
      <c r="R13" s="39">
        <f>'[2]Hospital''s proposal'!T10</f>
        <v>0</v>
      </c>
      <c r="S13" s="39">
        <f t="shared" si="7"/>
        <v>0</v>
      </c>
    </row>
    <row r="14" spans="1:19" s="51" customFormat="1" x14ac:dyDescent="0.25">
      <c r="A14" s="40" t="s">
        <v>21</v>
      </c>
      <c r="B14" s="41">
        <v>3866.9</v>
      </c>
      <c r="C14" s="42">
        <f>[1]DAYKM!$C$197</f>
        <v>108436817</v>
      </c>
      <c r="D14" s="43">
        <f>[1]DAYKM!$C$211</f>
        <v>5127.0519999999997</v>
      </c>
      <c r="E14" s="43">
        <f>[1]DAYKM!$C$223</f>
        <v>12436.318711506014</v>
      </c>
      <c r="F14" s="44">
        <f t="shared" si="3"/>
        <v>6174.0322390941456</v>
      </c>
      <c r="G14" s="45">
        <f>[1]DAYKM!$C$138</f>
        <v>2368</v>
      </c>
      <c r="H14" s="45">
        <f>[1]DAYKM!$C$140</f>
        <v>1240</v>
      </c>
      <c r="I14" s="45">
        <f>[1]DAYKM!$C$145</f>
        <v>5182</v>
      </c>
      <c r="J14" s="46">
        <f t="shared" si="1"/>
        <v>0.69625627170976456</v>
      </c>
      <c r="K14" s="46">
        <v>0.53</v>
      </c>
      <c r="L14" s="47">
        <f t="shared" si="4"/>
        <v>1</v>
      </c>
      <c r="M14" s="47">
        <f t="shared" si="5"/>
        <v>1</v>
      </c>
      <c r="N14" s="47">
        <f t="shared" si="2"/>
        <v>1</v>
      </c>
      <c r="O14" s="48">
        <f t="shared" si="6"/>
        <v>1</v>
      </c>
      <c r="P14" s="49">
        <f t="shared" si="8"/>
        <v>1034.8509829245872</v>
      </c>
      <c r="Q14" s="50">
        <f t="shared" si="9"/>
        <v>1283215.2188264881</v>
      </c>
      <c r="R14" s="50">
        <f>'[2]Hospital''s proposal'!T11</f>
        <v>1343044</v>
      </c>
      <c r="S14" s="50">
        <f t="shared" si="7"/>
        <v>-59828.781173511874</v>
      </c>
    </row>
    <row r="15" spans="1:19" ht="13.8" x14ac:dyDescent="0.25">
      <c r="A15" s="16" t="s">
        <v>33</v>
      </c>
      <c r="B15" s="33">
        <v>10142.98</v>
      </c>
      <c r="C15" s="34">
        <f>[1]DMPSY!$C$197</f>
        <v>262964301</v>
      </c>
      <c r="D15" s="35">
        <f>[1]DMPSY!$C$211</f>
        <v>13210.320499999998</v>
      </c>
      <c r="E15" s="35">
        <f>[1]DMPSY!$C$223</f>
        <v>10141.438533072545</v>
      </c>
      <c r="F15" s="5">
        <f t="shared" si="3"/>
        <v>11261.006103547485</v>
      </c>
      <c r="G15" s="6">
        <f>[1]DMPSY!$C$138</f>
        <v>3811</v>
      </c>
      <c r="H15" s="6">
        <f>[1]DMPSY!$C$140</f>
        <v>1872</v>
      </c>
      <c r="I15" s="6">
        <f>[1]DMPSY!$C$145</f>
        <v>9082</v>
      </c>
      <c r="J15" s="36">
        <f t="shared" si="1"/>
        <v>0.62574322836379648</v>
      </c>
      <c r="K15" s="36">
        <v>0.53800000000000003</v>
      </c>
      <c r="L15" s="18">
        <f t="shared" si="4"/>
        <v>0</v>
      </c>
      <c r="M15" s="18">
        <f t="shared" si="5"/>
        <v>0</v>
      </c>
      <c r="N15" s="18">
        <f t="shared" si="2"/>
        <v>0</v>
      </c>
      <c r="O15" s="4">
        <f t="shared" si="6"/>
        <v>0</v>
      </c>
      <c r="P15" s="37">
        <f t="shared" si="8"/>
        <v>0</v>
      </c>
      <c r="Q15" s="38">
        <f t="shared" si="9"/>
        <v>0</v>
      </c>
      <c r="R15" s="39">
        <f>'[2]Hospital''s proposal'!T12</f>
        <v>0</v>
      </c>
      <c r="S15" s="39">
        <f t="shared" si="7"/>
        <v>0</v>
      </c>
    </row>
    <row r="16" spans="1:19" ht="13.8" x14ac:dyDescent="0.25">
      <c r="A16" s="115" t="s">
        <v>20</v>
      </c>
      <c r="B16" s="33">
        <v>5874.16</v>
      </c>
      <c r="C16" s="34">
        <f>[1]GRENH!$C$197</f>
        <v>305925000</v>
      </c>
      <c r="D16" s="35">
        <f>[1]GRENH!$C$211</f>
        <v>15200.414499999999</v>
      </c>
      <c r="E16" s="35">
        <f>[1]GRENH!$C$223</f>
        <v>18867.217718013813</v>
      </c>
      <c r="F16" s="5">
        <f t="shared" si="3"/>
        <v>8979.9313918340722</v>
      </c>
      <c r="G16" s="6">
        <f>[1]GRENH!$C$138</f>
        <v>5255</v>
      </c>
      <c r="H16" s="6">
        <f>[1]GRENH!$C$140</f>
        <v>445</v>
      </c>
      <c r="I16" s="6">
        <f>[1]GRENH!$C$145</f>
        <v>13479</v>
      </c>
      <c r="J16" s="36">
        <f t="shared" si="1"/>
        <v>0.42288003561095039</v>
      </c>
      <c r="K16" s="36">
        <v>0.29199999999999998</v>
      </c>
      <c r="L16" s="18">
        <f t="shared" si="4"/>
        <v>1</v>
      </c>
      <c r="M16" s="18">
        <f t="shared" si="5"/>
        <v>0</v>
      </c>
      <c r="N16" s="18">
        <f t="shared" si="2"/>
        <v>0</v>
      </c>
      <c r="O16" s="4">
        <f t="shared" si="6"/>
        <v>0</v>
      </c>
      <c r="P16" s="37">
        <f t="shared" si="8"/>
        <v>0</v>
      </c>
      <c r="Q16" s="38">
        <f t="shared" si="9"/>
        <v>0</v>
      </c>
      <c r="R16" s="39">
        <f>'[2]Hospital''s proposal'!T13</f>
        <v>0</v>
      </c>
      <c r="S16" s="39">
        <f t="shared" si="7"/>
        <v>0</v>
      </c>
    </row>
    <row r="17" spans="1:19" s="51" customFormat="1" x14ac:dyDescent="0.25">
      <c r="A17" s="115" t="s">
        <v>19</v>
      </c>
      <c r="B17" s="41">
        <v>4225.1899999999996</v>
      </c>
      <c r="C17" s="42">
        <f>[1]GRIFN!$C$197</f>
        <v>126168018</v>
      </c>
      <c r="D17" s="43">
        <f>[1]GRIFN!$C$211</f>
        <v>8248.6061399999999</v>
      </c>
      <c r="E17" s="43">
        <f>[1]GRIFN!$C$223</f>
        <v>8990.328767998577</v>
      </c>
      <c r="F17" s="44">
        <f t="shared" si="3"/>
        <v>7318.782666872311</v>
      </c>
      <c r="G17" s="45">
        <f>[1]GRIFN!$C$138</f>
        <v>3482</v>
      </c>
      <c r="H17" s="45">
        <f>[1]GRIFN!$C$140</f>
        <v>1306</v>
      </c>
      <c r="I17" s="45">
        <f>[1]GRIFN!$C$145</f>
        <v>7494</v>
      </c>
      <c r="J17" s="46">
        <f t="shared" si="1"/>
        <v>0.63891112890312252</v>
      </c>
      <c r="K17" s="46">
        <v>0.51300000000000001</v>
      </c>
      <c r="L17" s="47">
        <f t="shared" si="4"/>
        <v>1</v>
      </c>
      <c r="M17" s="47">
        <f t="shared" si="5"/>
        <v>1</v>
      </c>
      <c r="N17" s="47">
        <f t="shared" si="2"/>
        <v>1</v>
      </c>
      <c r="O17" s="48">
        <f t="shared" si="6"/>
        <v>1</v>
      </c>
      <c r="P17" s="49">
        <f t="shared" si="8"/>
        <v>676.56098292458773</v>
      </c>
      <c r="Q17" s="50">
        <f t="shared" si="9"/>
        <v>883588.64369951154</v>
      </c>
      <c r="R17" s="50">
        <f>'[2]Hospital''s proposal'!T14</f>
        <v>946601.86000000057</v>
      </c>
      <c r="S17" s="50">
        <f t="shared" si="7"/>
        <v>-63013.216300489032</v>
      </c>
    </row>
    <row r="18" spans="1:19" ht="13.8" x14ac:dyDescent="0.25">
      <c r="A18" s="16" t="s">
        <v>18</v>
      </c>
      <c r="B18" s="33">
        <v>6694.01</v>
      </c>
      <c r="C18" s="34">
        <f>[1]HARTF!$C$197</f>
        <v>963927041</v>
      </c>
      <c r="D18" s="35">
        <f>[1]HARTF!$C$211</f>
        <v>62641.797299999998</v>
      </c>
      <c r="E18" s="35">
        <f>[1]HARTF!$C$223</f>
        <v>20913.912744909623</v>
      </c>
      <c r="F18" s="5">
        <f t="shared" si="3"/>
        <v>11536.339533012255</v>
      </c>
      <c r="G18" s="6">
        <f>[1]HARTF!$C$138</f>
        <v>15795</v>
      </c>
      <c r="H18" s="6">
        <f>[1]HARTF!$C$140</f>
        <v>9492</v>
      </c>
      <c r="I18" s="6">
        <f>[1]HARTF!$C$145</f>
        <v>40674</v>
      </c>
      <c r="J18" s="36">
        <f t="shared" si="1"/>
        <v>0.62169936568815465</v>
      </c>
      <c r="K18" s="36">
        <v>0.52500000000000002</v>
      </c>
      <c r="L18" s="18">
        <f t="shared" si="4"/>
        <v>0</v>
      </c>
      <c r="M18" s="18">
        <f t="shared" si="5"/>
        <v>0</v>
      </c>
      <c r="N18" s="18">
        <f t="shared" si="2"/>
        <v>0</v>
      </c>
      <c r="O18" s="4">
        <f t="shared" si="6"/>
        <v>0</v>
      </c>
      <c r="P18" s="37">
        <f t="shared" si="8"/>
        <v>0</v>
      </c>
      <c r="Q18" s="38">
        <f t="shared" si="9"/>
        <v>0</v>
      </c>
      <c r="R18" s="39">
        <f>'[2]Hospital''s proposal'!T15</f>
        <v>0</v>
      </c>
      <c r="S18" s="39">
        <f t="shared" si="7"/>
        <v>0</v>
      </c>
    </row>
    <row r="19" spans="1:19" s="51" customFormat="1" x14ac:dyDescent="0.25">
      <c r="A19" s="40" t="s">
        <v>30</v>
      </c>
      <c r="B19" s="41">
        <v>4170.67</v>
      </c>
      <c r="C19" s="42">
        <f>[1]HOCCT!$C$197</f>
        <v>368573386</v>
      </c>
      <c r="D19" s="43">
        <f>[1]HOCCT!$C$211</f>
        <v>24038.309400000002</v>
      </c>
      <c r="E19" s="43">
        <f>[1]HOCCT!$C$223</f>
        <v>20329.619301157814</v>
      </c>
      <c r="F19" s="44">
        <f t="shared" si="3"/>
        <v>8307.2029006028806</v>
      </c>
      <c r="G19" s="45">
        <f>[1]HOCCT!$C$138</f>
        <v>9651</v>
      </c>
      <c r="H19" s="45">
        <f>[1]HOCCT!$C$140</f>
        <v>4816</v>
      </c>
      <c r="I19" s="45">
        <f>[1]HOCCT!$C$145</f>
        <v>20546</v>
      </c>
      <c r="J19" s="46">
        <f t="shared" si="1"/>
        <v>0.70412732405334366</v>
      </c>
      <c r="K19" s="46">
        <v>0.52900000000000003</v>
      </c>
      <c r="L19" s="47">
        <f t="shared" si="4"/>
        <v>1</v>
      </c>
      <c r="M19" s="47">
        <f t="shared" si="5"/>
        <v>1</v>
      </c>
      <c r="N19" s="47">
        <f t="shared" si="2"/>
        <v>1</v>
      </c>
      <c r="O19" s="48">
        <f t="shared" si="6"/>
        <v>1</v>
      </c>
      <c r="P19" s="49">
        <f t="shared" si="8"/>
        <v>731.08098292458726</v>
      </c>
      <c r="Q19" s="50">
        <f t="shared" si="9"/>
        <v>3520886.0137648121</v>
      </c>
      <c r="R19" s="50">
        <f>'[2]Hospital''s proposal'!T16</f>
        <v>3753253.28</v>
      </c>
      <c r="S19" s="50">
        <f t="shared" si="7"/>
        <v>-232367.26623518765</v>
      </c>
    </row>
    <row r="20" spans="1:19" s="51" customFormat="1" x14ac:dyDescent="0.25">
      <c r="A20" s="40" t="s">
        <v>17</v>
      </c>
      <c r="B20" s="41">
        <v>4100.33</v>
      </c>
      <c r="C20" s="42">
        <f>[1]HGRFD!$C$197</f>
        <v>113880767</v>
      </c>
      <c r="D20" s="43">
        <f>[1]HGRFD!$C$211</f>
        <v>8189.2769000000008</v>
      </c>
      <c r="E20" s="43">
        <f>[1]HGRFD!$C$223</f>
        <v>9775.8689240536933</v>
      </c>
      <c r="F20" s="44">
        <f t="shared" si="3"/>
        <v>6338.9837252266561</v>
      </c>
      <c r="G20" s="45">
        <f>[1]HGRFD!$C$138</f>
        <v>3532</v>
      </c>
      <c r="H20" s="45">
        <f>[1]HGRFD!$C$140</f>
        <v>1192</v>
      </c>
      <c r="I20" s="45">
        <f>[1]HGRFD!$C$145</f>
        <v>6512</v>
      </c>
      <c r="J20" s="46">
        <f t="shared" si="1"/>
        <v>0.72542997542997545</v>
      </c>
      <c r="K20" s="46">
        <v>0.61099999999999999</v>
      </c>
      <c r="L20" s="47">
        <f t="shared" si="4"/>
        <v>1</v>
      </c>
      <c r="M20" s="47">
        <f t="shared" si="5"/>
        <v>1</v>
      </c>
      <c r="N20" s="47">
        <f t="shared" si="2"/>
        <v>1</v>
      </c>
      <c r="O20" s="48">
        <f t="shared" si="6"/>
        <v>1</v>
      </c>
      <c r="P20" s="49">
        <f t="shared" si="8"/>
        <v>801.42098292458741</v>
      </c>
      <c r="Q20" s="50">
        <f t="shared" si="9"/>
        <v>955293.81164610817</v>
      </c>
      <c r="R20" s="50">
        <f>'[2]Hospital''s proposal'!T17</f>
        <v>1012806.6400000001</v>
      </c>
      <c r="S20" s="50">
        <f t="shared" si="7"/>
        <v>-57512.828353891964</v>
      </c>
    </row>
    <row r="21" spans="1:19" s="51" customFormat="1" x14ac:dyDescent="0.25">
      <c r="A21" s="40" t="s">
        <v>16</v>
      </c>
      <c r="B21" s="41">
        <v>3225.21</v>
      </c>
      <c r="C21" s="42">
        <f>[1]JNSON!$C$197</f>
        <v>61577163</v>
      </c>
      <c r="D21" s="43">
        <f>[1]JNSON!$C$211</f>
        <v>3770.99629</v>
      </c>
      <c r="E21" s="43">
        <f>[1]JNSON!$C$223</f>
        <v>5042.0335173352187</v>
      </c>
      <c r="F21" s="44">
        <f t="shared" si="3"/>
        <v>6987.0594274795703</v>
      </c>
      <c r="G21" s="45">
        <f>[1]JNSON!$C$138</f>
        <v>1616</v>
      </c>
      <c r="H21" s="45">
        <f>[1]JNSON!$C$140</f>
        <v>643</v>
      </c>
      <c r="I21" s="45">
        <f>[1]JNSON!$C$145</f>
        <v>3268</v>
      </c>
      <c r="J21" s="46">
        <f t="shared" si="1"/>
        <v>0.69124847001223988</v>
      </c>
      <c r="K21" s="46">
        <v>0.46500000000000002</v>
      </c>
      <c r="L21" s="47">
        <f t="shared" si="4"/>
        <v>1</v>
      </c>
      <c r="M21" s="47">
        <f t="shared" si="5"/>
        <v>1</v>
      </c>
      <c r="N21" s="47">
        <f t="shared" si="2"/>
        <v>1</v>
      </c>
      <c r="O21" s="48">
        <f t="shared" si="6"/>
        <v>1</v>
      </c>
      <c r="P21" s="49">
        <f t="shared" si="8"/>
        <v>1676.5409829245873</v>
      </c>
      <c r="Q21" s="50">
        <f t="shared" si="9"/>
        <v>1078015.8520205095</v>
      </c>
      <c r="R21" s="50">
        <f>'[2]Hospital''s proposal'!T18</f>
        <v>1109039.97</v>
      </c>
      <c r="S21" s="50">
        <f t="shared" si="7"/>
        <v>-31024.117979490431</v>
      </c>
    </row>
    <row r="22" spans="1:19" s="51" customFormat="1" x14ac:dyDescent="0.25">
      <c r="A22" s="40" t="s">
        <v>31</v>
      </c>
      <c r="B22" s="41">
        <v>4520.92</v>
      </c>
      <c r="C22" s="42">
        <f>[1]lamem!$C$197</f>
        <v>312331109</v>
      </c>
      <c r="D22" s="43">
        <f>[1]lamem!$C$211</f>
        <v>18589.820599999999</v>
      </c>
      <c r="E22" s="43">
        <f>[1]lamem!$C$223</f>
        <v>21196.10910085791</v>
      </c>
      <c r="F22" s="44">
        <f t="shared" si="3"/>
        <v>7850.2905763005247</v>
      </c>
      <c r="G22" s="45">
        <f>[1]lamem!$C$138</f>
        <v>6897</v>
      </c>
      <c r="H22" s="45">
        <f>[1]lamem!$C$140</f>
        <v>3192</v>
      </c>
      <c r="I22" s="45">
        <f>[1]lamem!$C$145</f>
        <v>15328</v>
      </c>
      <c r="J22" s="46">
        <f t="shared" si="1"/>
        <v>0.65820720250521925</v>
      </c>
      <c r="K22" s="46">
        <v>0.45500000000000002</v>
      </c>
      <c r="L22" s="47">
        <f t="shared" si="4"/>
        <v>1</v>
      </c>
      <c r="M22" s="47">
        <f t="shared" si="5"/>
        <v>1</v>
      </c>
      <c r="N22" s="47">
        <f t="shared" si="2"/>
        <v>1</v>
      </c>
      <c r="O22" s="48">
        <f t="shared" si="6"/>
        <v>1</v>
      </c>
      <c r="P22" s="49">
        <f t="shared" si="8"/>
        <v>380.83098292458726</v>
      </c>
      <c r="Q22" s="50">
        <f t="shared" si="9"/>
        <v>1215612.4974952824</v>
      </c>
      <c r="R22" s="50">
        <f>'[2]Hospital''s proposal'!T19</f>
        <v>1369623.3599999999</v>
      </c>
      <c r="S22" s="50">
        <f t="shared" si="7"/>
        <v>-154010.86250471743</v>
      </c>
    </row>
    <row r="23" spans="1:19" ht="13.8" x14ac:dyDescent="0.25">
      <c r="A23" s="16" t="s">
        <v>15</v>
      </c>
      <c r="B23" s="33">
        <v>4842.67</v>
      </c>
      <c r="C23" s="34">
        <f>[1]MANCH!$C$197</f>
        <v>173322666</v>
      </c>
      <c r="D23" s="35">
        <f>[1]MANCH!$C$211</f>
        <v>10402.089100000001</v>
      </c>
      <c r="E23" s="35">
        <f>[1]MANCH!$C$223</f>
        <v>18953.415714222196</v>
      </c>
      <c r="F23" s="5">
        <f t="shared" si="3"/>
        <v>5904.2645356256453</v>
      </c>
      <c r="G23" s="6">
        <f>[1]MANCH!$C$138</f>
        <v>3626</v>
      </c>
      <c r="H23" s="6">
        <f>[1]MANCH!$C$140</f>
        <v>1854</v>
      </c>
      <c r="I23" s="6">
        <f>[1]MANCH!$C$145</f>
        <v>9281</v>
      </c>
      <c r="J23" s="36">
        <f t="shared" si="1"/>
        <v>0.59045361491218618</v>
      </c>
      <c r="K23" s="36">
        <v>0.46</v>
      </c>
      <c r="L23" s="18">
        <f t="shared" si="4"/>
        <v>1</v>
      </c>
      <c r="M23" s="18">
        <f t="shared" si="5"/>
        <v>0</v>
      </c>
      <c r="N23" s="18">
        <f t="shared" si="2"/>
        <v>1</v>
      </c>
      <c r="O23" s="4">
        <f t="shared" si="6"/>
        <v>0</v>
      </c>
      <c r="P23" s="37">
        <f t="shared" si="8"/>
        <v>0</v>
      </c>
      <c r="Q23" s="38">
        <f t="shared" si="9"/>
        <v>0</v>
      </c>
      <c r="R23" s="39">
        <f>'[2]Hospital''s proposal'!T20</f>
        <v>0</v>
      </c>
      <c r="S23" s="39">
        <f t="shared" si="7"/>
        <v>0</v>
      </c>
    </row>
    <row r="24" spans="1:19" ht="13.8" x14ac:dyDescent="0.25">
      <c r="A24" s="16" t="s">
        <v>14</v>
      </c>
      <c r="B24" s="33">
        <v>4546.3900000000003</v>
      </c>
      <c r="C24" s="34">
        <f>[1]MIDSX!$C$197</f>
        <v>328515648</v>
      </c>
      <c r="D24" s="35">
        <f>[1]MIDSX!$C$211</f>
        <v>16812.580000000002</v>
      </c>
      <c r="E24" s="35">
        <f>[1]MIDSX!$C$223</f>
        <v>16985.757709323792</v>
      </c>
      <c r="F24" s="5">
        <f t="shared" si="3"/>
        <v>9719.8758952388907</v>
      </c>
      <c r="G24" s="6">
        <f>[1]MIDSX!$C$138</f>
        <v>7373</v>
      </c>
      <c r="H24" s="6">
        <f>[1]MIDSX!$C$140</f>
        <v>2028</v>
      </c>
      <c r="I24" s="6">
        <f>[1]MIDSX!$C$145</f>
        <v>13855</v>
      </c>
      <c r="J24" s="36">
        <f t="shared" si="1"/>
        <v>0.67852760736196316</v>
      </c>
      <c r="K24" s="36">
        <v>0.44400000000000001</v>
      </c>
      <c r="L24" s="18">
        <f t="shared" si="4"/>
        <v>0</v>
      </c>
      <c r="M24" s="18">
        <f t="shared" si="5"/>
        <v>1</v>
      </c>
      <c r="N24" s="18">
        <f t="shared" si="2"/>
        <v>1</v>
      </c>
      <c r="O24" s="4">
        <f t="shared" si="6"/>
        <v>0</v>
      </c>
      <c r="P24" s="37">
        <f t="shared" si="8"/>
        <v>0</v>
      </c>
      <c r="Q24" s="38">
        <f t="shared" si="9"/>
        <v>0</v>
      </c>
      <c r="R24" s="39">
        <f>'[2]Hospital''s proposal'!T21</f>
        <v>0</v>
      </c>
      <c r="S24" s="39">
        <f t="shared" si="7"/>
        <v>0</v>
      </c>
    </row>
    <row r="25" spans="1:19" s="51" customFormat="1" x14ac:dyDescent="0.25">
      <c r="A25" s="40" t="s">
        <v>13</v>
      </c>
      <c r="B25" s="41">
        <v>3900.75</v>
      </c>
      <c r="C25" s="42">
        <f>[1]MIDST!$C$197</f>
        <v>203675287</v>
      </c>
      <c r="D25" s="43">
        <f>[1]MIDST!$C$211</f>
        <v>12088.59087</v>
      </c>
      <c r="E25" s="43">
        <f>[1]MIDST!$C$223</f>
        <v>12085.358293771213</v>
      </c>
      <c r="F25" s="44">
        <f t="shared" si="3"/>
        <v>8425.4039594507867</v>
      </c>
      <c r="G25" s="45">
        <f>[1]MIDST!$C$138</f>
        <v>4826</v>
      </c>
      <c r="H25" s="45">
        <f>[1]MIDST!$C$140</f>
        <v>2106</v>
      </c>
      <c r="I25" s="45">
        <f>[1]MIDST!$C$145</f>
        <v>10235</v>
      </c>
      <c r="J25" s="46">
        <f t="shared" si="1"/>
        <v>0.67728382999511483</v>
      </c>
      <c r="K25" s="46">
        <v>0.46899999999999997</v>
      </c>
      <c r="L25" s="47">
        <f t="shared" si="4"/>
        <v>1</v>
      </c>
      <c r="M25" s="47">
        <f t="shared" si="5"/>
        <v>1</v>
      </c>
      <c r="N25" s="47">
        <f t="shared" si="2"/>
        <v>1</v>
      </c>
      <c r="O25" s="48">
        <f t="shared" si="6"/>
        <v>1</v>
      </c>
      <c r="P25" s="49">
        <f t="shared" si="8"/>
        <v>1001.0009829245873</v>
      </c>
      <c r="Q25" s="50">
        <f t="shared" si="9"/>
        <v>2108108.070039181</v>
      </c>
      <c r="R25" s="50">
        <f>'[2]Hospital''s proposal'!T22</f>
        <v>2209720.5</v>
      </c>
      <c r="S25" s="50">
        <f t="shared" si="7"/>
        <v>-101612.42996081896</v>
      </c>
    </row>
    <row r="26" spans="1:19" ht="13.8" x14ac:dyDescent="0.25">
      <c r="A26" s="16" t="s">
        <v>12</v>
      </c>
      <c r="B26" s="33">
        <v>3822.82</v>
      </c>
      <c r="C26" s="34">
        <f>[1]MILFD!$C$197</f>
        <v>85587522</v>
      </c>
      <c r="D26" s="35">
        <f>[1]MILFD!$C$211</f>
        <v>5683.8056199999992</v>
      </c>
      <c r="E26" s="35">
        <f>[1]MILFD!$C$223</f>
        <v>4721.0212284603231</v>
      </c>
      <c r="F26" s="5">
        <f t="shared" si="3"/>
        <v>8225.7516868399416</v>
      </c>
      <c r="G26" s="6">
        <f>[1]MILFD!$C$138</f>
        <v>2050</v>
      </c>
      <c r="H26" s="6">
        <f>[1]MILFD!$C$140</f>
        <v>517</v>
      </c>
      <c r="I26" s="6">
        <f>[1]MILFD!$C$145</f>
        <v>4374</v>
      </c>
      <c r="J26" s="36">
        <f t="shared" si="1"/>
        <v>0.58687700045724733</v>
      </c>
      <c r="K26" s="36">
        <v>0.496</v>
      </c>
      <c r="L26" s="18">
        <f t="shared" si="4"/>
        <v>1</v>
      </c>
      <c r="M26" s="18">
        <f t="shared" si="5"/>
        <v>0</v>
      </c>
      <c r="N26" s="18">
        <f t="shared" si="2"/>
        <v>1</v>
      </c>
      <c r="O26" s="4">
        <f t="shared" si="6"/>
        <v>0</v>
      </c>
      <c r="P26" s="37">
        <f t="shared" si="8"/>
        <v>0</v>
      </c>
      <c r="Q26" s="38">
        <f t="shared" si="9"/>
        <v>0</v>
      </c>
      <c r="R26" s="39">
        <f>'[2]Hospital''s proposal'!T23</f>
        <v>0</v>
      </c>
      <c r="S26" s="39">
        <f t="shared" si="7"/>
        <v>0</v>
      </c>
    </row>
    <row r="27" spans="1:19" ht="13.8" x14ac:dyDescent="0.25">
      <c r="A27" s="16" t="s">
        <v>11</v>
      </c>
      <c r="B27" s="33">
        <v>5975.37</v>
      </c>
      <c r="C27" s="34">
        <f>[1]NMILF!$C$197</f>
        <v>93915766</v>
      </c>
      <c r="D27" s="35">
        <f>[1]NMILF!$C$211</f>
        <v>3073.9465</v>
      </c>
      <c r="E27" s="35">
        <f>[1]NMILF!$C$223</f>
        <v>6896.7700968596255</v>
      </c>
      <c r="F27" s="5">
        <f t="shared" si="3"/>
        <v>9419.159103326605</v>
      </c>
      <c r="G27" s="6">
        <f>[1]NMILF!$C$138</f>
        <v>1199</v>
      </c>
      <c r="H27" s="6">
        <f>[1]NMILF!$C$140</f>
        <v>236</v>
      </c>
      <c r="I27" s="6">
        <f>[1]NMILF!$C$145</f>
        <v>2516</v>
      </c>
      <c r="J27" s="36">
        <f t="shared" si="1"/>
        <v>0.57034976152623207</v>
      </c>
      <c r="K27" s="36">
        <v>0.35899999999999999</v>
      </c>
      <c r="L27" s="18">
        <f t="shared" si="4"/>
        <v>1</v>
      </c>
      <c r="M27" s="18">
        <f t="shared" si="5"/>
        <v>0</v>
      </c>
      <c r="N27" s="18">
        <f t="shared" si="2"/>
        <v>0</v>
      </c>
      <c r="O27" s="4">
        <f t="shared" si="6"/>
        <v>0</v>
      </c>
      <c r="P27" s="37">
        <f t="shared" si="8"/>
        <v>0</v>
      </c>
      <c r="Q27" s="38">
        <f t="shared" si="9"/>
        <v>0</v>
      </c>
      <c r="R27" s="39">
        <f>'[2]Hospital''s proposal'!T24</f>
        <v>0</v>
      </c>
      <c r="S27" s="39">
        <f t="shared" si="7"/>
        <v>0</v>
      </c>
    </row>
    <row r="28" spans="1:19" ht="13.8" x14ac:dyDescent="0.25">
      <c r="A28" s="16" t="s">
        <v>10</v>
      </c>
      <c r="B28" s="33">
        <v>5803.77</v>
      </c>
      <c r="C28" s="34">
        <f>[1]NRWLK!$C$197</f>
        <v>338475864</v>
      </c>
      <c r="D28" s="35">
        <f>[1]NRWLK!$C$211</f>
        <v>17450.07329</v>
      </c>
      <c r="E28" s="35">
        <f>[1]NRWLK!$C$223</f>
        <v>14587.901294531577</v>
      </c>
      <c r="F28" s="5">
        <f t="shared" si="3"/>
        <v>10564.833401279409</v>
      </c>
      <c r="G28" s="6">
        <f>[1]NRWLK!$C$138</f>
        <v>6008</v>
      </c>
      <c r="H28" s="6">
        <f>[1]NRWLK!$C$140</f>
        <v>3038</v>
      </c>
      <c r="I28" s="6">
        <f>[1]NRWLK!$C$145</f>
        <v>14878</v>
      </c>
      <c r="J28" s="36">
        <f t="shared" si="1"/>
        <v>0.60801182954698207</v>
      </c>
      <c r="K28" s="36">
        <v>0.39700000000000002</v>
      </c>
      <c r="L28" s="18">
        <f t="shared" si="4"/>
        <v>0</v>
      </c>
      <c r="M28" s="18">
        <f t="shared" si="5"/>
        <v>0</v>
      </c>
      <c r="N28" s="18">
        <f t="shared" si="2"/>
        <v>0</v>
      </c>
      <c r="O28" s="4">
        <f t="shared" si="6"/>
        <v>0</v>
      </c>
      <c r="P28" s="37">
        <f t="shared" si="8"/>
        <v>0</v>
      </c>
      <c r="Q28" s="38">
        <f t="shared" si="9"/>
        <v>0</v>
      </c>
      <c r="R28" s="39">
        <f>'[2]Hospital''s proposal'!T25</f>
        <v>0</v>
      </c>
      <c r="S28" s="39">
        <f t="shared" si="7"/>
        <v>0</v>
      </c>
    </row>
    <row r="29" spans="1:19" s="51" customFormat="1" x14ac:dyDescent="0.25">
      <c r="A29" s="40" t="s">
        <v>9</v>
      </c>
      <c r="B29" s="41">
        <v>3679.08</v>
      </c>
      <c r="C29" s="42">
        <f>[1]RKVLE!$C$197</f>
        <v>68017199</v>
      </c>
      <c r="D29" s="43">
        <f>[1]RKVLE!$C$211</f>
        <v>3513.4852099999998</v>
      </c>
      <c r="E29" s="43">
        <f>[1]RKVLE!$C$223</f>
        <v>4806.9404522653267</v>
      </c>
      <c r="F29" s="44">
        <f t="shared" si="3"/>
        <v>8174.7258807287481</v>
      </c>
      <c r="G29" s="45">
        <f>[1]RKVLE!$C$138</f>
        <v>1581</v>
      </c>
      <c r="H29" s="45">
        <f>[1]RKVLE!$C$140</f>
        <v>268</v>
      </c>
      <c r="I29" s="45">
        <f>[1]RKVLE!$C$145</f>
        <v>2515</v>
      </c>
      <c r="J29" s="46">
        <f t="shared" si="1"/>
        <v>0.73518886679920481</v>
      </c>
      <c r="K29" s="46">
        <v>0.47499999999999998</v>
      </c>
      <c r="L29" s="47">
        <f t="shared" si="4"/>
        <v>1</v>
      </c>
      <c r="M29" s="47">
        <f t="shared" si="5"/>
        <v>1</v>
      </c>
      <c r="N29" s="47">
        <f t="shared" si="2"/>
        <v>1</v>
      </c>
      <c r="O29" s="48">
        <f t="shared" si="6"/>
        <v>1</v>
      </c>
      <c r="P29" s="49">
        <f t="shared" si="8"/>
        <v>1222.6709829245874</v>
      </c>
      <c r="Q29" s="50">
        <f t="shared" si="9"/>
        <v>327675.82342378941</v>
      </c>
      <c r="R29" s="50">
        <f>'[2]Hospital''s proposal'!T26</f>
        <v>340606.56</v>
      </c>
      <c r="S29" s="50">
        <f t="shared" si="7"/>
        <v>-12930.736576210591</v>
      </c>
    </row>
    <row r="30" spans="1:19" s="51" customFormat="1" x14ac:dyDescent="0.25">
      <c r="A30" s="40" t="s">
        <v>4</v>
      </c>
      <c r="B30" s="41">
        <v>3447.13</v>
      </c>
      <c r="C30" s="42">
        <f>[1]sharn!$C$197</f>
        <v>53061849</v>
      </c>
      <c r="D30" s="43">
        <f>[1]sharn!$C$211</f>
        <v>2984.8303000000001</v>
      </c>
      <c r="E30" s="43">
        <f>[1]sharn!$C$223</f>
        <v>3703.1328402270601</v>
      </c>
      <c r="F30" s="44">
        <f t="shared" si="3"/>
        <v>7933.9326320208329</v>
      </c>
      <c r="G30" s="45">
        <f>[1]sharn!$C$138</f>
        <v>1530</v>
      </c>
      <c r="H30" s="45">
        <f>[1]sharn!$C$140</f>
        <v>223</v>
      </c>
      <c r="I30" s="45">
        <f>[1]sharn!$C$145</f>
        <v>2703</v>
      </c>
      <c r="J30" s="46">
        <f t="shared" si="1"/>
        <v>0.64853866074731781</v>
      </c>
      <c r="K30" s="46">
        <v>0.50800000000000001</v>
      </c>
      <c r="L30" s="47">
        <f t="shared" si="4"/>
        <v>1</v>
      </c>
      <c r="M30" s="47">
        <f t="shared" si="5"/>
        <v>1</v>
      </c>
      <c r="N30" s="47">
        <f t="shared" si="2"/>
        <v>1</v>
      </c>
      <c r="O30" s="48">
        <f t="shared" si="6"/>
        <v>1</v>
      </c>
      <c r="P30" s="49">
        <f t="shared" si="8"/>
        <v>1454.6209829245872</v>
      </c>
      <c r="Q30" s="50">
        <f t="shared" si="9"/>
        <v>324380.47919218295</v>
      </c>
      <c r="R30" s="50">
        <f>'[2]Hospital''s proposal'!T27</f>
        <v>335140.00999999995</v>
      </c>
      <c r="S30" s="50">
        <f t="shared" si="7"/>
        <v>-10759.530807817006</v>
      </c>
    </row>
    <row r="31" spans="1:19" ht="13.8" x14ac:dyDescent="0.25">
      <c r="A31" s="16" t="s">
        <v>8</v>
      </c>
      <c r="B31" s="33">
        <v>5598.69</v>
      </c>
      <c r="C31" s="34">
        <f>[1]SAFNS!$C$197</f>
        <v>646777800</v>
      </c>
      <c r="D31" s="35">
        <f>[1]SAFNS!$C$211</f>
        <v>46821.602899999998</v>
      </c>
      <c r="E31" s="35">
        <f>[1]SAFNS!$C$223</f>
        <v>24836.273116788008</v>
      </c>
      <c r="F31" s="5">
        <f t="shared" si="3"/>
        <v>9025.9136322778104</v>
      </c>
      <c r="G31" s="6">
        <f>[1]SAFNS!$C$138</f>
        <v>13685</v>
      </c>
      <c r="H31" s="6">
        <f>[1]SAFNS!$C$140</f>
        <v>7447</v>
      </c>
      <c r="I31" s="6">
        <f>[1]SAFNS!$C$145</f>
        <v>31842</v>
      </c>
      <c r="J31" s="36">
        <f t="shared" si="1"/>
        <v>0.66365178066704356</v>
      </c>
      <c r="K31" s="36">
        <v>0.55900000000000005</v>
      </c>
      <c r="L31" s="18">
        <f t="shared" si="4"/>
        <v>1</v>
      </c>
      <c r="M31" s="18">
        <f t="shared" si="5"/>
        <v>1</v>
      </c>
      <c r="N31" s="18">
        <f t="shared" si="2"/>
        <v>0</v>
      </c>
      <c r="O31" s="4">
        <f t="shared" si="6"/>
        <v>0</v>
      </c>
      <c r="P31" s="37">
        <f t="shared" si="8"/>
        <v>0</v>
      </c>
      <c r="Q31" s="38">
        <f t="shared" si="9"/>
        <v>0</v>
      </c>
      <c r="R31" s="39">
        <f>'[2]Hospital''s proposal'!T28</f>
        <v>0</v>
      </c>
      <c r="S31" s="39">
        <f t="shared" si="7"/>
        <v>0</v>
      </c>
    </row>
    <row r="32" spans="1:19" s="51" customFormat="1" x14ac:dyDescent="0.25">
      <c r="A32" s="52" t="s">
        <v>7</v>
      </c>
      <c r="B32" s="53">
        <v>5052.1400000000003</v>
      </c>
      <c r="C32" s="42">
        <f>[1]SAMRY!$C$197</f>
        <v>205686874</v>
      </c>
      <c r="D32" s="43">
        <f>[1]SAMRY!$C$211</f>
        <v>16285.768099999999</v>
      </c>
      <c r="E32" s="43">
        <f>[1]SAMRY!$C$223</f>
        <v>14470.757185871806</v>
      </c>
      <c r="F32" s="44">
        <f t="shared" si="3"/>
        <v>6687.5848974553537</v>
      </c>
      <c r="G32" s="45">
        <f>[1]SAMRY!$C$138</f>
        <v>5576</v>
      </c>
      <c r="H32" s="45">
        <f>[1]SAMRY!$C$140</f>
        <v>3197</v>
      </c>
      <c r="I32" s="45">
        <f>[1]SAMRY!$C$145</f>
        <v>12534</v>
      </c>
      <c r="J32" s="46">
        <f t="shared" si="1"/>
        <v>0.69993617360778682</v>
      </c>
      <c r="K32" s="46">
        <v>0.61599999999999999</v>
      </c>
      <c r="L32" s="47">
        <f t="shared" si="4"/>
        <v>1</v>
      </c>
      <c r="M32" s="47">
        <f t="shared" si="5"/>
        <v>1</v>
      </c>
      <c r="N32" s="47">
        <f t="shared" si="2"/>
        <v>1</v>
      </c>
      <c r="O32" s="48">
        <f t="shared" si="6"/>
        <v>1</v>
      </c>
      <c r="P32" s="54">
        <f>IF(AND(O32=1,$P$6-B32&gt;0),P6-B32,100000/H32)</f>
        <v>31.279324366593681</v>
      </c>
      <c r="Q32" s="55">
        <f t="shared" si="9"/>
        <v>100000</v>
      </c>
      <c r="R32" s="50">
        <f>'[2]Hospital''s proposal'!T29</f>
        <v>0</v>
      </c>
      <c r="S32" s="50">
        <f t="shared" si="7"/>
        <v>100000</v>
      </c>
    </row>
    <row r="33" spans="1:19" ht="13.8" x14ac:dyDescent="0.25">
      <c r="A33" s="16" t="s">
        <v>6</v>
      </c>
      <c r="B33" s="33">
        <v>5428.7</v>
      </c>
      <c r="C33" s="34">
        <f>[1]SARPH!$C$197</f>
        <v>498321475</v>
      </c>
      <c r="D33" s="35">
        <f>[1]SARPH!$C$211</f>
        <v>33435.565839999996</v>
      </c>
      <c r="E33" s="35">
        <f>[1]SARPH!$C$223</f>
        <v>11842.917585680048</v>
      </c>
      <c r="F33" s="5">
        <f t="shared" si="3"/>
        <v>11005.701545148773</v>
      </c>
      <c r="G33" s="6">
        <f>[1]SARPH!$C$138</f>
        <v>12686</v>
      </c>
      <c r="H33" s="6">
        <f>[1]SARPH!$C$140</f>
        <v>3916</v>
      </c>
      <c r="I33" s="6">
        <f>[1]SARPH!$C$145</f>
        <v>22801</v>
      </c>
      <c r="J33" s="36">
        <f t="shared" si="1"/>
        <v>0.72812595938774616</v>
      </c>
      <c r="K33" s="36">
        <v>0.61399999999999999</v>
      </c>
      <c r="L33" s="18">
        <f t="shared" si="4"/>
        <v>0</v>
      </c>
      <c r="M33" s="18">
        <f t="shared" si="5"/>
        <v>1</v>
      </c>
      <c r="N33" s="18">
        <f t="shared" si="2"/>
        <v>0</v>
      </c>
      <c r="O33" s="4">
        <f t="shared" si="6"/>
        <v>0</v>
      </c>
      <c r="P33" s="37">
        <f t="shared" si="8"/>
        <v>0</v>
      </c>
      <c r="Q33" s="38">
        <f t="shared" si="9"/>
        <v>0</v>
      </c>
      <c r="R33" s="39">
        <f>'[2]Hospital''s proposal'!T30</f>
        <v>0</v>
      </c>
      <c r="S33" s="39">
        <f t="shared" si="7"/>
        <v>0</v>
      </c>
    </row>
    <row r="34" spans="1:19" ht="13.8" x14ac:dyDescent="0.25">
      <c r="A34" s="16" t="s">
        <v>5</v>
      </c>
      <c r="B34" s="33">
        <v>5190.2700000000004</v>
      </c>
      <c r="C34" s="34">
        <f>[1]SAVCT!$C$197</f>
        <v>382310000</v>
      </c>
      <c r="D34" s="35">
        <f>[1]SAVCT!$C$211</f>
        <v>28894.015500000001</v>
      </c>
      <c r="E34" s="35">
        <f>[1]SAVCT!$C$223</f>
        <v>11191.152002226034</v>
      </c>
      <c r="F34" s="5">
        <f t="shared" si="3"/>
        <v>9537.4429950621852</v>
      </c>
      <c r="G34" s="6">
        <f>[1]SAVCT!$C$138</f>
        <v>10164</v>
      </c>
      <c r="H34" s="6">
        <f>[1]SAVCT!$C$140</f>
        <v>4488</v>
      </c>
      <c r="I34" s="6">
        <f>[1]SAVCT!$C$145</f>
        <v>22100</v>
      </c>
      <c r="J34" s="36">
        <f t="shared" si="1"/>
        <v>0.66298642533936647</v>
      </c>
      <c r="K34" s="36">
        <v>0.55400000000000005</v>
      </c>
      <c r="L34" s="18">
        <f t="shared" si="4"/>
        <v>0</v>
      </c>
      <c r="M34" s="18">
        <f t="shared" si="5"/>
        <v>1</v>
      </c>
      <c r="N34" s="18">
        <f t="shared" si="2"/>
        <v>1</v>
      </c>
      <c r="O34" s="4">
        <f t="shared" si="6"/>
        <v>0</v>
      </c>
      <c r="P34" s="37">
        <f t="shared" si="8"/>
        <v>0</v>
      </c>
      <c r="Q34" s="38">
        <f t="shared" si="9"/>
        <v>0</v>
      </c>
      <c r="R34" s="39">
        <f>'[2]Hospital''s proposal'!T31</f>
        <v>0</v>
      </c>
      <c r="S34" s="39">
        <f t="shared" si="7"/>
        <v>0</v>
      </c>
    </row>
    <row r="35" spans="1:19" ht="13.8" x14ac:dyDescent="0.25">
      <c r="A35" s="16" t="s">
        <v>3</v>
      </c>
      <c r="B35" s="33">
        <v>4568.92</v>
      </c>
      <c r="C35" s="34">
        <f>[1]STMFD!$C$197</f>
        <v>461480665</v>
      </c>
      <c r="D35" s="35">
        <f>[1]STMFD!$C$211</f>
        <v>18320.263609999998</v>
      </c>
      <c r="E35" s="35">
        <f>[1]STMFD!$C$223</f>
        <v>22705.58337954916</v>
      </c>
      <c r="F35" s="5">
        <f t="shared" si="3"/>
        <v>11248.534737565727</v>
      </c>
      <c r="G35" s="6">
        <f>[1]STMFD!$C$138</f>
        <v>5251</v>
      </c>
      <c r="H35" s="6">
        <f>[1]STMFD!$C$140</f>
        <v>3039</v>
      </c>
      <c r="I35" s="6">
        <f>[1]STMFD!$C$145</f>
        <v>14940</v>
      </c>
      <c r="J35" s="36">
        <f t="shared" si="1"/>
        <v>0.55488621151271755</v>
      </c>
      <c r="K35" s="36">
        <v>0.30299999999999999</v>
      </c>
      <c r="L35" s="18">
        <f t="shared" si="4"/>
        <v>0</v>
      </c>
      <c r="M35" s="18">
        <f t="shared" si="5"/>
        <v>0</v>
      </c>
      <c r="N35" s="18">
        <f t="shared" si="2"/>
        <v>1</v>
      </c>
      <c r="O35" s="4">
        <f t="shared" si="6"/>
        <v>0</v>
      </c>
      <c r="P35" s="37">
        <f t="shared" si="8"/>
        <v>0</v>
      </c>
      <c r="Q35" s="38">
        <f t="shared" si="9"/>
        <v>0</v>
      </c>
      <c r="R35" s="39">
        <f>'[2]Hospital''s proposal'!T32</f>
        <v>0</v>
      </c>
      <c r="S35" s="39">
        <f t="shared" si="7"/>
        <v>0</v>
      </c>
    </row>
    <row r="36" spans="1:19" s="51" customFormat="1" x14ac:dyDescent="0.25">
      <c r="A36" s="52" t="s">
        <v>2</v>
      </c>
      <c r="B36" s="41">
        <v>4868.0200000000004</v>
      </c>
      <c r="C36" s="42">
        <f>[1]WATBY!$C$197</f>
        <v>235702997</v>
      </c>
      <c r="D36" s="43">
        <f>[1]WATBY!$C$211</f>
        <v>17061.545600000001</v>
      </c>
      <c r="E36" s="43">
        <f>[1]WATBY!$C$223</f>
        <v>8236.995382828678</v>
      </c>
      <c r="F36" s="44">
        <f t="shared" si="3"/>
        <v>9316.8612830274596</v>
      </c>
      <c r="G36" s="45">
        <f>[1]WATBY!$C$138</f>
        <v>5972</v>
      </c>
      <c r="H36" s="45">
        <f>[1]WATBY!$C$140</f>
        <v>3059</v>
      </c>
      <c r="I36" s="45">
        <f>[1]WATBY!$C$145</f>
        <v>12758</v>
      </c>
      <c r="J36" s="46">
        <f t="shared" si="1"/>
        <v>0.70786957203323408</v>
      </c>
      <c r="K36" s="46">
        <v>0.58499999999999996</v>
      </c>
      <c r="L36" s="47">
        <f t="shared" si="4"/>
        <v>1</v>
      </c>
      <c r="M36" s="47">
        <f t="shared" si="5"/>
        <v>1</v>
      </c>
      <c r="N36" s="47">
        <f t="shared" si="2"/>
        <v>1</v>
      </c>
      <c r="O36" s="48">
        <f t="shared" si="6"/>
        <v>1</v>
      </c>
      <c r="P36" s="49">
        <f t="shared" si="8"/>
        <v>33.730982924586897</v>
      </c>
      <c r="Q36" s="50">
        <f t="shared" si="9"/>
        <v>103183.07676631132</v>
      </c>
      <c r="R36" s="50">
        <f>'[2]Hospital''s proposal'!T33</f>
        <v>0</v>
      </c>
      <c r="S36" s="50">
        <f t="shared" si="7"/>
        <v>103183.07676631132</v>
      </c>
    </row>
    <row r="37" spans="1:19" s="51" customFormat="1" x14ac:dyDescent="0.25">
      <c r="A37" s="40" t="s">
        <v>1</v>
      </c>
      <c r="B37" s="41">
        <v>3828.28</v>
      </c>
      <c r="C37" s="42">
        <f>[1]WNDHM!$C$197</f>
        <v>92639489</v>
      </c>
      <c r="D37" s="43">
        <f>[1]WNDHM!$C$211</f>
        <v>5179.7664999999997</v>
      </c>
      <c r="E37" s="43">
        <f>[1]WNDHM!$C$223</f>
        <v>9251.9237612292418</v>
      </c>
      <c r="F37" s="44">
        <f t="shared" si="3"/>
        <v>6419.1710966023247</v>
      </c>
      <c r="G37" s="45">
        <f>[1]WNDHM!$C$138</f>
        <v>2372</v>
      </c>
      <c r="H37" s="45">
        <f>[1]WNDHM!$C$140</f>
        <v>1035</v>
      </c>
      <c r="I37" s="45">
        <f>[1]WNDHM!$C$145</f>
        <v>4701</v>
      </c>
      <c r="J37" s="46">
        <f t="shared" si="1"/>
        <v>0.72473941714528822</v>
      </c>
      <c r="K37" s="46">
        <v>0.56599999999999995</v>
      </c>
      <c r="L37" s="47">
        <f t="shared" si="4"/>
        <v>1</v>
      </c>
      <c r="M37" s="47">
        <f t="shared" si="5"/>
        <v>1</v>
      </c>
      <c r="N37" s="47">
        <f t="shared" si="2"/>
        <v>1</v>
      </c>
      <c r="O37" s="48">
        <f t="shared" si="6"/>
        <v>1</v>
      </c>
      <c r="P37" s="49">
        <f t="shared" si="8"/>
        <v>1073.4709829245871</v>
      </c>
      <c r="Q37" s="50">
        <f t="shared" si="9"/>
        <v>1111042.4673269477</v>
      </c>
      <c r="R37" s="50">
        <f>'[2]Hospital''s proposal'!T34</f>
        <v>1160980.1999999997</v>
      </c>
      <c r="S37" s="50">
        <f t="shared" si="7"/>
        <v>-49937.732673052</v>
      </c>
    </row>
    <row r="38" spans="1:19" ht="13.8" x14ac:dyDescent="0.25">
      <c r="A38" s="16" t="s">
        <v>32</v>
      </c>
      <c r="B38" s="33">
        <v>5900.2</v>
      </c>
      <c r="C38" s="34">
        <f>[1]YNHAV!$C$197</f>
        <v>1435807000</v>
      </c>
      <c r="D38" s="35">
        <f>[1]YNHAV!$C$211</f>
        <v>83700.003899999996</v>
      </c>
      <c r="E38" s="35">
        <f>[1]YNHAV!$C$223</f>
        <v>29010.791887893702</v>
      </c>
      <c r="F38" s="5">
        <f t="shared" si="3"/>
        <v>12738.859573860098</v>
      </c>
      <c r="G38" s="6">
        <f>[1]YNHAV!$C$138</f>
        <v>17747</v>
      </c>
      <c r="H38" s="6">
        <f>[1]YNHAV!$C$140</f>
        <v>16249</v>
      </c>
      <c r="I38" s="6">
        <f>[1]YNHAV!$C$145</f>
        <v>57451</v>
      </c>
      <c r="J38" s="36">
        <f t="shared" si="1"/>
        <v>0.59173904718803849</v>
      </c>
      <c r="K38" s="36">
        <v>0.46700000000000003</v>
      </c>
      <c r="L38" s="18">
        <f t="shared" si="4"/>
        <v>0</v>
      </c>
      <c r="M38" s="18">
        <f t="shared" si="5"/>
        <v>0</v>
      </c>
      <c r="N38" s="18">
        <f t="shared" si="2"/>
        <v>0</v>
      </c>
      <c r="O38" s="4">
        <f t="shared" si="6"/>
        <v>0</v>
      </c>
      <c r="P38" s="37">
        <f t="shared" si="8"/>
        <v>0</v>
      </c>
      <c r="Q38" s="38">
        <f t="shared" si="9"/>
        <v>0</v>
      </c>
      <c r="R38" s="39">
        <f>'[2]Hospital''s proposal'!T35</f>
        <v>0</v>
      </c>
      <c r="S38" s="39">
        <f t="shared" si="7"/>
        <v>0</v>
      </c>
    </row>
    <row r="39" spans="1:19" ht="13.8" x14ac:dyDescent="0.25">
      <c r="A39" s="2" t="s">
        <v>70</v>
      </c>
      <c r="B39" s="56">
        <f>AVERAGE(B9:B38)</f>
        <v>4889.6213793103452</v>
      </c>
      <c r="C39" s="57">
        <f>SUM(C9:C38)</f>
        <v>9189799933</v>
      </c>
      <c r="D39" s="58">
        <f>SUM(D9:D38)</f>
        <v>554485.00127000001</v>
      </c>
      <c r="E39" s="58">
        <f>SUM(E9:E38)</f>
        <v>411369.1054572147</v>
      </c>
      <c r="F39" s="59">
        <f>AVERAGE(F9:F38)</f>
        <v>8909.251993596301</v>
      </c>
      <c r="G39" s="60">
        <f>SUM(G9:G38)</f>
        <v>179072</v>
      </c>
      <c r="H39" s="60">
        <f>SUM(H9:H38)</f>
        <v>93059</v>
      </c>
      <c r="I39" s="60">
        <f>SUM(I9:I38)</f>
        <v>426388</v>
      </c>
      <c r="J39" s="36">
        <f>AVERAGE(J9:J38)</f>
        <v>0.64393346897269443</v>
      </c>
      <c r="K39" s="36">
        <f>AVERAGE(K9:K38)</f>
        <v>0.4878333333333334</v>
      </c>
      <c r="L39" s="18">
        <f>SUM(L9:L38)</f>
        <v>19</v>
      </c>
      <c r="M39" s="18">
        <f>SUM(M9:M38)</f>
        <v>18</v>
      </c>
      <c r="N39" s="18">
        <f>SUM(N9:N38)</f>
        <v>20</v>
      </c>
      <c r="O39" s="4">
        <f>SUM(O9:O38)</f>
        <v>13</v>
      </c>
      <c r="P39" s="61" t="s">
        <v>28</v>
      </c>
      <c r="Q39" s="62">
        <f>SUM(Q9:Q38)</f>
        <v>15099999.999999993</v>
      </c>
      <c r="R39" s="62">
        <f>SUM(R9:R38)</f>
        <v>15746675.110000001</v>
      </c>
      <c r="S39" s="62">
        <f>SUM(S9:S38)</f>
        <v>-646675.11000000767</v>
      </c>
    </row>
    <row r="40" spans="1:19" ht="39.6" x14ac:dyDescent="0.25">
      <c r="A40" s="16" t="s">
        <v>71</v>
      </c>
      <c r="B40" s="56">
        <v>5354.2322526201015</v>
      </c>
      <c r="F40" s="59">
        <f>C39/(D39+E39)</f>
        <v>9514.687434668087</v>
      </c>
      <c r="J40" s="36">
        <f>(+G39+H39)/I39</f>
        <v>0.63822387121588786</v>
      </c>
      <c r="L40" s="18"/>
      <c r="M40" s="18"/>
      <c r="N40" s="18"/>
      <c r="O40" s="4"/>
      <c r="P40" s="8"/>
      <c r="Q40" s="253" t="s">
        <v>180</v>
      </c>
      <c r="R40" s="8"/>
      <c r="S40" s="8"/>
    </row>
    <row r="41" spans="1:19" ht="13.8" x14ac:dyDescent="0.25">
      <c r="A41" s="16"/>
      <c r="B41" s="56"/>
      <c r="F41" s="59"/>
      <c r="J41" s="36"/>
      <c r="L41" s="18"/>
      <c r="M41" s="18"/>
      <c r="N41" s="18"/>
      <c r="O41" s="63"/>
    </row>
    <row r="42" spans="1:19" ht="13.8" x14ac:dyDescent="0.25">
      <c r="A42" s="1"/>
      <c r="B42" s="56"/>
      <c r="F42" s="59"/>
      <c r="J42" s="36"/>
      <c r="L42" s="18"/>
      <c r="M42" s="18"/>
      <c r="N42" s="18"/>
      <c r="O42" s="63"/>
    </row>
    <row r="43" spans="1:19" ht="13.8" x14ac:dyDescent="0.25">
      <c r="A43" s="1"/>
      <c r="F43" s="59"/>
      <c r="L43" s="18"/>
      <c r="M43" s="18"/>
      <c r="N43" s="18"/>
      <c r="O43" s="63"/>
      <c r="P43" s="18"/>
    </row>
    <row r="44" spans="1:19" x14ac:dyDescent="0.25">
      <c r="H44" s="58"/>
    </row>
    <row r="45" spans="1:19" ht="30.75" customHeight="1" x14ac:dyDescent="0.25">
      <c r="A45" s="254" t="s">
        <v>182</v>
      </c>
    </row>
    <row r="46" spans="1:19" x14ac:dyDescent="0.25">
      <c r="A46" s="16"/>
      <c r="F46" s="16"/>
    </row>
    <row r="47" spans="1:19" x14ac:dyDescent="0.25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</row>
    <row r="48" spans="1:19" x14ac:dyDescent="0.25">
      <c r="F48" s="16"/>
    </row>
    <row r="49" spans="6:6" x14ac:dyDescent="0.25">
      <c r="F49" s="16"/>
    </row>
    <row r="50" spans="6:6" x14ac:dyDescent="0.25">
      <c r="F50" s="16"/>
    </row>
    <row r="51" spans="6:6" x14ac:dyDescent="0.25">
      <c r="F51" s="16"/>
    </row>
    <row r="52" spans="6:6" x14ac:dyDescent="0.25">
      <c r="F52" s="16"/>
    </row>
    <row r="53" spans="6:6" x14ac:dyDescent="0.25">
      <c r="F53" s="16"/>
    </row>
    <row r="54" spans="6:6" x14ac:dyDescent="0.25">
      <c r="F54" s="16"/>
    </row>
    <row r="55" spans="6:6" x14ac:dyDescent="0.25">
      <c r="F55" s="16"/>
    </row>
    <row r="56" spans="6:6" x14ac:dyDescent="0.25">
      <c r="F56" s="16"/>
    </row>
    <row r="57" spans="6:6" x14ac:dyDescent="0.25">
      <c r="F57" s="16"/>
    </row>
    <row r="58" spans="6:6" x14ac:dyDescent="0.25">
      <c r="F58" s="16"/>
    </row>
    <row r="59" spans="6:6" x14ac:dyDescent="0.25">
      <c r="F59" s="16"/>
    </row>
    <row r="60" spans="6:6" x14ac:dyDescent="0.25">
      <c r="F60" s="16"/>
    </row>
    <row r="61" spans="6:6" x14ac:dyDescent="0.25">
      <c r="F61" s="16"/>
    </row>
    <row r="62" spans="6:6" x14ac:dyDescent="0.25">
      <c r="F62" s="16"/>
    </row>
    <row r="63" spans="6:6" x14ac:dyDescent="0.25">
      <c r="F63" s="16"/>
    </row>
    <row r="64" spans="6:6" x14ac:dyDescent="0.25">
      <c r="F64" s="16"/>
    </row>
    <row r="65" spans="6:6" x14ac:dyDescent="0.25">
      <c r="F65" s="16"/>
    </row>
    <row r="66" spans="6:6" x14ac:dyDescent="0.25">
      <c r="F66" s="16"/>
    </row>
    <row r="67" spans="6:6" x14ac:dyDescent="0.25">
      <c r="F67" s="16"/>
    </row>
  </sheetData>
  <mergeCells count="1">
    <mergeCell ref="A47:Q47"/>
  </mergeCells>
  <printOptions headings="1" gridLines="1"/>
  <pageMargins left="0.25" right="0.25" top="0.5" bottom="0.5" header="0.5" footer="0.25"/>
  <pageSetup scale="83" orientation="landscape" r:id="rId1"/>
  <headerFooter alignWithMargins="0">
    <oddFooter>&amp;L&amp;8&amp;Z&amp;F, &amp;A&amp;R&amp;D,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K41" sqref="K41"/>
    </sheetView>
  </sheetViews>
  <sheetFormatPr defaultColWidth="9.109375" defaultRowHeight="13.2" outlineLevelCol="1" x14ac:dyDescent="0.25"/>
  <cols>
    <col min="1" max="1" width="14.109375" style="224" customWidth="1"/>
    <col min="2" max="2" width="15.5546875" style="224" bestFit="1" customWidth="1"/>
    <col min="3" max="3" width="18.44140625" style="224" bestFit="1" customWidth="1"/>
    <col min="4" max="4" width="9" style="224" bestFit="1" customWidth="1"/>
    <col min="5" max="5" width="12.6640625" style="239" bestFit="1" customWidth="1"/>
    <col min="6" max="6" width="10.44140625" style="224" customWidth="1"/>
    <col min="7" max="7" width="30.88671875" style="230" hidden="1" customWidth="1" outlineLevel="1"/>
    <col min="8" max="8" width="9.109375" style="224" hidden="1" customWidth="1" outlineLevel="1"/>
    <col min="9" max="9" width="9.5546875" style="224" customWidth="1" collapsed="1"/>
    <col min="10" max="10" width="9.33203125" style="224" customWidth="1"/>
    <col min="11" max="11" width="11.44140625" style="224" bestFit="1" customWidth="1"/>
    <col min="12" max="256" width="9.109375" style="224"/>
    <col min="257" max="257" width="14.109375" style="224" customWidth="1"/>
    <col min="258" max="258" width="15.5546875" style="224" bestFit="1" customWidth="1"/>
    <col min="259" max="259" width="18.44140625" style="224" bestFit="1" customWidth="1"/>
    <col min="260" max="260" width="9" style="224" bestFit="1" customWidth="1"/>
    <col min="261" max="261" width="12.6640625" style="224" bestFit="1" customWidth="1"/>
    <col min="262" max="262" width="10.44140625" style="224" customWidth="1"/>
    <col min="263" max="264" width="0" style="224" hidden="1" customWidth="1"/>
    <col min="265" max="265" width="9.5546875" style="224" customWidth="1"/>
    <col min="266" max="266" width="9.33203125" style="224" customWidth="1"/>
    <col min="267" max="267" width="11.44140625" style="224" bestFit="1" customWidth="1"/>
    <col min="268" max="512" width="9.109375" style="224"/>
    <col min="513" max="513" width="14.109375" style="224" customWidth="1"/>
    <col min="514" max="514" width="15.5546875" style="224" bestFit="1" customWidth="1"/>
    <col min="515" max="515" width="18.44140625" style="224" bestFit="1" customWidth="1"/>
    <col min="516" max="516" width="9" style="224" bestFit="1" customWidth="1"/>
    <col min="517" max="517" width="12.6640625" style="224" bestFit="1" customWidth="1"/>
    <col min="518" max="518" width="10.44140625" style="224" customWidth="1"/>
    <col min="519" max="520" width="0" style="224" hidden="1" customWidth="1"/>
    <col min="521" max="521" width="9.5546875" style="224" customWidth="1"/>
    <col min="522" max="522" width="9.33203125" style="224" customWidth="1"/>
    <col min="523" max="523" width="11.44140625" style="224" bestFit="1" customWidth="1"/>
    <col min="524" max="768" width="9.109375" style="224"/>
    <col min="769" max="769" width="14.109375" style="224" customWidth="1"/>
    <col min="770" max="770" width="15.5546875" style="224" bestFit="1" customWidth="1"/>
    <col min="771" max="771" width="18.44140625" style="224" bestFit="1" customWidth="1"/>
    <col min="772" max="772" width="9" style="224" bestFit="1" customWidth="1"/>
    <col min="773" max="773" width="12.6640625" style="224" bestFit="1" customWidth="1"/>
    <col min="774" max="774" width="10.44140625" style="224" customWidth="1"/>
    <col min="775" max="776" width="0" style="224" hidden="1" customWidth="1"/>
    <col min="777" max="777" width="9.5546875" style="224" customWidth="1"/>
    <col min="778" max="778" width="9.33203125" style="224" customWidth="1"/>
    <col min="779" max="779" width="11.44140625" style="224" bestFit="1" customWidth="1"/>
    <col min="780" max="1024" width="9.109375" style="224"/>
    <col min="1025" max="1025" width="14.109375" style="224" customWidth="1"/>
    <col min="1026" max="1026" width="15.5546875" style="224" bestFit="1" customWidth="1"/>
    <col min="1027" max="1027" width="18.44140625" style="224" bestFit="1" customWidth="1"/>
    <col min="1028" max="1028" width="9" style="224" bestFit="1" customWidth="1"/>
    <col min="1029" max="1029" width="12.6640625" style="224" bestFit="1" customWidth="1"/>
    <col min="1030" max="1030" width="10.44140625" style="224" customWidth="1"/>
    <col min="1031" max="1032" width="0" style="224" hidden="1" customWidth="1"/>
    <col min="1033" max="1033" width="9.5546875" style="224" customWidth="1"/>
    <col min="1034" max="1034" width="9.33203125" style="224" customWidth="1"/>
    <col min="1035" max="1035" width="11.44140625" style="224" bestFit="1" customWidth="1"/>
    <col min="1036" max="1280" width="9.109375" style="224"/>
    <col min="1281" max="1281" width="14.109375" style="224" customWidth="1"/>
    <col min="1282" max="1282" width="15.5546875" style="224" bestFit="1" customWidth="1"/>
    <col min="1283" max="1283" width="18.44140625" style="224" bestFit="1" customWidth="1"/>
    <col min="1284" max="1284" width="9" style="224" bestFit="1" customWidth="1"/>
    <col min="1285" max="1285" width="12.6640625" style="224" bestFit="1" customWidth="1"/>
    <col min="1286" max="1286" width="10.44140625" style="224" customWidth="1"/>
    <col min="1287" max="1288" width="0" style="224" hidden="1" customWidth="1"/>
    <col min="1289" max="1289" width="9.5546875" style="224" customWidth="1"/>
    <col min="1290" max="1290" width="9.33203125" style="224" customWidth="1"/>
    <col min="1291" max="1291" width="11.44140625" style="224" bestFit="1" customWidth="1"/>
    <col min="1292" max="1536" width="9.109375" style="224"/>
    <col min="1537" max="1537" width="14.109375" style="224" customWidth="1"/>
    <col min="1538" max="1538" width="15.5546875" style="224" bestFit="1" customWidth="1"/>
    <col min="1539" max="1539" width="18.44140625" style="224" bestFit="1" customWidth="1"/>
    <col min="1540" max="1540" width="9" style="224" bestFit="1" customWidth="1"/>
    <col min="1541" max="1541" width="12.6640625" style="224" bestFit="1" customWidth="1"/>
    <col min="1542" max="1542" width="10.44140625" style="224" customWidth="1"/>
    <col min="1543" max="1544" width="0" style="224" hidden="1" customWidth="1"/>
    <col min="1545" max="1545" width="9.5546875" style="224" customWidth="1"/>
    <col min="1546" max="1546" width="9.33203125" style="224" customWidth="1"/>
    <col min="1547" max="1547" width="11.44140625" style="224" bestFit="1" customWidth="1"/>
    <col min="1548" max="1792" width="9.109375" style="224"/>
    <col min="1793" max="1793" width="14.109375" style="224" customWidth="1"/>
    <col min="1794" max="1794" width="15.5546875" style="224" bestFit="1" customWidth="1"/>
    <col min="1795" max="1795" width="18.44140625" style="224" bestFit="1" customWidth="1"/>
    <col min="1796" max="1796" width="9" style="224" bestFit="1" customWidth="1"/>
    <col min="1797" max="1797" width="12.6640625" style="224" bestFit="1" customWidth="1"/>
    <col min="1798" max="1798" width="10.44140625" style="224" customWidth="1"/>
    <col min="1799" max="1800" width="0" style="224" hidden="1" customWidth="1"/>
    <col min="1801" max="1801" width="9.5546875" style="224" customWidth="1"/>
    <col min="1802" max="1802" width="9.33203125" style="224" customWidth="1"/>
    <col min="1803" max="1803" width="11.44140625" style="224" bestFit="1" customWidth="1"/>
    <col min="1804" max="2048" width="9.109375" style="224"/>
    <col min="2049" max="2049" width="14.109375" style="224" customWidth="1"/>
    <col min="2050" max="2050" width="15.5546875" style="224" bestFit="1" customWidth="1"/>
    <col min="2051" max="2051" width="18.44140625" style="224" bestFit="1" customWidth="1"/>
    <col min="2052" max="2052" width="9" style="224" bestFit="1" customWidth="1"/>
    <col min="2053" max="2053" width="12.6640625" style="224" bestFit="1" customWidth="1"/>
    <col min="2054" max="2054" width="10.44140625" style="224" customWidth="1"/>
    <col min="2055" max="2056" width="0" style="224" hidden="1" customWidth="1"/>
    <col min="2057" max="2057" width="9.5546875" style="224" customWidth="1"/>
    <col min="2058" max="2058" width="9.33203125" style="224" customWidth="1"/>
    <col min="2059" max="2059" width="11.44140625" style="224" bestFit="1" customWidth="1"/>
    <col min="2060" max="2304" width="9.109375" style="224"/>
    <col min="2305" max="2305" width="14.109375" style="224" customWidth="1"/>
    <col min="2306" max="2306" width="15.5546875" style="224" bestFit="1" customWidth="1"/>
    <col min="2307" max="2307" width="18.44140625" style="224" bestFit="1" customWidth="1"/>
    <col min="2308" max="2308" width="9" style="224" bestFit="1" customWidth="1"/>
    <col min="2309" max="2309" width="12.6640625" style="224" bestFit="1" customWidth="1"/>
    <col min="2310" max="2310" width="10.44140625" style="224" customWidth="1"/>
    <col min="2311" max="2312" width="0" style="224" hidden="1" customWidth="1"/>
    <col min="2313" max="2313" width="9.5546875" style="224" customWidth="1"/>
    <col min="2314" max="2314" width="9.33203125" style="224" customWidth="1"/>
    <col min="2315" max="2315" width="11.44140625" style="224" bestFit="1" customWidth="1"/>
    <col min="2316" max="2560" width="9.109375" style="224"/>
    <col min="2561" max="2561" width="14.109375" style="224" customWidth="1"/>
    <col min="2562" max="2562" width="15.5546875" style="224" bestFit="1" customWidth="1"/>
    <col min="2563" max="2563" width="18.44140625" style="224" bestFit="1" customWidth="1"/>
    <col min="2564" max="2564" width="9" style="224" bestFit="1" customWidth="1"/>
    <col min="2565" max="2565" width="12.6640625" style="224" bestFit="1" customWidth="1"/>
    <col min="2566" max="2566" width="10.44140625" style="224" customWidth="1"/>
    <col min="2567" max="2568" width="0" style="224" hidden="1" customWidth="1"/>
    <col min="2569" max="2569" width="9.5546875" style="224" customWidth="1"/>
    <col min="2570" max="2570" width="9.33203125" style="224" customWidth="1"/>
    <col min="2571" max="2571" width="11.44140625" style="224" bestFit="1" customWidth="1"/>
    <col min="2572" max="2816" width="9.109375" style="224"/>
    <col min="2817" max="2817" width="14.109375" style="224" customWidth="1"/>
    <col min="2818" max="2818" width="15.5546875" style="224" bestFit="1" customWidth="1"/>
    <col min="2819" max="2819" width="18.44140625" style="224" bestFit="1" customWidth="1"/>
    <col min="2820" max="2820" width="9" style="224" bestFit="1" customWidth="1"/>
    <col min="2821" max="2821" width="12.6640625" style="224" bestFit="1" customWidth="1"/>
    <col min="2822" max="2822" width="10.44140625" style="224" customWidth="1"/>
    <col min="2823" max="2824" width="0" style="224" hidden="1" customWidth="1"/>
    <col min="2825" max="2825" width="9.5546875" style="224" customWidth="1"/>
    <col min="2826" max="2826" width="9.33203125" style="224" customWidth="1"/>
    <col min="2827" max="2827" width="11.44140625" style="224" bestFit="1" customWidth="1"/>
    <col min="2828" max="3072" width="9.109375" style="224"/>
    <col min="3073" max="3073" width="14.109375" style="224" customWidth="1"/>
    <col min="3074" max="3074" width="15.5546875" style="224" bestFit="1" customWidth="1"/>
    <col min="3075" max="3075" width="18.44140625" style="224" bestFit="1" customWidth="1"/>
    <col min="3076" max="3076" width="9" style="224" bestFit="1" customWidth="1"/>
    <col min="3077" max="3077" width="12.6640625" style="224" bestFit="1" customWidth="1"/>
    <col min="3078" max="3078" width="10.44140625" style="224" customWidth="1"/>
    <col min="3079" max="3080" width="0" style="224" hidden="1" customWidth="1"/>
    <col min="3081" max="3081" width="9.5546875" style="224" customWidth="1"/>
    <col min="3082" max="3082" width="9.33203125" style="224" customWidth="1"/>
    <col min="3083" max="3083" width="11.44140625" style="224" bestFit="1" customWidth="1"/>
    <col min="3084" max="3328" width="9.109375" style="224"/>
    <col min="3329" max="3329" width="14.109375" style="224" customWidth="1"/>
    <col min="3330" max="3330" width="15.5546875" style="224" bestFit="1" customWidth="1"/>
    <col min="3331" max="3331" width="18.44140625" style="224" bestFit="1" customWidth="1"/>
    <col min="3332" max="3332" width="9" style="224" bestFit="1" customWidth="1"/>
    <col min="3333" max="3333" width="12.6640625" style="224" bestFit="1" customWidth="1"/>
    <col min="3334" max="3334" width="10.44140625" style="224" customWidth="1"/>
    <col min="3335" max="3336" width="0" style="224" hidden="1" customWidth="1"/>
    <col min="3337" max="3337" width="9.5546875" style="224" customWidth="1"/>
    <col min="3338" max="3338" width="9.33203125" style="224" customWidth="1"/>
    <col min="3339" max="3339" width="11.44140625" style="224" bestFit="1" customWidth="1"/>
    <col min="3340" max="3584" width="9.109375" style="224"/>
    <col min="3585" max="3585" width="14.109375" style="224" customWidth="1"/>
    <col min="3586" max="3586" width="15.5546875" style="224" bestFit="1" customWidth="1"/>
    <col min="3587" max="3587" width="18.44140625" style="224" bestFit="1" customWidth="1"/>
    <col min="3588" max="3588" width="9" style="224" bestFit="1" customWidth="1"/>
    <col min="3589" max="3589" width="12.6640625" style="224" bestFit="1" customWidth="1"/>
    <col min="3590" max="3590" width="10.44140625" style="224" customWidth="1"/>
    <col min="3591" max="3592" width="0" style="224" hidden="1" customWidth="1"/>
    <col min="3593" max="3593" width="9.5546875" style="224" customWidth="1"/>
    <col min="3594" max="3594" width="9.33203125" style="224" customWidth="1"/>
    <col min="3595" max="3595" width="11.44140625" style="224" bestFit="1" customWidth="1"/>
    <col min="3596" max="3840" width="9.109375" style="224"/>
    <col min="3841" max="3841" width="14.109375" style="224" customWidth="1"/>
    <col min="3842" max="3842" width="15.5546875" style="224" bestFit="1" customWidth="1"/>
    <col min="3843" max="3843" width="18.44140625" style="224" bestFit="1" customWidth="1"/>
    <col min="3844" max="3844" width="9" style="224" bestFit="1" customWidth="1"/>
    <col min="3845" max="3845" width="12.6640625" style="224" bestFit="1" customWidth="1"/>
    <col min="3846" max="3846" width="10.44140625" style="224" customWidth="1"/>
    <col min="3847" max="3848" width="0" style="224" hidden="1" customWidth="1"/>
    <col min="3849" max="3849" width="9.5546875" style="224" customWidth="1"/>
    <col min="3850" max="3850" width="9.33203125" style="224" customWidth="1"/>
    <col min="3851" max="3851" width="11.44140625" style="224" bestFit="1" customWidth="1"/>
    <col min="3852" max="4096" width="9.109375" style="224"/>
    <col min="4097" max="4097" width="14.109375" style="224" customWidth="1"/>
    <col min="4098" max="4098" width="15.5546875" style="224" bestFit="1" customWidth="1"/>
    <col min="4099" max="4099" width="18.44140625" style="224" bestFit="1" customWidth="1"/>
    <col min="4100" max="4100" width="9" style="224" bestFit="1" customWidth="1"/>
    <col min="4101" max="4101" width="12.6640625" style="224" bestFit="1" customWidth="1"/>
    <col min="4102" max="4102" width="10.44140625" style="224" customWidth="1"/>
    <col min="4103" max="4104" width="0" style="224" hidden="1" customWidth="1"/>
    <col min="4105" max="4105" width="9.5546875" style="224" customWidth="1"/>
    <col min="4106" max="4106" width="9.33203125" style="224" customWidth="1"/>
    <col min="4107" max="4107" width="11.44140625" style="224" bestFit="1" customWidth="1"/>
    <col min="4108" max="4352" width="9.109375" style="224"/>
    <col min="4353" max="4353" width="14.109375" style="224" customWidth="1"/>
    <col min="4354" max="4354" width="15.5546875" style="224" bestFit="1" customWidth="1"/>
    <col min="4355" max="4355" width="18.44140625" style="224" bestFit="1" customWidth="1"/>
    <col min="4356" max="4356" width="9" style="224" bestFit="1" customWidth="1"/>
    <col min="4357" max="4357" width="12.6640625" style="224" bestFit="1" customWidth="1"/>
    <col min="4358" max="4358" width="10.44140625" style="224" customWidth="1"/>
    <col min="4359" max="4360" width="0" style="224" hidden="1" customWidth="1"/>
    <col min="4361" max="4361" width="9.5546875" style="224" customWidth="1"/>
    <col min="4362" max="4362" width="9.33203125" style="224" customWidth="1"/>
    <col min="4363" max="4363" width="11.44140625" style="224" bestFit="1" customWidth="1"/>
    <col min="4364" max="4608" width="9.109375" style="224"/>
    <col min="4609" max="4609" width="14.109375" style="224" customWidth="1"/>
    <col min="4610" max="4610" width="15.5546875" style="224" bestFit="1" customWidth="1"/>
    <col min="4611" max="4611" width="18.44140625" style="224" bestFit="1" customWidth="1"/>
    <col min="4612" max="4612" width="9" style="224" bestFit="1" customWidth="1"/>
    <col min="4613" max="4613" width="12.6640625" style="224" bestFit="1" customWidth="1"/>
    <col min="4614" max="4614" width="10.44140625" style="224" customWidth="1"/>
    <col min="4615" max="4616" width="0" style="224" hidden="1" customWidth="1"/>
    <col min="4617" max="4617" width="9.5546875" style="224" customWidth="1"/>
    <col min="4618" max="4618" width="9.33203125" style="224" customWidth="1"/>
    <col min="4619" max="4619" width="11.44140625" style="224" bestFit="1" customWidth="1"/>
    <col min="4620" max="4864" width="9.109375" style="224"/>
    <col min="4865" max="4865" width="14.109375" style="224" customWidth="1"/>
    <col min="4866" max="4866" width="15.5546875" style="224" bestFit="1" customWidth="1"/>
    <col min="4867" max="4867" width="18.44140625" style="224" bestFit="1" customWidth="1"/>
    <col min="4868" max="4868" width="9" style="224" bestFit="1" customWidth="1"/>
    <col min="4869" max="4869" width="12.6640625" style="224" bestFit="1" customWidth="1"/>
    <col min="4870" max="4870" width="10.44140625" style="224" customWidth="1"/>
    <col min="4871" max="4872" width="0" style="224" hidden="1" customWidth="1"/>
    <col min="4873" max="4873" width="9.5546875" style="224" customWidth="1"/>
    <col min="4874" max="4874" width="9.33203125" style="224" customWidth="1"/>
    <col min="4875" max="4875" width="11.44140625" style="224" bestFit="1" customWidth="1"/>
    <col min="4876" max="5120" width="9.109375" style="224"/>
    <col min="5121" max="5121" width="14.109375" style="224" customWidth="1"/>
    <col min="5122" max="5122" width="15.5546875" style="224" bestFit="1" customWidth="1"/>
    <col min="5123" max="5123" width="18.44140625" style="224" bestFit="1" customWidth="1"/>
    <col min="5124" max="5124" width="9" style="224" bestFit="1" customWidth="1"/>
    <col min="5125" max="5125" width="12.6640625" style="224" bestFit="1" customWidth="1"/>
    <col min="5126" max="5126" width="10.44140625" style="224" customWidth="1"/>
    <col min="5127" max="5128" width="0" style="224" hidden="1" customWidth="1"/>
    <col min="5129" max="5129" width="9.5546875" style="224" customWidth="1"/>
    <col min="5130" max="5130" width="9.33203125" style="224" customWidth="1"/>
    <col min="5131" max="5131" width="11.44140625" style="224" bestFit="1" customWidth="1"/>
    <col min="5132" max="5376" width="9.109375" style="224"/>
    <col min="5377" max="5377" width="14.109375" style="224" customWidth="1"/>
    <col min="5378" max="5378" width="15.5546875" style="224" bestFit="1" customWidth="1"/>
    <col min="5379" max="5379" width="18.44140625" style="224" bestFit="1" customWidth="1"/>
    <col min="5380" max="5380" width="9" style="224" bestFit="1" customWidth="1"/>
    <col min="5381" max="5381" width="12.6640625" style="224" bestFit="1" customWidth="1"/>
    <col min="5382" max="5382" width="10.44140625" style="224" customWidth="1"/>
    <col min="5383" max="5384" width="0" style="224" hidden="1" customWidth="1"/>
    <col min="5385" max="5385" width="9.5546875" style="224" customWidth="1"/>
    <col min="5386" max="5386" width="9.33203125" style="224" customWidth="1"/>
    <col min="5387" max="5387" width="11.44140625" style="224" bestFit="1" customWidth="1"/>
    <col min="5388" max="5632" width="9.109375" style="224"/>
    <col min="5633" max="5633" width="14.109375" style="224" customWidth="1"/>
    <col min="5634" max="5634" width="15.5546875" style="224" bestFit="1" customWidth="1"/>
    <col min="5635" max="5635" width="18.44140625" style="224" bestFit="1" customWidth="1"/>
    <col min="5636" max="5636" width="9" style="224" bestFit="1" customWidth="1"/>
    <col min="5637" max="5637" width="12.6640625" style="224" bestFit="1" customWidth="1"/>
    <col min="5638" max="5638" width="10.44140625" style="224" customWidth="1"/>
    <col min="5639" max="5640" width="0" style="224" hidden="1" customWidth="1"/>
    <col min="5641" max="5641" width="9.5546875" style="224" customWidth="1"/>
    <col min="5642" max="5642" width="9.33203125" style="224" customWidth="1"/>
    <col min="5643" max="5643" width="11.44140625" style="224" bestFit="1" customWidth="1"/>
    <col min="5644" max="5888" width="9.109375" style="224"/>
    <col min="5889" max="5889" width="14.109375" style="224" customWidth="1"/>
    <col min="5890" max="5890" width="15.5546875" style="224" bestFit="1" customWidth="1"/>
    <col min="5891" max="5891" width="18.44140625" style="224" bestFit="1" customWidth="1"/>
    <col min="5892" max="5892" width="9" style="224" bestFit="1" customWidth="1"/>
    <col min="5893" max="5893" width="12.6640625" style="224" bestFit="1" customWidth="1"/>
    <col min="5894" max="5894" width="10.44140625" style="224" customWidth="1"/>
    <col min="5895" max="5896" width="0" style="224" hidden="1" customWidth="1"/>
    <col min="5897" max="5897" width="9.5546875" style="224" customWidth="1"/>
    <col min="5898" max="5898" width="9.33203125" style="224" customWidth="1"/>
    <col min="5899" max="5899" width="11.44140625" style="224" bestFit="1" customWidth="1"/>
    <col min="5900" max="6144" width="9.109375" style="224"/>
    <col min="6145" max="6145" width="14.109375" style="224" customWidth="1"/>
    <col min="6146" max="6146" width="15.5546875" style="224" bestFit="1" customWidth="1"/>
    <col min="6147" max="6147" width="18.44140625" style="224" bestFit="1" customWidth="1"/>
    <col min="6148" max="6148" width="9" style="224" bestFit="1" customWidth="1"/>
    <col min="6149" max="6149" width="12.6640625" style="224" bestFit="1" customWidth="1"/>
    <col min="6150" max="6150" width="10.44140625" style="224" customWidth="1"/>
    <col min="6151" max="6152" width="0" style="224" hidden="1" customWidth="1"/>
    <col min="6153" max="6153" width="9.5546875" style="224" customWidth="1"/>
    <col min="6154" max="6154" width="9.33203125" style="224" customWidth="1"/>
    <col min="6155" max="6155" width="11.44140625" style="224" bestFit="1" customWidth="1"/>
    <col min="6156" max="6400" width="9.109375" style="224"/>
    <col min="6401" max="6401" width="14.109375" style="224" customWidth="1"/>
    <col min="6402" max="6402" width="15.5546875" style="224" bestFit="1" customWidth="1"/>
    <col min="6403" max="6403" width="18.44140625" style="224" bestFit="1" customWidth="1"/>
    <col min="6404" max="6404" width="9" style="224" bestFit="1" customWidth="1"/>
    <col min="6405" max="6405" width="12.6640625" style="224" bestFit="1" customWidth="1"/>
    <col min="6406" max="6406" width="10.44140625" style="224" customWidth="1"/>
    <col min="6407" max="6408" width="0" style="224" hidden="1" customWidth="1"/>
    <col min="6409" max="6409" width="9.5546875" style="224" customWidth="1"/>
    <col min="6410" max="6410" width="9.33203125" style="224" customWidth="1"/>
    <col min="6411" max="6411" width="11.44140625" style="224" bestFit="1" customWidth="1"/>
    <col min="6412" max="6656" width="9.109375" style="224"/>
    <col min="6657" max="6657" width="14.109375" style="224" customWidth="1"/>
    <col min="6658" max="6658" width="15.5546875" style="224" bestFit="1" customWidth="1"/>
    <col min="6659" max="6659" width="18.44140625" style="224" bestFit="1" customWidth="1"/>
    <col min="6660" max="6660" width="9" style="224" bestFit="1" customWidth="1"/>
    <col min="6661" max="6661" width="12.6640625" style="224" bestFit="1" customWidth="1"/>
    <col min="6662" max="6662" width="10.44140625" style="224" customWidth="1"/>
    <col min="6663" max="6664" width="0" style="224" hidden="1" customWidth="1"/>
    <col min="6665" max="6665" width="9.5546875" style="224" customWidth="1"/>
    <col min="6666" max="6666" width="9.33203125" style="224" customWidth="1"/>
    <col min="6667" max="6667" width="11.44140625" style="224" bestFit="1" customWidth="1"/>
    <col min="6668" max="6912" width="9.109375" style="224"/>
    <col min="6913" max="6913" width="14.109375" style="224" customWidth="1"/>
    <col min="6914" max="6914" width="15.5546875" style="224" bestFit="1" customWidth="1"/>
    <col min="6915" max="6915" width="18.44140625" style="224" bestFit="1" customWidth="1"/>
    <col min="6916" max="6916" width="9" style="224" bestFit="1" customWidth="1"/>
    <col min="6917" max="6917" width="12.6640625" style="224" bestFit="1" customWidth="1"/>
    <col min="6918" max="6918" width="10.44140625" style="224" customWidth="1"/>
    <col min="6919" max="6920" width="0" style="224" hidden="1" customWidth="1"/>
    <col min="6921" max="6921" width="9.5546875" style="224" customWidth="1"/>
    <col min="6922" max="6922" width="9.33203125" style="224" customWidth="1"/>
    <col min="6923" max="6923" width="11.44140625" style="224" bestFit="1" customWidth="1"/>
    <col min="6924" max="7168" width="9.109375" style="224"/>
    <col min="7169" max="7169" width="14.109375" style="224" customWidth="1"/>
    <col min="7170" max="7170" width="15.5546875" style="224" bestFit="1" customWidth="1"/>
    <col min="7171" max="7171" width="18.44140625" style="224" bestFit="1" customWidth="1"/>
    <col min="7172" max="7172" width="9" style="224" bestFit="1" customWidth="1"/>
    <col min="7173" max="7173" width="12.6640625" style="224" bestFit="1" customWidth="1"/>
    <col min="7174" max="7174" width="10.44140625" style="224" customWidth="1"/>
    <col min="7175" max="7176" width="0" style="224" hidden="1" customWidth="1"/>
    <col min="7177" max="7177" width="9.5546875" style="224" customWidth="1"/>
    <col min="7178" max="7178" width="9.33203125" style="224" customWidth="1"/>
    <col min="7179" max="7179" width="11.44140625" style="224" bestFit="1" customWidth="1"/>
    <col min="7180" max="7424" width="9.109375" style="224"/>
    <col min="7425" max="7425" width="14.109375" style="224" customWidth="1"/>
    <col min="7426" max="7426" width="15.5546875" style="224" bestFit="1" customWidth="1"/>
    <col min="7427" max="7427" width="18.44140625" style="224" bestFit="1" customWidth="1"/>
    <col min="7428" max="7428" width="9" style="224" bestFit="1" customWidth="1"/>
    <col min="7429" max="7429" width="12.6640625" style="224" bestFit="1" customWidth="1"/>
    <col min="7430" max="7430" width="10.44140625" style="224" customWidth="1"/>
    <col min="7431" max="7432" width="0" style="224" hidden="1" customWidth="1"/>
    <col min="7433" max="7433" width="9.5546875" style="224" customWidth="1"/>
    <col min="7434" max="7434" width="9.33203125" style="224" customWidth="1"/>
    <col min="7435" max="7435" width="11.44140625" style="224" bestFit="1" customWidth="1"/>
    <col min="7436" max="7680" width="9.109375" style="224"/>
    <col min="7681" max="7681" width="14.109375" style="224" customWidth="1"/>
    <col min="7682" max="7682" width="15.5546875" style="224" bestFit="1" customWidth="1"/>
    <col min="7683" max="7683" width="18.44140625" style="224" bestFit="1" customWidth="1"/>
    <col min="7684" max="7684" width="9" style="224" bestFit="1" customWidth="1"/>
    <col min="7685" max="7685" width="12.6640625" style="224" bestFit="1" customWidth="1"/>
    <col min="7686" max="7686" width="10.44140625" style="224" customWidth="1"/>
    <col min="7687" max="7688" width="0" style="224" hidden="1" customWidth="1"/>
    <col min="7689" max="7689" width="9.5546875" style="224" customWidth="1"/>
    <col min="7690" max="7690" width="9.33203125" style="224" customWidth="1"/>
    <col min="7691" max="7691" width="11.44140625" style="224" bestFit="1" customWidth="1"/>
    <col min="7692" max="7936" width="9.109375" style="224"/>
    <col min="7937" max="7937" width="14.109375" style="224" customWidth="1"/>
    <col min="7938" max="7938" width="15.5546875" style="224" bestFit="1" customWidth="1"/>
    <col min="7939" max="7939" width="18.44140625" style="224" bestFit="1" customWidth="1"/>
    <col min="7940" max="7940" width="9" style="224" bestFit="1" customWidth="1"/>
    <col min="7941" max="7941" width="12.6640625" style="224" bestFit="1" customWidth="1"/>
    <col min="7942" max="7942" width="10.44140625" style="224" customWidth="1"/>
    <col min="7943" max="7944" width="0" style="224" hidden="1" customWidth="1"/>
    <col min="7945" max="7945" width="9.5546875" style="224" customWidth="1"/>
    <col min="7946" max="7946" width="9.33203125" style="224" customWidth="1"/>
    <col min="7947" max="7947" width="11.44140625" style="224" bestFit="1" customWidth="1"/>
    <col min="7948" max="8192" width="9.109375" style="224"/>
    <col min="8193" max="8193" width="14.109375" style="224" customWidth="1"/>
    <col min="8194" max="8194" width="15.5546875" style="224" bestFit="1" customWidth="1"/>
    <col min="8195" max="8195" width="18.44140625" style="224" bestFit="1" customWidth="1"/>
    <col min="8196" max="8196" width="9" style="224" bestFit="1" customWidth="1"/>
    <col min="8197" max="8197" width="12.6640625" style="224" bestFit="1" customWidth="1"/>
    <col min="8198" max="8198" width="10.44140625" style="224" customWidth="1"/>
    <col min="8199" max="8200" width="0" style="224" hidden="1" customWidth="1"/>
    <col min="8201" max="8201" width="9.5546875" style="224" customWidth="1"/>
    <col min="8202" max="8202" width="9.33203125" style="224" customWidth="1"/>
    <col min="8203" max="8203" width="11.44140625" style="224" bestFit="1" customWidth="1"/>
    <col min="8204" max="8448" width="9.109375" style="224"/>
    <col min="8449" max="8449" width="14.109375" style="224" customWidth="1"/>
    <col min="8450" max="8450" width="15.5546875" style="224" bestFit="1" customWidth="1"/>
    <col min="8451" max="8451" width="18.44140625" style="224" bestFit="1" customWidth="1"/>
    <col min="8452" max="8452" width="9" style="224" bestFit="1" customWidth="1"/>
    <col min="8453" max="8453" width="12.6640625" style="224" bestFit="1" customWidth="1"/>
    <col min="8454" max="8454" width="10.44140625" style="224" customWidth="1"/>
    <col min="8455" max="8456" width="0" style="224" hidden="1" customWidth="1"/>
    <col min="8457" max="8457" width="9.5546875" style="224" customWidth="1"/>
    <col min="8458" max="8458" width="9.33203125" style="224" customWidth="1"/>
    <col min="8459" max="8459" width="11.44140625" style="224" bestFit="1" customWidth="1"/>
    <col min="8460" max="8704" width="9.109375" style="224"/>
    <col min="8705" max="8705" width="14.109375" style="224" customWidth="1"/>
    <col min="8706" max="8706" width="15.5546875" style="224" bestFit="1" customWidth="1"/>
    <col min="8707" max="8707" width="18.44140625" style="224" bestFit="1" customWidth="1"/>
    <col min="8708" max="8708" width="9" style="224" bestFit="1" customWidth="1"/>
    <col min="8709" max="8709" width="12.6640625" style="224" bestFit="1" customWidth="1"/>
    <col min="8710" max="8710" width="10.44140625" style="224" customWidth="1"/>
    <col min="8711" max="8712" width="0" style="224" hidden="1" customWidth="1"/>
    <col min="8713" max="8713" width="9.5546875" style="224" customWidth="1"/>
    <col min="8714" max="8714" width="9.33203125" style="224" customWidth="1"/>
    <col min="8715" max="8715" width="11.44140625" style="224" bestFit="1" customWidth="1"/>
    <col min="8716" max="8960" width="9.109375" style="224"/>
    <col min="8961" max="8961" width="14.109375" style="224" customWidth="1"/>
    <col min="8962" max="8962" width="15.5546875" style="224" bestFit="1" customWidth="1"/>
    <col min="8963" max="8963" width="18.44140625" style="224" bestFit="1" customWidth="1"/>
    <col min="8964" max="8964" width="9" style="224" bestFit="1" customWidth="1"/>
    <col min="8965" max="8965" width="12.6640625" style="224" bestFit="1" customWidth="1"/>
    <col min="8966" max="8966" width="10.44140625" style="224" customWidth="1"/>
    <col min="8967" max="8968" width="0" style="224" hidden="1" customWidth="1"/>
    <col min="8969" max="8969" width="9.5546875" style="224" customWidth="1"/>
    <col min="8970" max="8970" width="9.33203125" style="224" customWidth="1"/>
    <col min="8971" max="8971" width="11.44140625" style="224" bestFit="1" customWidth="1"/>
    <col min="8972" max="9216" width="9.109375" style="224"/>
    <col min="9217" max="9217" width="14.109375" style="224" customWidth="1"/>
    <col min="9218" max="9218" width="15.5546875" style="224" bestFit="1" customWidth="1"/>
    <col min="9219" max="9219" width="18.44140625" style="224" bestFit="1" customWidth="1"/>
    <col min="9220" max="9220" width="9" style="224" bestFit="1" customWidth="1"/>
    <col min="9221" max="9221" width="12.6640625" style="224" bestFit="1" customWidth="1"/>
    <col min="9222" max="9222" width="10.44140625" style="224" customWidth="1"/>
    <col min="9223" max="9224" width="0" style="224" hidden="1" customWidth="1"/>
    <col min="9225" max="9225" width="9.5546875" style="224" customWidth="1"/>
    <col min="9226" max="9226" width="9.33203125" style="224" customWidth="1"/>
    <col min="9227" max="9227" width="11.44140625" style="224" bestFit="1" customWidth="1"/>
    <col min="9228" max="9472" width="9.109375" style="224"/>
    <col min="9473" max="9473" width="14.109375" style="224" customWidth="1"/>
    <col min="9474" max="9474" width="15.5546875" style="224" bestFit="1" customWidth="1"/>
    <col min="9475" max="9475" width="18.44140625" style="224" bestFit="1" customWidth="1"/>
    <col min="9476" max="9476" width="9" style="224" bestFit="1" customWidth="1"/>
    <col min="9477" max="9477" width="12.6640625" style="224" bestFit="1" customWidth="1"/>
    <col min="9478" max="9478" width="10.44140625" style="224" customWidth="1"/>
    <col min="9479" max="9480" width="0" style="224" hidden="1" customWidth="1"/>
    <col min="9481" max="9481" width="9.5546875" style="224" customWidth="1"/>
    <col min="9482" max="9482" width="9.33203125" style="224" customWidth="1"/>
    <col min="9483" max="9483" width="11.44140625" style="224" bestFit="1" customWidth="1"/>
    <col min="9484" max="9728" width="9.109375" style="224"/>
    <col min="9729" max="9729" width="14.109375" style="224" customWidth="1"/>
    <col min="9730" max="9730" width="15.5546875" style="224" bestFit="1" customWidth="1"/>
    <col min="9731" max="9731" width="18.44140625" style="224" bestFit="1" customWidth="1"/>
    <col min="9732" max="9732" width="9" style="224" bestFit="1" customWidth="1"/>
    <col min="9733" max="9733" width="12.6640625" style="224" bestFit="1" customWidth="1"/>
    <col min="9734" max="9734" width="10.44140625" style="224" customWidth="1"/>
    <col min="9735" max="9736" width="0" style="224" hidden="1" customWidth="1"/>
    <col min="9737" max="9737" width="9.5546875" style="224" customWidth="1"/>
    <col min="9738" max="9738" width="9.33203125" style="224" customWidth="1"/>
    <col min="9739" max="9739" width="11.44140625" style="224" bestFit="1" customWidth="1"/>
    <col min="9740" max="9984" width="9.109375" style="224"/>
    <col min="9985" max="9985" width="14.109375" style="224" customWidth="1"/>
    <col min="9986" max="9986" width="15.5546875" style="224" bestFit="1" customWidth="1"/>
    <col min="9987" max="9987" width="18.44140625" style="224" bestFit="1" customWidth="1"/>
    <col min="9988" max="9988" width="9" style="224" bestFit="1" customWidth="1"/>
    <col min="9989" max="9989" width="12.6640625" style="224" bestFit="1" customWidth="1"/>
    <col min="9990" max="9990" width="10.44140625" style="224" customWidth="1"/>
    <col min="9991" max="9992" width="0" style="224" hidden="1" customWidth="1"/>
    <col min="9993" max="9993" width="9.5546875" style="224" customWidth="1"/>
    <col min="9994" max="9994" width="9.33203125" style="224" customWidth="1"/>
    <col min="9995" max="9995" width="11.44140625" style="224" bestFit="1" customWidth="1"/>
    <col min="9996" max="10240" width="9.109375" style="224"/>
    <col min="10241" max="10241" width="14.109375" style="224" customWidth="1"/>
    <col min="10242" max="10242" width="15.5546875" style="224" bestFit="1" customWidth="1"/>
    <col min="10243" max="10243" width="18.44140625" style="224" bestFit="1" customWidth="1"/>
    <col min="10244" max="10244" width="9" style="224" bestFit="1" customWidth="1"/>
    <col min="10245" max="10245" width="12.6640625" style="224" bestFit="1" customWidth="1"/>
    <col min="10246" max="10246" width="10.44140625" style="224" customWidth="1"/>
    <col min="10247" max="10248" width="0" style="224" hidden="1" customWidth="1"/>
    <col min="10249" max="10249" width="9.5546875" style="224" customWidth="1"/>
    <col min="10250" max="10250" width="9.33203125" style="224" customWidth="1"/>
    <col min="10251" max="10251" width="11.44140625" style="224" bestFit="1" customWidth="1"/>
    <col min="10252" max="10496" width="9.109375" style="224"/>
    <col min="10497" max="10497" width="14.109375" style="224" customWidth="1"/>
    <col min="10498" max="10498" width="15.5546875" style="224" bestFit="1" customWidth="1"/>
    <col min="10499" max="10499" width="18.44140625" style="224" bestFit="1" customWidth="1"/>
    <col min="10500" max="10500" width="9" style="224" bestFit="1" customWidth="1"/>
    <col min="10501" max="10501" width="12.6640625" style="224" bestFit="1" customWidth="1"/>
    <col min="10502" max="10502" width="10.44140625" style="224" customWidth="1"/>
    <col min="10503" max="10504" width="0" style="224" hidden="1" customWidth="1"/>
    <col min="10505" max="10505" width="9.5546875" style="224" customWidth="1"/>
    <col min="10506" max="10506" width="9.33203125" style="224" customWidth="1"/>
    <col min="10507" max="10507" width="11.44140625" style="224" bestFit="1" customWidth="1"/>
    <col min="10508" max="10752" width="9.109375" style="224"/>
    <col min="10753" max="10753" width="14.109375" style="224" customWidth="1"/>
    <col min="10754" max="10754" width="15.5546875" style="224" bestFit="1" customWidth="1"/>
    <col min="10755" max="10755" width="18.44140625" style="224" bestFit="1" customWidth="1"/>
    <col min="10756" max="10756" width="9" style="224" bestFit="1" customWidth="1"/>
    <col min="10757" max="10757" width="12.6640625" style="224" bestFit="1" customWidth="1"/>
    <col min="10758" max="10758" width="10.44140625" style="224" customWidth="1"/>
    <col min="10759" max="10760" width="0" style="224" hidden="1" customWidth="1"/>
    <col min="10761" max="10761" width="9.5546875" style="224" customWidth="1"/>
    <col min="10762" max="10762" width="9.33203125" style="224" customWidth="1"/>
    <col min="10763" max="10763" width="11.44140625" style="224" bestFit="1" customWidth="1"/>
    <col min="10764" max="11008" width="9.109375" style="224"/>
    <col min="11009" max="11009" width="14.109375" style="224" customWidth="1"/>
    <col min="11010" max="11010" width="15.5546875" style="224" bestFit="1" customWidth="1"/>
    <col min="11011" max="11011" width="18.44140625" style="224" bestFit="1" customWidth="1"/>
    <col min="11012" max="11012" width="9" style="224" bestFit="1" customWidth="1"/>
    <col min="11013" max="11013" width="12.6640625" style="224" bestFit="1" customWidth="1"/>
    <col min="11014" max="11014" width="10.44140625" style="224" customWidth="1"/>
    <col min="11015" max="11016" width="0" style="224" hidden="1" customWidth="1"/>
    <col min="11017" max="11017" width="9.5546875" style="224" customWidth="1"/>
    <col min="11018" max="11018" width="9.33203125" style="224" customWidth="1"/>
    <col min="11019" max="11019" width="11.44140625" style="224" bestFit="1" customWidth="1"/>
    <col min="11020" max="11264" width="9.109375" style="224"/>
    <col min="11265" max="11265" width="14.109375" style="224" customWidth="1"/>
    <col min="11266" max="11266" width="15.5546875" style="224" bestFit="1" customWidth="1"/>
    <col min="11267" max="11267" width="18.44140625" style="224" bestFit="1" customWidth="1"/>
    <col min="11268" max="11268" width="9" style="224" bestFit="1" customWidth="1"/>
    <col min="11269" max="11269" width="12.6640625" style="224" bestFit="1" customWidth="1"/>
    <col min="11270" max="11270" width="10.44140625" style="224" customWidth="1"/>
    <col min="11271" max="11272" width="0" style="224" hidden="1" customWidth="1"/>
    <col min="11273" max="11273" width="9.5546875" style="224" customWidth="1"/>
    <col min="11274" max="11274" width="9.33203125" style="224" customWidth="1"/>
    <col min="11275" max="11275" width="11.44140625" style="224" bestFit="1" customWidth="1"/>
    <col min="11276" max="11520" width="9.109375" style="224"/>
    <col min="11521" max="11521" width="14.109375" style="224" customWidth="1"/>
    <col min="11522" max="11522" width="15.5546875" style="224" bestFit="1" customWidth="1"/>
    <col min="11523" max="11523" width="18.44140625" style="224" bestFit="1" customWidth="1"/>
    <col min="11524" max="11524" width="9" style="224" bestFit="1" customWidth="1"/>
    <col min="11525" max="11525" width="12.6640625" style="224" bestFit="1" customWidth="1"/>
    <col min="11526" max="11526" width="10.44140625" style="224" customWidth="1"/>
    <col min="11527" max="11528" width="0" style="224" hidden="1" customWidth="1"/>
    <col min="11529" max="11529" width="9.5546875" style="224" customWidth="1"/>
    <col min="11530" max="11530" width="9.33203125" style="224" customWidth="1"/>
    <col min="11531" max="11531" width="11.44140625" style="224" bestFit="1" customWidth="1"/>
    <col min="11532" max="11776" width="9.109375" style="224"/>
    <col min="11777" max="11777" width="14.109375" style="224" customWidth="1"/>
    <col min="11778" max="11778" width="15.5546875" style="224" bestFit="1" customWidth="1"/>
    <col min="11779" max="11779" width="18.44140625" style="224" bestFit="1" customWidth="1"/>
    <col min="11780" max="11780" width="9" style="224" bestFit="1" customWidth="1"/>
    <col min="11781" max="11781" width="12.6640625" style="224" bestFit="1" customWidth="1"/>
    <col min="11782" max="11782" width="10.44140625" style="224" customWidth="1"/>
    <col min="11783" max="11784" width="0" style="224" hidden="1" customWidth="1"/>
    <col min="11785" max="11785" width="9.5546875" style="224" customWidth="1"/>
    <col min="11786" max="11786" width="9.33203125" style="224" customWidth="1"/>
    <col min="11787" max="11787" width="11.44140625" style="224" bestFit="1" customWidth="1"/>
    <col min="11788" max="12032" width="9.109375" style="224"/>
    <col min="12033" max="12033" width="14.109375" style="224" customWidth="1"/>
    <col min="12034" max="12034" width="15.5546875" style="224" bestFit="1" customWidth="1"/>
    <col min="12035" max="12035" width="18.44140625" style="224" bestFit="1" customWidth="1"/>
    <col min="12036" max="12036" width="9" style="224" bestFit="1" customWidth="1"/>
    <col min="12037" max="12037" width="12.6640625" style="224" bestFit="1" customWidth="1"/>
    <col min="12038" max="12038" width="10.44140625" style="224" customWidth="1"/>
    <col min="12039" max="12040" width="0" style="224" hidden="1" customWidth="1"/>
    <col min="12041" max="12041" width="9.5546875" style="224" customWidth="1"/>
    <col min="12042" max="12042" width="9.33203125" style="224" customWidth="1"/>
    <col min="12043" max="12043" width="11.44140625" style="224" bestFit="1" customWidth="1"/>
    <col min="12044" max="12288" width="9.109375" style="224"/>
    <col min="12289" max="12289" width="14.109375" style="224" customWidth="1"/>
    <col min="12290" max="12290" width="15.5546875" style="224" bestFit="1" customWidth="1"/>
    <col min="12291" max="12291" width="18.44140625" style="224" bestFit="1" customWidth="1"/>
    <col min="12292" max="12292" width="9" style="224" bestFit="1" customWidth="1"/>
    <col min="12293" max="12293" width="12.6640625" style="224" bestFit="1" customWidth="1"/>
    <col min="12294" max="12294" width="10.44140625" style="224" customWidth="1"/>
    <col min="12295" max="12296" width="0" style="224" hidden="1" customWidth="1"/>
    <col min="12297" max="12297" width="9.5546875" style="224" customWidth="1"/>
    <col min="12298" max="12298" width="9.33203125" style="224" customWidth="1"/>
    <col min="12299" max="12299" width="11.44140625" style="224" bestFit="1" customWidth="1"/>
    <col min="12300" max="12544" width="9.109375" style="224"/>
    <col min="12545" max="12545" width="14.109375" style="224" customWidth="1"/>
    <col min="12546" max="12546" width="15.5546875" style="224" bestFit="1" customWidth="1"/>
    <col min="12547" max="12547" width="18.44140625" style="224" bestFit="1" customWidth="1"/>
    <col min="12548" max="12548" width="9" style="224" bestFit="1" customWidth="1"/>
    <col min="12549" max="12549" width="12.6640625" style="224" bestFit="1" customWidth="1"/>
    <col min="12550" max="12550" width="10.44140625" style="224" customWidth="1"/>
    <col min="12551" max="12552" width="0" style="224" hidden="1" customWidth="1"/>
    <col min="12553" max="12553" width="9.5546875" style="224" customWidth="1"/>
    <col min="12554" max="12554" width="9.33203125" style="224" customWidth="1"/>
    <col min="12555" max="12555" width="11.44140625" style="224" bestFit="1" customWidth="1"/>
    <col min="12556" max="12800" width="9.109375" style="224"/>
    <col min="12801" max="12801" width="14.109375" style="224" customWidth="1"/>
    <col min="12802" max="12802" width="15.5546875" style="224" bestFit="1" customWidth="1"/>
    <col min="12803" max="12803" width="18.44140625" style="224" bestFit="1" customWidth="1"/>
    <col min="12804" max="12804" width="9" style="224" bestFit="1" customWidth="1"/>
    <col min="12805" max="12805" width="12.6640625" style="224" bestFit="1" customWidth="1"/>
    <col min="12806" max="12806" width="10.44140625" style="224" customWidth="1"/>
    <col min="12807" max="12808" width="0" style="224" hidden="1" customWidth="1"/>
    <col min="12809" max="12809" width="9.5546875" style="224" customWidth="1"/>
    <col min="12810" max="12810" width="9.33203125" style="224" customWidth="1"/>
    <col min="12811" max="12811" width="11.44140625" style="224" bestFit="1" customWidth="1"/>
    <col min="12812" max="13056" width="9.109375" style="224"/>
    <col min="13057" max="13057" width="14.109375" style="224" customWidth="1"/>
    <col min="13058" max="13058" width="15.5546875" style="224" bestFit="1" customWidth="1"/>
    <col min="13059" max="13059" width="18.44140625" style="224" bestFit="1" customWidth="1"/>
    <col min="13060" max="13060" width="9" style="224" bestFit="1" customWidth="1"/>
    <col min="13061" max="13061" width="12.6640625" style="224" bestFit="1" customWidth="1"/>
    <col min="13062" max="13062" width="10.44140625" style="224" customWidth="1"/>
    <col min="13063" max="13064" width="0" style="224" hidden="1" customWidth="1"/>
    <col min="13065" max="13065" width="9.5546875" style="224" customWidth="1"/>
    <col min="13066" max="13066" width="9.33203125" style="224" customWidth="1"/>
    <col min="13067" max="13067" width="11.44140625" style="224" bestFit="1" customWidth="1"/>
    <col min="13068" max="13312" width="9.109375" style="224"/>
    <col min="13313" max="13313" width="14.109375" style="224" customWidth="1"/>
    <col min="13314" max="13314" width="15.5546875" style="224" bestFit="1" customWidth="1"/>
    <col min="13315" max="13315" width="18.44140625" style="224" bestFit="1" customWidth="1"/>
    <col min="13316" max="13316" width="9" style="224" bestFit="1" customWidth="1"/>
    <col min="13317" max="13317" width="12.6640625" style="224" bestFit="1" customWidth="1"/>
    <col min="13318" max="13318" width="10.44140625" style="224" customWidth="1"/>
    <col min="13319" max="13320" width="0" style="224" hidden="1" customWidth="1"/>
    <col min="13321" max="13321" width="9.5546875" style="224" customWidth="1"/>
    <col min="13322" max="13322" width="9.33203125" style="224" customWidth="1"/>
    <col min="13323" max="13323" width="11.44140625" style="224" bestFit="1" customWidth="1"/>
    <col min="13324" max="13568" width="9.109375" style="224"/>
    <col min="13569" max="13569" width="14.109375" style="224" customWidth="1"/>
    <col min="13570" max="13570" width="15.5546875" style="224" bestFit="1" customWidth="1"/>
    <col min="13571" max="13571" width="18.44140625" style="224" bestFit="1" customWidth="1"/>
    <col min="13572" max="13572" width="9" style="224" bestFit="1" customWidth="1"/>
    <col min="13573" max="13573" width="12.6640625" style="224" bestFit="1" customWidth="1"/>
    <col min="13574" max="13574" width="10.44140625" style="224" customWidth="1"/>
    <col min="13575" max="13576" width="0" style="224" hidden="1" customWidth="1"/>
    <col min="13577" max="13577" width="9.5546875" style="224" customWidth="1"/>
    <col min="13578" max="13578" width="9.33203125" style="224" customWidth="1"/>
    <col min="13579" max="13579" width="11.44140625" style="224" bestFit="1" customWidth="1"/>
    <col min="13580" max="13824" width="9.109375" style="224"/>
    <col min="13825" max="13825" width="14.109375" style="224" customWidth="1"/>
    <col min="13826" max="13826" width="15.5546875" style="224" bestFit="1" customWidth="1"/>
    <col min="13827" max="13827" width="18.44140625" style="224" bestFit="1" customWidth="1"/>
    <col min="13828" max="13828" width="9" style="224" bestFit="1" customWidth="1"/>
    <col min="13829" max="13829" width="12.6640625" style="224" bestFit="1" customWidth="1"/>
    <col min="13830" max="13830" width="10.44140625" style="224" customWidth="1"/>
    <col min="13831" max="13832" width="0" style="224" hidden="1" customWidth="1"/>
    <col min="13833" max="13833" width="9.5546875" style="224" customWidth="1"/>
    <col min="13834" max="13834" width="9.33203125" style="224" customWidth="1"/>
    <col min="13835" max="13835" width="11.44140625" style="224" bestFit="1" customWidth="1"/>
    <col min="13836" max="14080" width="9.109375" style="224"/>
    <col min="14081" max="14081" width="14.109375" style="224" customWidth="1"/>
    <col min="14082" max="14082" width="15.5546875" style="224" bestFit="1" customWidth="1"/>
    <col min="14083" max="14083" width="18.44140625" style="224" bestFit="1" customWidth="1"/>
    <col min="14084" max="14084" width="9" style="224" bestFit="1" customWidth="1"/>
    <col min="14085" max="14085" width="12.6640625" style="224" bestFit="1" customWidth="1"/>
    <col min="14086" max="14086" width="10.44140625" style="224" customWidth="1"/>
    <col min="14087" max="14088" width="0" style="224" hidden="1" customWidth="1"/>
    <col min="14089" max="14089" width="9.5546875" style="224" customWidth="1"/>
    <col min="14090" max="14090" width="9.33203125" style="224" customWidth="1"/>
    <col min="14091" max="14091" width="11.44140625" style="224" bestFit="1" customWidth="1"/>
    <col min="14092" max="14336" width="9.109375" style="224"/>
    <col min="14337" max="14337" width="14.109375" style="224" customWidth="1"/>
    <col min="14338" max="14338" width="15.5546875" style="224" bestFit="1" customWidth="1"/>
    <col min="14339" max="14339" width="18.44140625" style="224" bestFit="1" customWidth="1"/>
    <col min="14340" max="14340" width="9" style="224" bestFit="1" customWidth="1"/>
    <col min="14341" max="14341" width="12.6640625" style="224" bestFit="1" customWidth="1"/>
    <col min="14342" max="14342" width="10.44140625" style="224" customWidth="1"/>
    <col min="14343" max="14344" width="0" style="224" hidden="1" customWidth="1"/>
    <col min="14345" max="14345" width="9.5546875" style="224" customWidth="1"/>
    <col min="14346" max="14346" width="9.33203125" style="224" customWidth="1"/>
    <col min="14347" max="14347" width="11.44140625" style="224" bestFit="1" customWidth="1"/>
    <col min="14348" max="14592" width="9.109375" style="224"/>
    <col min="14593" max="14593" width="14.109375" style="224" customWidth="1"/>
    <col min="14594" max="14594" width="15.5546875" style="224" bestFit="1" customWidth="1"/>
    <col min="14595" max="14595" width="18.44140625" style="224" bestFit="1" customWidth="1"/>
    <col min="14596" max="14596" width="9" style="224" bestFit="1" customWidth="1"/>
    <col min="14597" max="14597" width="12.6640625" style="224" bestFit="1" customWidth="1"/>
    <col min="14598" max="14598" width="10.44140625" style="224" customWidth="1"/>
    <col min="14599" max="14600" width="0" style="224" hidden="1" customWidth="1"/>
    <col min="14601" max="14601" width="9.5546875" style="224" customWidth="1"/>
    <col min="14602" max="14602" width="9.33203125" style="224" customWidth="1"/>
    <col min="14603" max="14603" width="11.44140625" style="224" bestFit="1" customWidth="1"/>
    <col min="14604" max="14848" width="9.109375" style="224"/>
    <col min="14849" max="14849" width="14.109375" style="224" customWidth="1"/>
    <col min="14850" max="14850" width="15.5546875" style="224" bestFit="1" customWidth="1"/>
    <col min="14851" max="14851" width="18.44140625" style="224" bestFit="1" customWidth="1"/>
    <col min="14852" max="14852" width="9" style="224" bestFit="1" customWidth="1"/>
    <col min="14853" max="14853" width="12.6640625" style="224" bestFit="1" customWidth="1"/>
    <col min="14854" max="14854" width="10.44140625" style="224" customWidth="1"/>
    <col min="14855" max="14856" width="0" style="224" hidden="1" customWidth="1"/>
    <col min="14857" max="14857" width="9.5546875" style="224" customWidth="1"/>
    <col min="14858" max="14858" width="9.33203125" style="224" customWidth="1"/>
    <col min="14859" max="14859" width="11.44140625" style="224" bestFit="1" customWidth="1"/>
    <col min="14860" max="15104" width="9.109375" style="224"/>
    <col min="15105" max="15105" width="14.109375" style="224" customWidth="1"/>
    <col min="15106" max="15106" width="15.5546875" style="224" bestFit="1" customWidth="1"/>
    <col min="15107" max="15107" width="18.44140625" style="224" bestFit="1" customWidth="1"/>
    <col min="15108" max="15108" width="9" style="224" bestFit="1" customWidth="1"/>
    <col min="15109" max="15109" width="12.6640625" style="224" bestFit="1" customWidth="1"/>
    <col min="15110" max="15110" width="10.44140625" style="224" customWidth="1"/>
    <col min="15111" max="15112" width="0" style="224" hidden="1" customWidth="1"/>
    <col min="15113" max="15113" width="9.5546875" style="224" customWidth="1"/>
    <col min="15114" max="15114" width="9.33203125" style="224" customWidth="1"/>
    <col min="15115" max="15115" width="11.44140625" style="224" bestFit="1" customWidth="1"/>
    <col min="15116" max="15360" width="9.109375" style="224"/>
    <col min="15361" max="15361" width="14.109375" style="224" customWidth="1"/>
    <col min="15362" max="15362" width="15.5546875" style="224" bestFit="1" customWidth="1"/>
    <col min="15363" max="15363" width="18.44140625" style="224" bestFit="1" customWidth="1"/>
    <col min="15364" max="15364" width="9" style="224" bestFit="1" customWidth="1"/>
    <col min="15365" max="15365" width="12.6640625" style="224" bestFit="1" customWidth="1"/>
    <col min="15366" max="15366" width="10.44140625" style="224" customWidth="1"/>
    <col min="15367" max="15368" width="0" style="224" hidden="1" customWidth="1"/>
    <col min="15369" max="15369" width="9.5546875" style="224" customWidth="1"/>
    <col min="15370" max="15370" width="9.33203125" style="224" customWidth="1"/>
    <col min="15371" max="15371" width="11.44140625" style="224" bestFit="1" customWidth="1"/>
    <col min="15372" max="15616" width="9.109375" style="224"/>
    <col min="15617" max="15617" width="14.109375" style="224" customWidth="1"/>
    <col min="15618" max="15618" width="15.5546875" style="224" bestFit="1" customWidth="1"/>
    <col min="15619" max="15619" width="18.44140625" style="224" bestFit="1" customWidth="1"/>
    <col min="15620" max="15620" width="9" style="224" bestFit="1" customWidth="1"/>
    <col min="15621" max="15621" width="12.6640625" style="224" bestFit="1" customWidth="1"/>
    <col min="15622" max="15622" width="10.44140625" style="224" customWidth="1"/>
    <col min="15623" max="15624" width="0" style="224" hidden="1" customWidth="1"/>
    <col min="15625" max="15625" width="9.5546875" style="224" customWidth="1"/>
    <col min="15626" max="15626" width="9.33203125" style="224" customWidth="1"/>
    <col min="15627" max="15627" width="11.44140625" style="224" bestFit="1" customWidth="1"/>
    <col min="15628" max="15872" width="9.109375" style="224"/>
    <col min="15873" max="15873" width="14.109375" style="224" customWidth="1"/>
    <col min="15874" max="15874" width="15.5546875" style="224" bestFit="1" customWidth="1"/>
    <col min="15875" max="15875" width="18.44140625" style="224" bestFit="1" customWidth="1"/>
    <col min="15876" max="15876" width="9" style="224" bestFit="1" customWidth="1"/>
    <col min="15877" max="15877" width="12.6640625" style="224" bestFit="1" customWidth="1"/>
    <col min="15878" max="15878" width="10.44140625" style="224" customWidth="1"/>
    <col min="15879" max="15880" width="0" style="224" hidden="1" customWidth="1"/>
    <col min="15881" max="15881" width="9.5546875" style="224" customWidth="1"/>
    <col min="15882" max="15882" width="9.33203125" style="224" customWidth="1"/>
    <col min="15883" max="15883" width="11.44140625" style="224" bestFit="1" customWidth="1"/>
    <col min="15884" max="16128" width="9.109375" style="224"/>
    <col min="16129" max="16129" width="14.109375" style="224" customWidth="1"/>
    <col min="16130" max="16130" width="15.5546875" style="224" bestFit="1" customWidth="1"/>
    <col min="16131" max="16131" width="18.44140625" style="224" bestFit="1" customWidth="1"/>
    <col min="16132" max="16132" width="9" style="224" bestFit="1" customWidth="1"/>
    <col min="16133" max="16133" width="12.6640625" style="224" bestFit="1" customWidth="1"/>
    <col min="16134" max="16134" width="10.44140625" style="224" customWidth="1"/>
    <col min="16135" max="16136" width="0" style="224" hidden="1" customWidth="1"/>
    <col min="16137" max="16137" width="9.5546875" style="224" customWidth="1"/>
    <col min="16138" max="16138" width="9.33203125" style="224" customWidth="1"/>
    <col min="16139" max="16139" width="11.44140625" style="224" bestFit="1" customWidth="1"/>
    <col min="16140" max="16384" width="9.109375" style="224"/>
  </cols>
  <sheetData>
    <row r="1" spans="1:11" x14ac:dyDescent="0.25">
      <c r="A1" s="223" t="s">
        <v>117</v>
      </c>
      <c r="E1" s="225"/>
      <c r="F1" s="226"/>
      <c r="G1" s="227"/>
      <c r="H1" s="228"/>
    </row>
    <row r="2" spans="1:11" ht="15.6" x14ac:dyDescent="0.3">
      <c r="A2" s="223" t="s">
        <v>118</v>
      </c>
      <c r="B2" s="227"/>
      <c r="C2" s="227"/>
      <c r="D2" s="227"/>
      <c r="E2" s="229"/>
      <c r="F2" s="230"/>
      <c r="G2" s="227" t="s">
        <v>119</v>
      </c>
    </row>
    <row r="3" spans="1:11" ht="15.6" x14ac:dyDescent="0.3">
      <c r="A3" s="223"/>
      <c r="B3" s="227"/>
      <c r="C3" s="227"/>
      <c r="D3" s="227"/>
      <c r="E3" s="229"/>
      <c r="F3" s="230"/>
      <c r="G3" s="227"/>
    </row>
    <row r="4" spans="1:11" ht="15.6" x14ac:dyDescent="0.3">
      <c r="A4" s="223" t="s">
        <v>179</v>
      </c>
      <c r="B4" s="227"/>
      <c r="C4" s="227"/>
      <c r="D4" s="227"/>
      <c r="E4" s="229"/>
      <c r="F4" s="230"/>
      <c r="G4" s="227"/>
    </row>
    <row r="5" spans="1:11" x14ac:dyDescent="0.25">
      <c r="B5" s="231"/>
      <c r="C5" s="231"/>
      <c r="D5" s="231"/>
      <c r="E5" s="231"/>
      <c r="G5" s="227" t="s">
        <v>120</v>
      </c>
    </row>
    <row r="6" spans="1:11" x14ac:dyDescent="0.25">
      <c r="A6" s="231"/>
      <c r="B6" s="231" t="s">
        <v>121</v>
      </c>
      <c r="C6" s="231" t="s">
        <v>122</v>
      </c>
      <c r="D6" s="231" t="s">
        <v>44</v>
      </c>
      <c r="E6" s="232" t="s">
        <v>123</v>
      </c>
      <c r="F6" s="231" t="s">
        <v>124</v>
      </c>
      <c r="H6" s="231" t="s">
        <v>125</v>
      </c>
      <c r="I6" s="231" t="s">
        <v>124</v>
      </c>
      <c r="J6" s="231" t="s">
        <v>126</v>
      </c>
      <c r="K6" s="233">
        <v>100000</v>
      </c>
    </row>
    <row r="7" spans="1:11" x14ac:dyDescent="0.25">
      <c r="A7" s="234" t="s">
        <v>52</v>
      </c>
      <c r="B7" s="231" t="s">
        <v>127</v>
      </c>
      <c r="C7" s="231" t="s">
        <v>128</v>
      </c>
      <c r="D7" s="231" t="s">
        <v>129</v>
      </c>
      <c r="E7" s="232" t="s">
        <v>130</v>
      </c>
      <c r="F7" s="231" t="s">
        <v>131</v>
      </c>
      <c r="G7" s="235" t="s">
        <v>132</v>
      </c>
      <c r="H7" s="236" t="s">
        <v>133</v>
      </c>
      <c r="I7" s="224" t="s">
        <v>134</v>
      </c>
      <c r="J7" s="231" t="s">
        <v>27</v>
      </c>
      <c r="K7" s="231" t="s">
        <v>135</v>
      </c>
    </row>
    <row r="9" spans="1:11" x14ac:dyDescent="0.25">
      <c r="A9" s="224" t="s">
        <v>136</v>
      </c>
      <c r="B9" s="237">
        <v>8064</v>
      </c>
      <c r="C9" s="238">
        <v>748</v>
      </c>
      <c r="D9" s="238">
        <f t="shared" ref="D9:D36" si="0">B9+C9</f>
        <v>8812</v>
      </c>
      <c r="E9" s="239">
        <v>49361</v>
      </c>
      <c r="F9" s="240">
        <f t="shared" ref="F9:F36" si="1">D9/E9</f>
        <v>0.17852150483174975</v>
      </c>
      <c r="G9" s="230" t="str">
        <f>IF(H9=1,(((0.08326+F9)-0.202)*0.825)+0.0588," ")</f>
        <v xml:space="preserve"> </v>
      </c>
      <c r="H9" s="224" t="str">
        <f>IF(F9&gt;$F$41,1," ")</f>
        <v xml:space="preserve"> </v>
      </c>
    </row>
    <row r="10" spans="1:11" x14ac:dyDescent="0.25">
      <c r="A10" s="223" t="s">
        <v>137</v>
      </c>
      <c r="B10" s="237">
        <v>24584</v>
      </c>
      <c r="C10" s="238">
        <v>2036</v>
      </c>
      <c r="D10" s="238">
        <f t="shared" si="0"/>
        <v>26620</v>
      </c>
      <c r="E10" s="239">
        <v>100830</v>
      </c>
      <c r="F10" s="240">
        <f t="shared" si="1"/>
        <v>0.26400872756124172</v>
      </c>
      <c r="G10" s="241">
        <f>IF(H10=1,(((0.05685+F10)-0.202)*0.825)+0.0588," ")</f>
        <v>0.15685845023802442</v>
      </c>
      <c r="H10" s="224">
        <f>IF(F10&gt;$F$41,1," ")</f>
        <v>1</v>
      </c>
      <c r="I10" s="242">
        <f>F10-$F$40</f>
        <v>7.749004101420906E-2</v>
      </c>
      <c r="J10" s="243">
        <f>I10/$I$39</f>
        <v>0.23043917359783789</v>
      </c>
      <c r="K10" s="244">
        <f>J10*$K$6</f>
        <v>23043.917359783787</v>
      </c>
    </row>
    <row r="11" spans="1:11" x14ac:dyDescent="0.25">
      <c r="A11" s="224" t="s">
        <v>138</v>
      </c>
      <c r="B11" s="237">
        <v>5689</v>
      </c>
      <c r="C11" s="238">
        <v>420</v>
      </c>
      <c r="D11" s="238">
        <f t="shared" si="0"/>
        <v>6109</v>
      </c>
      <c r="E11" s="239">
        <v>29383</v>
      </c>
      <c r="F11" s="240">
        <f t="shared" si="1"/>
        <v>0.2079093353299527</v>
      </c>
      <c r="G11" s="241" t="str">
        <f>IF(H11=1,(((0.08326+F11)-0.202)*0.825)+0.0588," ")</f>
        <v xml:space="preserve"> </v>
      </c>
      <c r="H11" s="224" t="str">
        <f>IF(F11&gt;$F$41,1," ")</f>
        <v xml:space="preserve"> </v>
      </c>
      <c r="I11" s="242"/>
    </row>
    <row r="12" spans="1:11" x14ac:dyDescent="0.25">
      <c r="A12" s="224" t="s">
        <v>139</v>
      </c>
      <c r="B12" s="237">
        <v>17138</v>
      </c>
      <c r="C12" s="238">
        <v>1217</v>
      </c>
      <c r="D12" s="238">
        <f>B12+C12</f>
        <v>18355</v>
      </c>
      <c r="E12" s="239">
        <v>76771</v>
      </c>
      <c r="F12" s="240">
        <f>D12/E12</f>
        <v>0.23908767633611649</v>
      </c>
      <c r="G12" s="241"/>
      <c r="I12" s="242"/>
    </row>
    <row r="13" spans="1:11" x14ac:dyDescent="0.25">
      <c r="A13" s="224" t="s">
        <v>140</v>
      </c>
      <c r="B13" s="237">
        <v>14079</v>
      </c>
      <c r="C13" s="238">
        <v>1119</v>
      </c>
      <c r="D13" s="238">
        <f t="shared" si="0"/>
        <v>15198</v>
      </c>
      <c r="E13" s="239">
        <v>92010</v>
      </c>
      <c r="F13" s="240">
        <f t="shared" si="1"/>
        <v>0.16517769807629606</v>
      </c>
      <c r="G13" s="241" t="str">
        <f>IF(H13=1,(((0.08326+F13)-0.202)*0.825)+0.0588," ")</f>
        <v xml:space="preserve"> </v>
      </c>
      <c r="H13" s="224" t="str">
        <f t="shared" ref="H13:H36" si="2">IF(F13&gt;$F$41,1," ")</f>
        <v xml:space="preserve"> </v>
      </c>
      <c r="I13" s="242"/>
    </row>
    <row r="14" spans="1:11" x14ac:dyDescent="0.25">
      <c r="A14" s="223" t="s">
        <v>141</v>
      </c>
      <c r="B14" s="237">
        <v>4803</v>
      </c>
      <c r="C14" s="238">
        <v>328</v>
      </c>
      <c r="D14" s="238">
        <f t="shared" si="0"/>
        <v>5131</v>
      </c>
      <c r="E14" s="239">
        <v>18484</v>
      </c>
      <c r="F14" s="240">
        <f t="shared" si="1"/>
        <v>0.27759143042631468</v>
      </c>
      <c r="G14" s="241">
        <f>IF(H14=1,(((0.08326+F14)-0.202)*0.825)+0.0588," ")</f>
        <v>0.18985243010170957</v>
      </c>
      <c r="H14" s="224">
        <f t="shared" si="2"/>
        <v>1</v>
      </c>
      <c r="I14" s="242">
        <f>F14-$F$40</f>
        <v>9.107274387928202E-2</v>
      </c>
      <c r="J14" s="243">
        <f>I14/$I$39</f>
        <v>0.27083129086202234</v>
      </c>
      <c r="K14" s="244">
        <f>J14*$K$6</f>
        <v>27083.129086202236</v>
      </c>
    </row>
    <row r="15" spans="1:11" x14ac:dyDescent="0.25">
      <c r="A15" s="223" t="s">
        <v>142</v>
      </c>
      <c r="B15" s="237">
        <v>10324</v>
      </c>
      <c r="C15" s="238">
        <v>373</v>
      </c>
      <c r="D15" s="238">
        <f t="shared" si="0"/>
        <v>10697</v>
      </c>
      <c r="E15" s="239">
        <v>40295</v>
      </c>
      <c r="F15" s="240">
        <f t="shared" si="1"/>
        <v>0.26546717955081278</v>
      </c>
      <c r="G15" s="241">
        <f>IF(H15=1,(((0.04362+F15)-0.202)*0.825)+0.0588," ")</f>
        <v>0.14714692312942051</v>
      </c>
      <c r="H15" s="224">
        <f t="shared" si="2"/>
        <v>1</v>
      </c>
      <c r="I15" s="242">
        <f>F15-$F$40</f>
        <v>7.8948493003780124E-2</v>
      </c>
      <c r="J15" s="243">
        <f>I15/$I$39</f>
        <v>0.23477630475443712</v>
      </c>
      <c r="K15" s="244">
        <f>J15*$K$6</f>
        <v>23477.630475443711</v>
      </c>
    </row>
    <row r="16" spans="1:11" x14ac:dyDescent="0.25">
      <c r="A16" s="224" t="s">
        <v>143</v>
      </c>
      <c r="B16" s="237">
        <v>1859</v>
      </c>
      <c r="C16" s="238">
        <v>85</v>
      </c>
      <c r="D16" s="238">
        <f t="shared" si="0"/>
        <v>1944</v>
      </c>
      <c r="E16" s="239">
        <v>51919</v>
      </c>
      <c r="F16" s="240">
        <f t="shared" si="1"/>
        <v>3.7442939964174964E-2</v>
      </c>
      <c r="G16" s="241" t="str">
        <f t="shared" ref="G16:G28" si="3">IF(H16=1,(((0.08326+F16)-0.202)*0.825)+0.0588," ")</f>
        <v xml:space="preserve"> </v>
      </c>
      <c r="H16" s="224" t="str">
        <f t="shared" si="2"/>
        <v xml:space="preserve"> </v>
      </c>
      <c r="I16" s="242"/>
    </row>
    <row r="17" spans="1:9" x14ac:dyDescent="0.25">
      <c r="A17" s="224" t="s">
        <v>144</v>
      </c>
      <c r="B17" s="237">
        <v>4474</v>
      </c>
      <c r="C17" s="238">
        <v>287</v>
      </c>
      <c r="D17" s="238">
        <f t="shared" si="0"/>
        <v>4761</v>
      </c>
      <c r="E17" s="239">
        <v>29321</v>
      </c>
      <c r="F17" s="240">
        <f t="shared" si="1"/>
        <v>0.1623750895262781</v>
      </c>
      <c r="G17" s="241" t="str">
        <f t="shared" si="3"/>
        <v xml:space="preserve"> </v>
      </c>
      <c r="H17" s="224" t="str">
        <f t="shared" si="2"/>
        <v xml:space="preserve"> </v>
      </c>
      <c r="I17" s="242"/>
    </row>
    <row r="18" spans="1:9" x14ac:dyDescent="0.25">
      <c r="A18" s="224" t="s">
        <v>145</v>
      </c>
      <c r="B18" s="237">
        <v>48913</v>
      </c>
      <c r="C18" s="238">
        <v>1994</v>
      </c>
      <c r="D18" s="238">
        <f t="shared" si="0"/>
        <v>50907</v>
      </c>
      <c r="E18" s="239">
        <v>233332</v>
      </c>
      <c r="F18" s="240">
        <f t="shared" si="1"/>
        <v>0.21817410385202202</v>
      </c>
      <c r="G18" s="241" t="str">
        <f t="shared" si="3"/>
        <v xml:space="preserve"> </v>
      </c>
      <c r="H18" s="224" t="str">
        <f t="shared" si="2"/>
        <v xml:space="preserve"> </v>
      </c>
      <c r="I18" s="242"/>
    </row>
    <row r="19" spans="1:9" x14ac:dyDescent="0.25">
      <c r="A19" s="224" t="s">
        <v>146</v>
      </c>
      <c r="B19" s="237">
        <v>3937</v>
      </c>
      <c r="C19" s="238">
        <v>235</v>
      </c>
      <c r="D19" s="238">
        <f t="shared" si="0"/>
        <v>4172</v>
      </c>
      <c r="E19" s="239">
        <v>25249</v>
      </c>
      <c r="F19" s="240">
        <f t="shared" si="1"/>
        <v>0.16523426670363184</v>
      </c>
      <c r="G19" s="241" t="str">
        <f t="shared" si="3"/>
        <v xml:space="preserve"> </v>
      </c>
      <c r="H19" s="224" t="str">
        <f t="shared" si="2"/>
        <v xml:space="preserve"> </v>
      </c>
      <c r="I19" s="242"/>
    </row>
    <row r="20" spans="1:9" x14ac:dyDescent="0.25">
      <c r="A20" s="224" t="s">
        <v>147</v>
      </c>
      <c r="B20" s="237">
        <v>2426</v>
      </c>
      <c r="C20" s="238">
        <v>478</v>
      </c>
      <c r="D20" s="238">
        <f t="shared" si="0"/>
        <v>2904</v>
      </c>
      <c r="E20" s="239">
        <v>16189</v>
      </c>
      <c r="F20" s="240">
        <f t="shared" si="1"/>
        <v>0.17938106121440484</v>
      </c>
      <c r="G20" s="241" t="str">
        <f t="shared" si="3"/>
        <v xml:space="preserve"> </v>
      </c>
      <c r="H20" s="224" t="str">
        <f t="shared" si="2"/>
        <v xml:space="preserve"> </v>
      </c>
      <c r="I20" s="242"/>
    </row>
    <row r="21" spans="1:9" x14ac:dyDescent="0.25">
      <c r="A21" s="224" t="s">
        <v>148</v>
      </c>
      <c r="B21" s="237">
        <v>12799</v>
      </c>
      <c r="C21" s="238">
        <v>931</v>
      </c>
      <c r="D21" s="238">
        <f t="shared" si="0"/>
        <v>13730</v>
      </c>
      <c r="E21" s="239">
        <v>70558</v>
      </c>
      <c r="F21" s="240">
        <f t="shared" si="1"/>
        <v>0.19459168343773917</v>
      </c>
      <c r="G21" s="241" t="str">
        <f t="shared" si="3"/>
        <v xml:space="preserve"> </v>
      </c>
      <c r="H21" s="224" t="str">
        <f t="shared" si="2"/>
        <v xml:space="preserve"> </v>
      </c>
      <c r="I21" s="242"/>
    </row>
    <row r="22" spans="1:9" x14ac:dyDescent="0.25">
      <c r="A22" s="224" t="s">
        <v>149</v>
      </c>
      <c r="B22" s="237">
        <v>8643</v>
      </c>
      <c r="C22" s="238">
        <v>840</v>
      </c>
      <c r="D22" s="238">
        <f t="shared" si="0"/>
        <v>9483</v>
      </c>
      <c r="E22" s="239">
        <v>45545</v>
      </c>
      <c r="F22" s="240">
        <f t="shared" si="1"/>
        <v>0.20821165879899001</v>
      </c>
      <c r="G22" s="241" t="str">
        <f t="shared" si="3"/>
        <v xml:space="preserve"> </v>
      </c>
      <c r="H22" s="224" t="str">
        <f t="shared" si="2"/>
        <v xml:space="preserve"> </v>
      </c>
      <c r="I22" s="242"/>
    </row>
    <row r="23" spans="1:9" x14ac:dyDescent="0.25">
      <c r="A23" s="224" t="s">
        <v>150</v>
      </c>
      <c r="B23" s="237">
        <v>7636</v>
      </c>
      <c r="C23" s="238">
        <v>536</v>
      </c>
      <c r="D23" s="238">
        <f t="shared" si="0"/>
        <v>8172</v>
      </c>
      <c r="E23" s="239">
        <v>42530</v>
      </c>
      <c r="F23" s="240">
        <f t="shared" si="1"/>
        <v>0.1921467199623795</v>
      </c>
      <c r="G23" s="241" t="str">
        <f t="shared" si="3"/>
        <v xml:space="preserve"> </v>
      </c>
      <c r="H23" s="224" t="str">
        <f t="shared" si="2"/>
        <v xml:space="preserve"> </v>
      </c>
      <c r="I23" s="242"/>
    </row>
    <row r="24" spans="1:9" x14ac:dyDescent="0.25">
      <c r="A24" s="224" t="s">
        <v>151</v>
      </c>
      <c r="B24" s="237">
        <v>8618</v>
      </c>
      <c r="C24" s="238">
        <v>479</v>
      </c>
      <c r="D24" s="238">
        <f t="shared" si="0"/>
        <v>9097</v>
      </c>
      <c r="E24" s="239">
        <v>59473</v>
      </c>
      <c r="F24" s="240">
        <f t="shared" si="1"/>
        <v>0.15296016679837909</v>
      </c>
      <c r="G24" s="241" t="str">
        <f t="shared" si="3"/>
        <v xml:space="preserve"> </v>
      </c>
      <c r="H24" s="224" t="str">
        <f t="shared" si="2"/>
        <v xml:space="preserve"> </v>
      </c>
      <c r="I24" s="242"/>
    </row>
    <row r="25" spans="1:9" x14ac:dyDescent="0.25">
      <c r="A25" s="224" t="s">
        <v>152</v>
      </c>
      <c r="B25" s="237">
        <v>813</v>
      </c>
      <c r="C25" s="238">
        <v>434</v>
      </c>
      <c r="D25" s="238">
        <f t="shared" si="0"/>
        <v>1247</v>
      </c>
      <c r="E25" s="239">
        <v>14756</v>
      </c>
      <c r="F25" s="240">
        <f t="shared" si="1"/>
        <v>8.4507996747085937E-2</v>
      </c>
      <c r="G25" s="241" t="str">
        <f t="shared" si="3"/>
        <v xml:space="preserve"> </v>
      </c>
      <c r="H25" s="224" t="str">
        <f t="shared" si="2"/>
        <v xml:space="preserve"> </v>
      </c>
      <c r="I25" s="242"/>
    </row>
    <row r="26" spans="1:9" x14ac:dyDescent="0.25">
      <c r="A26" s="224" t="s">
        <v>153</v>
      </c>
      <c r="B26" s="237">
        <v>811</v>
      </c>
      <c r="C26" s="238">
        <v>78</v>
      </c>
      <c r="D26" s="238">
        <f t="shared" si="0"/>
        <v>889</v>
      </c>
      <c r="E26" s="239">
        <v>8537</v>
      </c>
      <c r="F26" s="240">
        <f t="shared" si="1"/>
        <v>0.10413494201710202</v>
      </c>
      <c r="G26" s="241" t="str">
        <f t="shared" si="3"/>
        <v xml:space="preserve"> </v>
      </c>
      <c r="H26" s="224" t="str">
        <f t="shared" si="2"/>
        <v xml:space="preserve"> </v>
      </c>
      <c r="I26" s="242"/>
    </row>
    <row r="27" spans="1:9" x14ac:dyDescent="0.25">
      <c r="A27" s="224" t="s">
        <v>154</v>
      </c>
      <c r="B27" s="237">
        <v>10815</v>
      </c>
      <c r="C27" s="238">
        <v>794</v>
      </c>
      <c r="D27" s="238">
        <f t="shared" si="0"/>
        <v>11609</v>
      </c>
      <c r="E27" s="239">
        <v>67341</v>
      </c>
      <c r="F27" s="240">
        <f t="shared" si="1"/>
        <v>0.17239126238101601</v>
      </c>
      <c r="G27" s="241" t="str">
        <f t="shared" si="3"/>
        <v xml:space="preserve"> </v>
      </c>
      <c r="H27" s="224" t="str">
        <f t="shared" si="2"/>
        <v xml:space="preserve"> </v>
      </c>
      <c r="I27" s="242"/>
    </row>
    <row r="28" spans="1:9" x14ac:dyDescent="0.25">
      <c r="A28" s="224" t="s">
        <v>155</v>
      </c>
      <c r="B28" s="237">
        <v>1258</v>
      </c>
      <c r="C28" s="238">
        <v>104</v>
      </c>
      <c r="D28" s="238">
        <f t="shared" si="0"/>
        <v>1362</v>
      </c>
      <c r="E28" s="239">
        <v>13056</v>
      </c>
      <c r="F28" s="240">
        <f t="shared" si="1"/>
        <v>0.10431985294117647</v>
      </c>
      <c r="G28" s="241" t="str">
        <f t="shared" si="3"/>
        <v xml:space="preserve"> </v>
      </c>
      <c r="H28" s="224" t="str">
        <f t="shared" si="2"/>
        <v xml:space="preserve"> </v>
      </c>
      <c r="I28" s="242"/>
    </row>
    <row r="29" spans="1:9" x14ac:dyDescent="0.25">
      <c r="A29" s="224" t="s">
        <v>156</v>
      </c>
      <c r="B29" s="237">
        <v>34288</v>
      </c>
      <c r="C29" s="238">
        <v>4956</v>
      </c>
      <c r="D29" s="238">
        <f t="shared" si="0"/>
        <v>39244</v>
      </c>
      <c r="E29" s="239">
        <v>157534</v>
      </c>
      <c r="F29" s="240">
        <f t="shared" si="1"/>
        <v>0.24911447687483337</v>
      </c>
      <c r="G29" s="241" t="str">
        <f>IF(H29=1,(((0.06036+F29)-0.202)*0.825)+0.0588," ")</f>
        <v xml:space="preserve"> </v>
      </c>
      <c r="H29" s="224" t="str">
        <f t="shared" si="2"/>
        <v xml:space="preserve"> </v>
      </c>
      <c r="I29" s="242"/>
    </row>
    <row r="30" spans="1:9" x14ac:dyDescent="0.25">
      <c r="A30" s="224" t="s">
        <v>157</v>
      </c>
      <c r="B30" s="237">
        <v>11865</v>
      </c>
      <c r="C30" s="238">
        <v>851</v>
      </c>
      <c r="D30" s="238">
        <f t="shared" si="0"/>
        <v>12716</v>
      </c>
      <c r="E30" s="239">
        <v>51556</v>
      </c>
      <c r="F30" s="240">
        <f t="shared" si="1"/>
        <v>0.24664442547909068</v>
      </c>
      <c r="G30" s="241" t="str">
        <f>IF(H30=1,(((0.0466+F30)-0.202)*0.825)+0.0588," ")</f>
        <v xml:space="preserve"> </v>
      </c>
      <c r="H30" s="224" t="str">
        <f t="shared" si="2"/>
        <v xml:space="preserve"> </v>
      </c>
      <c r="I30" s="242"/>
    </row>
    <row r="31" spans="1:9" x14ac:dyDescent="0.25">
      <c r="A31" s="224" t="s">
        <v>158</v>
      </c>
      <c r="B31" s="237">
        <v>25194</v>
      </c>
      <c r="C31" s="238">
        <v>2082</v>
      </c>
      <c r="D31" s="238">
        <f t="shared" si="0"/>
        <v>27276</v>
      </c>
      <c r="E31" s="239">
        <v>122878</v>
      </c>
      <c r="F31" s="240">
        <f>D31/E31</f>
        <v>0.22197626914500562</v>
      </c>
      <c r="G31" s="241" t="str">
        <f>IF(H31=1,(((0.05746+F31)-0.202)*0.825)+0.0588," ")</f>
        <v xml:space="preserve"> </v>
      </c>
      <c r="H31" s="224" t="str">
        <f t="shared" si="2"/>
        <v xml:space="preserve"> </v>
      </c>
      <c r="I31" s="242"/>
    </row>
    <row r="32" spans="1:9" x14ac:dyDescent="0.25">
      <c r="A32" s="224" t="s">
        <v>159</v>
      </c>
      <c r="B32" s="237">
        <v>516</v>
      </c>
      <c r="C32" s="238">
        <v>86</v>
      </c>
      <c r="D32" s="238">
        <f t="shared" si="0"/>
        <v>602</v>
      </c>
      <c r="E32" s="239">
        <v>11914</v>
      </c>
      <c r="F32" s="240">
        <f t="shared" si="1"/>
        <v>5.0528789659224443E-2</v>
      </c>
      <c r="G32" s="241" t="str">
        <f>IF(H32=1,(((0.08326+F32)-0.202)*0.825)+0.0588," ")</f>
        <v xml:space="preserve"> </v>
      </c>
      <c r="H32" s="224" t="str">
        <f t="shared" si="2"/>
        <v xml:space="preserve"> </v>
      </c>
      <c r="I32" s="242"/>
    </row>
    <row r="33" spans="1:11" x14ac:dyDescent="0.25">
      <c r="A33" s="224" t="s">
        <v>160</v>
      </c>
      <c r="B33" s="237">
        <v>12977</v>
      </c>
      <c r="C33" s="238">
        <v>793</v>
      </c>
      <c r="D33" s="238">
        <f t="shared" si="0"/>
        <v>13770</v>
      </c>
      <c r="E33" s="239">
        <v>70911</v>
      </c>
      <c r="F33" s="240">
        <f t="shared" si="1"/>
        <v>0.19418707957862674</v>
      </c>
      <c r="G33" s="241" t="str">
        <f>IF(H33=1,(((0.08326+F33)-0.202)*0.825)+0.0588," ")</f>
        <v xml:space="preserve"> </v>
      </c>
      <c r="H33" s="224" t="str">
        <f t="shared" si="2"/>
        <v xml:space="preserve"> </v>
      </c>
      <c r="I33" s="242"/>
    </row>
    <row r="34" spans="1:11" x14ac:dyDescent="0.25">
      <c r="A34" s="224" t="s">
        <v>161</v>
      </c>
      <c r="B34" s="237">
        <v>12961</v>
      </c>
      <c r="C34" s="238">
        <v>977</v>
      </c>
      <c r="D34" s="238">
        <f t="shared" si="0"/>
        <v>13938</v>
      </c>
      <c r="E34" s="239">
        <v>57548</v>
      </c>
      <c r="F34" s="240">
        <f t="shared" si="1"/>
        <v>0.24219781747410857</v>
      </c>
      <c r="G34" s="241" t="str">
        <f>IF(H34=1,(((0.08326+F34)-0.202)*0.825)+0.0588," ")</f>
        <v xml:space="preserve"> </v>
      </c>
      <c r="H34" s="224" t="str">
        <f t="shared" si="2"/>
        <v xml:space="preserve"> </v>
      </c>
      <c r="I34" s="242"/>
    </row>
    <row r="35" spans="1:11" x14ac:dyDescent="0.25">
      <c r="A35" s="224" t="s">
        <v>162</v>
      </c>
      <c r="B35" s="237">
        <v>2936</v>
      </c>
      <c r="C35" s="238">
        <v>219</v>
      </c>
      <c r="D35" s="238">
        <f t="shared" si="0"/>
        <v>3155</v>
      </c>
      <c r="E35" s="239">
        <v>18673</v>
      </c>
      <c r="F35" s="240">
        <f t="shared" si="1"/>
        <v>0.16896053124832647</v>
      </c>
      <c r="G35" s="241" t="str">
        <f>IF(H35=1,(((0.08326+F35)-0.202)*0.825)+0.0588," ")</f>
        <v xml:space="preserve"> </v>
      </c>
      <c r="H35" s="224" t="str">
        <f t="shared" si="2"/>
        <v xml:space="preserve"> </v>
      </c>
      <c r="I35" s="242"/>
    </row>
    <row r="36" spans="1:11" x14ac:dyDescent="0.25">
      <c r="A36" s="223" t="s">
        <v>163</v>
      </c>
      <c r="B36" s="237">
        <f>88003+15485</f>
        <v>103488</v>
      </c>
      <c r="C36" s="238">
        <f>8741+1722</f>
        <v>10463</v>
      </c>
      <c r="D36" s="238">
        <f t="shared" si="0"/>
        <v>113951</v>
      </c>
      <c r="E36" s="239">
        <f>311547+102401</f>
        <v>413948</v>
      </c>
      <c r="F36" s="240">
        <f t="shared" si="1"/>
        <v>0.27527853740083297</v>
      </c>
      <c r="G36" s="241">
        <f>IF(H36=1,(((0.07471+F36)-0.202)*0.825)+0.0588," ")</f>
        <v>0.18089054335568719</v>
      </c>
      <c r="H36" s="224">
        <f t="shared" si="2"/>
        <v>1</v>
      </c>
      <c r="I36" s="242">
        <f>F36-$F$40</f>
        <v>8.8759850853800309E-2</v>
      </c>
      <c r="J36" s="243">
        <f>I36/$I$39</f>
        <v>0.26395323078570265</v>
      </c>
      <c r="K36" s="244">
        <f>J36*$K$6</f>
        <v>26395.323078570265</v>
      </c>
    </row>
    <row r="37" spans="1:11" x14ac:dyDescent="0.25">
      <c r="B37" s="237"/>
      <c r="C37" s="238"/>
      <c r="D37" s="238"/>
      <c r="I37" s="242"/>
    </row>
    <row r="38" spans="1:11" x14ac:dyDescent="0.25">
      <c r="B38" s="237"/>
      <c r="C38" s="238"/>
      <c r="D38" s="238"/>
      <c r="I38" s="242"/>
    </row>
    <row r="39" spans="1:11" s="223" customFormat="1" x14ac:dyDescent="0.25">
      <c r="B39" s="245">
        <f>SUM(B9:B38)</f>
        <v>401908</v>
      </c>
      <c r="C39" s="246">
        <f>SUM(C9:C38)</f>
        <v>33943</v>
      </c>
      <c r="D39" s="246">
        <f>SUM(D9:D38)</f>
        <v>435851</v>
      </c>
      <c r="E39" s="247">
        <f>SUM(E9:E38)</f>
        <v>1989902</v>
      </c>
      <c r="F39" s="248">
        <f>STDEV(F9:F36)</f>
        <v>6.4709406684301626E-2</v>
      </c>
      <c r="G39" s="226" t="s">
        <v>164</v>
      </c>
      <c r="I39" s="249">
        <f>SUM(I9:I38)</f>
        <v>0.33627112875107151</v>
      </c>
      <c r="J39" s="249">
        <f>SUM(J9:J38)</f>
        <v>1</v>
      </c>
      <c r="K39" s="250">
        <f>SUM(K9:K38)</f>
        <v>100000</v>
      </c>
    </row>
    <row r="40" spans="1:11" x14ac:dyDescent="0.25">
      <c r="B40" s="230"/>
      <c r="E40" s="251" t="s">
        <v>165</v>
      </c>
      <c r="F40" s="240">
        <f>AVERAGE(F9:F36)</f>
        <v>0.18651868654703266</v>
      </c>
      <c r="G40" s="230" t="s">
        <v>166</v>
      </c>
      <c r="K40" s="223" t="s">
        <v>181</v>
      </c>
    </row>
    <row r="41" spans="1:11" x14ac:dyDescent="0.25">
      <c r="E41" s="251" t="s">
        <v>167</v>
      </c>
      <c r="F41" s="248">
        <f>F39+F40</f>
        <v>0.25122809323133427</v>
      </c>
      <c r="G41" s="226" t="s">
        <v>168</v>
      </c>
    </row>
    <row r="44" spans="1:11" hidden="1" x14ac:dyDescent="0.25">
      <c r="A44" s="224" t="s">
        <v>169</v>
      </c>
    </row>
    <row r="45" spans="1:11" hidden="1" x14ac:dyDescent="0.25">
      <c r="A45" s="224" t="s">
        <v>170</v>
      </c>
    </row>
    <row r="46" spans="1:11" hidden="1" x14ac:dyDescent="0.25">
      <c r="A46" s="224" t="s">
        <v>171</v>
      </c>
    </row>
    <row r="47" spans="1:11" ht="7.5" hidden="1" customHeight="1" x14ac:dyDescent="0.25"/>
    <row r="48" spans="1:11" hidden="1" x14ac:dyDescent="0.25">
      <c r="A48" s="252" t="s">
        <v>172</v>
      </c>
      <c r="B48" s="224" t="s">
        <v>173</v>
      </c>
    </row>
    <row r="49" spans="1:2" hidden="1" x14ac:dyDescent="0.25">
      <c r="B49" s="224" t="s">
        <v>174</v>
      </c>
    </row>
    <row r="50" spans="1:2" hidden="1" x14ac:dyDescent="0.25">
      <c r="B50" s="224" t="s">
        <v>175</v>
      </c>
    </row>
    <row r="51" spans="1:2" ht="7.5" hidden="1" customHeight="1" x14ac:dyDescent="0.25"/>
    <row r="52" spans="1:2" hidden="1" x14ac:dyDescent="0.25">
      <c r="A52" s="252" t="s">
        <v>172</v>
      </c>
      <c r="B52" s="224" t="s">
        <v>176</v>
      </c>
    </row>
    <row r="53" spans="1:2" ht="7.5" hidden="1" customHeight="1" x14ac:dyDescent="0.25"/>
    <row r="54" spans="1:2" hidden="1" x14ac:dyDescent="0.25">
      <c r="A54" s="252" t="s">
        <v>172</v>
      </c>
      <c r="B54" s="224" t="s">
        <v>177</v>
      </c>
    </row>
    <row r="55" spans="1:2" hidden="1" x14ac:dyDescent="0.25">
      <c r="B55" s="224" t="s">
        <v>178</v>
      </c>
    </row>
  </sheetData>
  <conditionalFormatting sqref="F9:F36">
    <cfRule type="cellIs" dxfId="0" priority="1" stopIfTrue="1" operator="greaterThan">
      <formula>$F$41</formula>
    </cfRule>
  </conditionalFormatting>
  <pageMargins left="0.5" right="0.5" top="0.75" bottom="1" header="0.5" footer="0.5"/>
  <pageSetup scale="94" orientation="portrait" r:id="rId1"/>
  <headerFooter alignWithMargins="0">
    <oddFooter>&amp;L&amp;Z&amp;F...&amp;A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14_Impact</vt:lpstr>
      <vt:lpstr>15_Impact</vt:lpstr>
      <vt:lpstr>Low_Cost_Hospitals</vt:lpstr>
      <vt:lpstr>DSH 100,000</vt:lpstr>
      <vt:lpstr>'14_Impact'!Print_Area</vt:lpstr>
      <vt:lpstr>'15_Impact'!Print_Area</vt:lpstr>
      <vt:lpstr>'DSH 100,000'!Print_Area</vt:lpstr>
      <vt:lpstr>Low_Cost_Hospitals!Print_Area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Eccleston</dc:creator>
  <cp:lastModifiedBy>Hudson, James M</cp:lastModifiedBy>
  <cp:lastPrinted>2015-02-19T20:09:15Z</cp:lastPrinted>
  <dcterms:created xsi:type="dcterms:W3CDTF">2007-07-26T18:27:45Z</dcterms:created>
  <dcterms:modified xsi:type="dcterms:W3CDTF">2017-06-15T19:00:25Z</dcterms:modified>
</cp:coreProperties>
</file>