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edclaim\GME\SFY 2022\QE 9-30-21\"/>
    </mc:Choice>
  </mc:AlternateContent>
  <xr:revisionPtr revIDLastSave="0" documentId="13_ncr:1_{F3A4439C-38DE-4250-8208-1C07FAD51456}" xr6:coauthVersionLast="46" xr6:coauthVersionMax="46" xr10:uidLastSave="{00000000-0000-0000-0000-000000000000}"/>
  <bookViews>
    <workbookView xWindow="28680" yWindow="-120" windowWidth="29040" windowHeight="16440" xr2:uid="{00000000-000D-0000-FFFF-FFFF00000000}"/>
  </bookViews>
  <sheets>
    <sheet name="SFY22_GMEsummary" sheetId="1" r:id="rId1"/>
    <sheet name="SFY22_GME" sheetId="3" r:id="rId2"/>
    <sheet name="Days_22GME" sheetId="4" r:id="rId3"/>
    <sheet name="Queries 22" sheetId="12" r:id="rId4"/>
    <sheet name="CMS Market Basket" sheetId="13" r:id="rId5"/>
  </sheets>
  <definedNames>
    <definedName name="\p" localSheetId="4">#REF!</definedName>
    <definedName name="\p" localSheetId="2">#REF!</definedName>
    <definedName name="\p" localSheetId="3">#REF!</definedName>
    <definedName name="\p" localSheetId="0">#REF!</definedName>
    <definedName name="\p">#REF!</definedName>
    <definedName name="\s" localSheetId="3">#REF!</definedName>
    <definedName name="\s">#REF!</definedName>
    <definedName name="_Fill" localSheetId="3" hidden="1">#REF!</definedName>
    <definedName name="_Fill" hidden="1">#REF!</definedName>
    <definedName name="A" localSheetId="3">#REF!</definedName>
    <definedName name="A">#REF!</definedName>
    <definedName name="codes" localSheetId="3">#REF!</definedName>
    <definedName name="codes">#REF!</definedName>
    <definedName name="COPIES" localSheetId="2">#REF!</definedName>
    <definedName name="COPIES" localSheetId="3">#REF!</definedName>
    <definedName name="COPIES" localSheetId="0">#REF!</definedName>
    <definedName name="COPIES">#REF!</definedName>
    <definedName name="COUNTER" localSheetId="3">#REF!</definedName>
    <definedName name="COUNTER" localSheetId="0">#REF!</definedName>
    <definedName name="COUNTER">#REF!</definedName>
    <definedName name="FFY05_DSH_Query" localSheetId="3">#REF!</definedName>
    <definedName name="FFY05_DSH_Query" localSheetId="0">#REF!</definedName>
    <definedName name="FFY05_DSH_Query">#REF!</definedName>
    <definedName name="FFY05_DSH_QUERY_1" localSheetId="3">#REF!</definedName>
    <definedName name="FFY05_DSH_QUERY_1" localSheetId="0">#REF!</definedName>
    <definedName name="FFY05_DSH_QUERY_1">#REF!</definedName>
    <definedName name="hart." localSheetId="3" hidden="1">#REF!</definedName>
    <definedName name="hart." localSheetId="0" hidden="1">#REF!</definedName>
    <definedName name="hart." hidden="1">#REF!</definedName>
    <definedName name="PRINT" localSheetId="3">#REF!</definedName>
    <definedName name="PRINT" localSheetId="0">#REF!</definedName>
    <definedName name="PRINT">#REF!</definedName>
    <definedName name="_xlnm.Print_Area" localSheetId="4">#REF!</definedName>
    <definedName name="_xlnm.Print_Area" localSheetId="3">#REF!</definedName>
    <definedName name="_xlnm.Print_Area" localSheetId="1">SFY22_GME!$A$1:$I$75</definedName>
    <definedName name="_xlnm.Print_Area" localSheetId="0">SFY22_GMEsummary!$A$1:$G$36</definedName>
    <definedName name="_xlnm.Print_Area">#REF!</definedName>
    <definedName name="PRINT_AREA_MI" localSheetId="4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4">'CMS Market Basket'!$A:$A</definedName>
    <definedName name="_xlnm.Print_Titles" localSheetId="3">#REF!</definedName>
    <definedName name="_xlnm.Print_Titles">#REF!</definedName>
    <definedName name="PRINT_TITLES_MI" localSheetId="4">#REF!</definedName>
    <definedName name="PRINT_TITLES_MI" localSheetId="3">#REF!</definedName>
    <definedName name="PRINT_TITLES_MI" localSheetId="0">#REF!</definedName>
    <definedName name="PRINT_TITLES_MI">#REF!</definedName>
    <definedName name="rate" localSheetId="3">#REF!</definedName>
    <definedName name="rate">#REF!</definedName>
    <definedName name="TblStep_1" localSheetId="3">#REF!</definedName>
    <definedName name="TblStep_1" localSheetId="0">#REF!</definedName>
    <definedName name="TblStep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" i="3" l="1"/>
  <c r="F63" i="3"/>
  <c r="E58" i="3"/>
  <c r="E63" i="3"/>
  <c r="D63" i="3"/>
  <c r="C63" i="3"/>
  <c r="I38" i="3"/>
  <c r="H33" i="3"/>
  <c r="G38" i="3"/>
  <c r="F38" i="3"/>
  <c r="E33" i="3"/>
  <c r="E38" i="3"/>
  <c r="D38" i="3"/>
  <c r="C38" i="3"/>
  <c r="I14" i="3"/>
  <c r="H14" i="3"/>
  <c r="G14" i="3"/>
  <c r="F9" i="3"/>
  <c r="F14" i="3"/>
  <c r="E14" i="3"/>
  <c r="C14" i="3"/>
  <c r="D41" i="13"/>
  <c r="C41" i="13"/>
  <c r="E41" i="13" s="1"/>
  <c r="D34" i="3" s="1"/>
  <c r="D10" i="3" l="1"/>
  <c r="F10" i="3"/>
  <c r="F34" i="3"/>
  <c r="E10" i="3"/>
  <c r="H34" i="3"/>
  <c r="E34" i="3"/>
  <c r="F59" i="3"/>
  <c r="D59" i="3"/>
  <c r="G59" i="3"/>
  <c r="E59" i="3"/>
  <c r="G34" i="3"/>
  <c r="G10" i="3"/>
  <c r="I34" i="3"/>
  <c r="H10" i="3"/>
  <c r="C59" i="3"/>
  <c r="C10" i="3"/>
  <c r="I10" i="3"/>
  <c r="C34" i="3"/>
  <c r="F6" i="4"/>
  <c r="D11" i="1" l="1"/>
  <c r="D14" i="1"/>
  <c r="D20" i="1"/>
  <c r="D21" i="1"/>
  <c r="D24" i="1"/>
  <c r="D31" i="1"/>
  <c r="D34" i="1"/>
  <c r="E34" i="1" l="1"/>
  <c r="E21" i="1"/>
  <c r="E31" i="1"/>
  <c r="E20" i="1"/>
  <c r="G20" i="1"/>
  <c r="E14" i="1"/>
  <c r="E24" i="1"/>
  <c r="G24" i="1" s="1"/>
  <c r="E11" i="1"/>
  <c r="F34" i="1"/>
  <c r="F31" i="1"/>
  <c r="F24" i="1"/>
  <c r="F21" i="1"/>
  <c r="F20" i="1"/>
  <c r="F14" i="1"/>
  <c r="G14" i="1" s="1"/>
  <c r="F11" i="1"/>
  <c r="G11" i="1" l="1"/>
  <c r="G21" i="1"/>
  <c r="G31" i="1"/>
  <c r="G34" i="1"/>
  <c r="C25" i="4"/>
  <c r="D25" i="4"/>
  <c r="E25" i="4"/>
  <c r="D9" i="1" l="1"/>
  <c r="E9" i="1" l="1"/>
  <c r="F9" i="1"/>
  <c r="F7" i="4"/>
  <c r="E13" i="3" s="1"/>
  <c r="F8" i="4"/>
  <c r="F9" i="4"/>
  <c r="H13" i="3" s="1"/>
  <c r="F10" i="4"/>
  <c r="F11" i="4"/>
  <c r="F12" i="4"/>
  <c r="F13" i="4"/>
  <c r="F14" i="4"/>
  <c r="F15" i="4"/>
  <c r="F16" i="4"/>
  <c r="E62" i="3" s="1"/>
  <c r="F17" i="4"/>
  <c r="F18" i="4"/>
  <c r="F19" i="4"/>
  <c r="C62" i="3" s="1"/>
  <c r="F20" i="4"/>
  <c r="D62" i="3" s="1"/>
  <c r="F21" i="4"/>
  <c r="F22" i="4"/>
  <c r="F62" i="3" s="1"/>
  <c r="F23" i="4"/>
  <c r="G62" i="3" s="1"/>
  <c r="G9" i="1" l="1"/>
  <c r="C37" i="3"/>
  <c r="F13" i="3"/>
  <c r="H37" i="3"/>
  <c r="G37" i="3"/>
  <c r="F37" i="3"/>
  <c r="E37" i="3"/>
  <c r="D37" i="3"/>
  <c r="G13" i="3"/>
  <c r="D13" i="3"/>
  <c r="F5" i="4"/>
  <c r="C13" i="3" l="1"/>
  <c r="F25" i="4"/>
  <c r="I13" i="3"/>
  <c r="I37" i="3"/>
  <c r="D39" i="3" l="1"/>
  <c r="E39" i="3"/>
  <c r="E47" i="3" s="1"/>
  <c r="F39" i="3"/>
  <c r="H39" i="3"/>
  <c r="I39" i="3"/>
  <c r="I47" i="3" s="1"/>
  <c r="F15" i="3"/>
  <c r="C39" i="3"/>
  <c r="F64" i="3"/>
  <c r="C15" i="3"/>
  <c r="C23" i="3" s="1"/>
  <c r="G15" i="3"/>
  <c r="G23" i="3" s="1"/>
  <c r="I15" i="3"/>
  <c r="I23" i="3" s="1"/>
  <c r="C20" i="3"/>
  <c r="D20" i="3"/>
  <c r="E20" i="3"/>
  <c r="F20" i="3"/>
  <c r="G20" i="3"/>
  <c r="H20" i="3"/>
  <c r="I20" i="3"/>
  <c r="C44" i="3"/>
  <c r="D44" i="3"/>
  <c r="E44" i="3"/>
  <c r="F44" i="3"/>
  <c r="G44" i="3"/>
  <c r="H44" i="3"/>
  <c r="I44" i="3"/>
  <c r="C64" i="3"/>
  <c r="C72" i="3" s="1"/>
  <c r="D64" i="3"/>
  <c r="D72" i="3" s="1"/>
  <c r="E64" i="3"/>
  <c r="E72" i="3" s="1"/>
  <c r="G64" i="3"/>
  <c r="G72" i="3" s="1"/>
  <c r="C69" i="3"/>
  <c r="D69" i="3"/>
  <c r="E69" i="3"/>
  <c r="F69" i="3"/>
  <c r="G69" i="3"/>
  <c r="C24" i="3" l="1"/>
  <c r="C10" i="1" s="1"/>
  <c r="I48" i="3"/>
  <c r="C28" i="1" s="1"/>
  <c r="I24" i="3"/>
  <c r="C18" i="1" s="1"/>
  <c r="E73" i="3"/>
  <c r="C32" i="1" s="1"/>
  <c r="E48" i="3"/>
  <c r="C23" i="1" s="1"/>
  <c r="G24" i="3"/>
  <c r="C16" i="1" s="1"/>
  <c r="F47" i="3"/>
  <c r="F48" i="3" s="1"/>
  <c r="C25" i="1" s="1"/>
  <c r="D47" i="3"/>
  <c r="D48" i="3" s="1"/>
  <c r="C22" i="1" s="1"/>
  <c r="F72" i="3"/>
  <c r="F73" i="3" s="1"/>
  <c r="C33" i="1" s="1"/>
  <c r="C47" i="3"/>
  <c r="C48" i="3" s="1"/>
  <c r="C19" i="1" s="1"/>
  <c r="H47" i="3"/>
  <c r="H48" i="3" s="1"/>
  <c r="C27" i="1" s="1"/>
  <c r="D73" i="3"/>
  <c r="C30" i="1" s="1"/>
  <c r="G73" i="3"/>
  <c r="C35" i="1" s="1"/>
  <c r="C73" i="3"/>
  <c r="C29" i="1" s="1"/>
  <c r="D15" i="3"/>
  <c r="D23" i="3" s="1"/>
  <c r="D24" i="3" s="1"/>
  <c r="C12" i="1" s="1"/>
  <c r="F23" i="3"/>
  <c r="F24" i="3" s="1"/>
  <c r="C15" i="1" s="1"/>
  <c r="G39" i="3"/>
  <c r="G47" i="3" s="1"/>
  <c r="G48" i="3" s="1"/>
  <c r="C26" i="1" s="1"/>
  <c r="H15" i="3"/>
  <c r="H23" i="3" s="1"/>
  <c r="H24" i="3" s="1"/>
  <c r="C17" i="1" s="1"/>
  <c r="E15" i="3"/>
  <c r="E23" i="3" s="1"/>
  <c r="E24" i="3" s="1"/>
  <c r="C13" i="1" s="1"/>
  <c r="D10" i="1" l="1"/>
  <c r="D12" i="1"/>
  <c r="D25" i="1"/>
  <c r="D17" i="1"/>
  <c r="E17" i="1" s="1"/>
  <c r="D29" i="1"/>
  <c r="D19" i="1"/>
  <c r="D16" i="1"/>
  <c r="D26" i="1"/>
  <c r="D35" i="1"/>
  <c r="D33" i="1"/>
  <c r="D23" i="1"/>
  <c r="D28" i="1"/>
  <c r="E28" i="1" s="1"/>
  <c r="D15" i="1"/>
  <c r="D30" i="1"/>
  <c r="D22" i="1"/>
  <c r="D32" i="1"/>
  <c r="D27" i="1"/>
  <c r="D18" i="1"/>
  <c r="D13" i="1"/>
  <c r="C36" i="1"/>
  <c r="E18" i="1" l="1"/>
  <c r="F17" i="1"/>
  <c r="G17" i="1" s="1"/>
  <c r="E29" i="1"/>
  <c r="F18" i="1"/>
  <c r="F28" i="1"/>
  <c r="G28" i="1" s="1"/>
  <c r="F23" i="1"/>
  <c r="E30" i="1"/>
  <c r="F30" i="1"/>
  <c r="E33" i="1"/>
  <c r="F33" i="1"/>
  <c r="E19" i="1"/>
  <c r="F19" i="1"/>
  <c r="E12" i="1"/>
  <c r="F12" i="1"/>
  <c r="E23" i="1"/>
  <c r="F29" i="1"/>
  <c r="E27" i="1"/>
  <c r="F27" i="1"/>
  <c r="E22" i="1"/>
  <c r="F22" i="1"/>
  <c r="E15" i="1"/>
  <c r="F15" i="1"/>
  <c r="E35" i="1"/>
  <c r="F35" i="1"/>
  <c r="E16" i="1"/>
  <c r="F16" i="1"/>
  <c r="E25" i="1"/>
  <c r="F25" i="1"/>
  <c r="E32" i="1"/>
  <c r="F32" i="1"/>
  <c r="E26" i="1"/>
  <c r="F26" i="1"/>
  <c r="E10" i="1"/>
  <c r="F10" i="1"/>
  <c r="E13" i="1"/>
  <c r="F13" i="1"/>
  <c r="D36" i="1"/>
  <c r="G23" i="1" l="1"/>
  <c r="G25" i="1"/>
  <c r="G19" i="1"/>
  <c r="G32" i="1"/>
  <c r="G15" i="1"/>
  <c r="G33" i="1"/>
  <c r="G18" i="1"/>
  <c r="G13" i="1"/>
  <c r="G26" i="1"/>
  <c r="G30" i="1"/>
  <c r="G16" i="1"/>
  <c r="G12" i="1"/>
  <c r="G10" i="1"/>
  <c r="G27" i="1"/>
  <c r="G35" i="1"/>
  <c r="G22" i="1"/>
  <c r="G29" i="1"/>
  <c r="F36" i="1"/>
  <c r="E36" i="1"/>
  <c r="G36" i="1" l="1"/>
</calcChain>
</file>

<file path=xl/sharedStrings.xml><?xml version="1.0" encoding="utf-8"?>
<sst xmlns="http://schemas.openxmlformats.org/spreadsheetml/2006/main" count="304" uniqueCount="204">
  <si>
    <t>SPA 15-003</t>
  </si>
  <si>
    <t>Main Inpatient Medicaid ID</t>
  </si>
  <si>
    <t>GME Payment</t>
  </si>
  <si>
    <t xml:space="preserve">BACKUS </t>
  </si>
  <si>
    <t xml:space="preserve">004041851 </t>
  </si>
  <si>
    <t>BRIDGEPORT</t>
  </si>
  <si>
    <t xml:space="preserve">004041703 </t>
  </si>
  <si>
    <t xml:space="preserve">BRISTOL </t>
  </si>
  <si>
    <t xml:space="preserve">004041901 </t>
  </si>
  <si>
    <t>CCMC</t>
  </si>
  <si>
    <t>004159960</t>
  </si>
  <si>
    <t xml:space="preserve">DANBURY </t>
  </si>
  <si>
    <t xml:space="preserve">004041935 </t>
  </si>
  <si>
    <t xml:space="preserve">DAY KIMBALL </t>
  </si>
  <si>
    <t xml:space="preserve">004041638 </t>
  </si>
  <si>
    <t>DEMPSEY</t>
  </si>
  <si>
    <t>004041968</t>
  </si>
  <si>
    <t>GREENWICH</t>
  </si>
  <si>
    <t xml:space="preserve">004041786 </t>
  </si>
  <si>
    <t xml:space="preserve">GRIFFIN </t>
  </si>
  <si>
    <t xml:space="preserve">004041927 </t>
  </si>
  <si>
    <t xml:space="preserve">HARTFORD </t>
  </si>
  <si>
    <t xml:space="preserve">004041869 </t>
  </si>
  <si>
    <t>HOSP. CEN. CT</t>
  </si>
  <si>
    <t xml:space="preserve">004041950 </t>
  </si>
  <si>
    <t xml:space="preserve">HUNGERFORD </t>
  </si>
  <si>
    <t xml:space="preserve">004041711 </t>
  </si>
  <si>
    <t>JOHNSON</t>
  </si>
  <si>
    <t xml:space="preserve">004041687 </t>
  </si>
  <si>
    <t>LAWRENCE &amp; MEM</t>
  </si>
  <si>
    <t xml:space="preserve">004041679 </t>
  </si>
  <si>
    <t>MANCHESTER</t>
  </si>
  <si>
    <t xml:space="preserve">MIDSTATE </t>
  </si>
  <si>
    <t xml:space="preserve">004041778 </t>
  </si>
  <si>
    <t xml:space="preserve">MIDDLESEX </t>
  </si>
  <si>
    <t xml:space="preserve">004041810 </t>
  </si>
  <si>
    <t xml:space="preserve">NORWALK </t>
  </si>
  <si>
    <t xml:space="preserve">004041943 </t>
  </si>
  <si>
    <t>ROCKVILLE</t>
  </si>
  <si>
    <t>ST FRANCIS</t>
  </si>
  <si>
    <t xml:space="preserve">004041620 </t>
  </si>
  <si>
    <t xml:space="preserve">ST MARYS </t>
  </si>
  <si>
    <t xml:space="preserve">004041760 </t>
  </si>
  <si>
    <t>ST VINCENTS</t>
  </si>
  <si>
    <t xml:space="preserve">SHARON </t>
  </si>
  <si>
    <t xml:space="preserve">STAMFORD </t>
  </si>
  <si>
    <t xml:space="preserve">004041661 </t>
  </si>
  <si>
    <t xml:space="preserve">WATERBURY </t>
  </si>
  <si>
    <t>WINDHAM</t>
  </si>
  <si>
    <t xml:space="preserve">004041828 </t>
  </si>
  <si>
    <t xml:space="preserve">004041836 </t>
  </si>
  <si>
    <t>TOTAL</t>
  </si>
  <si>
    <t>Note: Line 3 is inflated by hospital inpatient market basket index as published by CMS.</t>
  </si>
  <si>
    <t>Annual Payment - Inpatient Medicaid GME Payment [line 9 x line 10]</t>
  </si>
  <si>
    <t>Line 11</t>
  </si>
  <si>
    <t>Medicaid GME Payment [line 3 x line 6]</t>
  </si>
  <si>
    <t>Line 10</t>
  </si>
  <si>
    <t xml:space="preserve">   Allocation of Direct GME Costs to Medicaid Inpatient</t>
  </si>
  <si>
    <t>Ratio of Inpatient Service Revenue to Total [line 7 / line 8]</t>
  </si>
  <si>
    <t>Line 9</t>
  </si>
  <si>
    <t>Hospital Total Service Revenue [MCR wkst G-2, Col. 3, line 28]</t>
  </si>
  <si>
    <t>Line 8</t>
  </si>
  <si>
    <t>Hospital Inpatient Service Revenue [MCR wkst G-2, Col. 1, line 28]</t>
  </si>
  <si>
    <t>Line 7</t>
  </si>
  <si>
    <t xml:space="preserve">   Calculation of Inpatient Ratio</t>
  </si>
  <si>
    <t>Ratio of Program Inpatient Days to Total Inpatient Days [line 4 / line 5]</t>
  </si>
  <si>
    <t>Line 6</t>
  </si>
  <si>
    <t>Total Inpatient Days minus Nursery Days [MCR Wkst. S-3,  Pt. I, Col. 8]</t>
  </si>
  <si>
    <t>Line 5</t>
  </si>
  <si>
    <t>Line 4</t>
  </si>
  <si>
    <t xml:space="preserve">   Computation of Program Patient Load</t>
  </si>
  <si>
    <t>Aggregate Approved Amount [( lines 1 x 2) plus (lines 1a x 2a)] plus inflation</t>
  </si>
  <si>
    <t>Line 3</t>
  </si>
  <si>
    <t>Line 2a</t>
  </si>
  <si>
    <t>Line 2</t>
  </si>
  <si>
    <t>Line 1a</t>
  </si>
  <si>
    <t>Line 1</t>
  </si>
  <si>
    <t xml:space="preserve">   Computation of Total Direct GME Amount</t>
  </si>
  <si>
    <t>Yale</t>
  </si>
  <si>
    <t>Waterbury</t>
  </si>
  <si>
    <t>Stamford</t>
  </si>
  <si>
    <t>Saint Vincent</t>
  </si>
  <si>
    <t>Saint Mary</t>
  </si>
  <si>
    <t>Hospitals</t>
  </si>
  <si>
    <t>St. Francis</t>
  </si>
  <si>
    <t>Rockville</t>
  </si>
  <si>
    <t>Norwalk</t>
  </si>
  <si>
    <t>Middlesex</t>
  </si>
  <si>
    <t>Manchester</t>
  </si>
  <si>
    <t>Lawrence &amp; Memorial</t>
  </si>
  <si>
    <t>Hospital of Central CT.</t>
  </si>
  <si>
    <t>Hartford</t>
  </si>
  <si>
    <t>Griffin</t>
  </si>
  <si>
    <t>Greenwich</t>
  </si>
  <si>
    <t>Dempsey</t>
  </si>
  <si>
    <t>Danbury</t>
  </si>
  <si>
    <t>Ct. Childrens</t>
  </si>
  <si>
    <t>Bridgeport</t>
  </si>
  <si>
    <t>Number of FTE Residents for OB\GYN &amp; Primary Care [MCR, wkst. E-4, ln 17 Col 1]</t>
  </si>
  <si>
    <t>Number of FTE Residents for all other [MCR, wkst. E-4,ln 17 Col 2]</t>
  </si>
  <si>
    <t>Updated Per Resident Amount for OB\GYN &amp; Primary Care [MCR, wkst. E-4,ln 18 Col 1]</t>
  </si>
  <si>
    <t>Updated Per Resident Amount for all other [ MCR, wkst. E-4, ln 18 Col 2]</t>
  </si>
  <si>
    <t>Total Days</t>
  </si>
  <si>
    <t>BH days less than 19</t>
  </si>
  <si>
    <t>Billing Provider Name</t>
  </si>
  <si>
    <t>Less BH &lt; 19</t>
  </si>
  <si>
    <t>Less Nursery</t>
  </si>
  <si>
    <t>Market Basket</t>
  </si>
  <si>
    <t>Index Levels</t>
  </si>
  <si>
    <t>Four-Quarter Moving Average Percent Change</t>
  </si>
  <si>
    <t xml:space="preserve">2006-based Medicare Economic Index: </t>
  </si>
  <si>
    <t>Child</t>
  </si>
  <si>
    <t>Nursery Days</t>
  </si>
  <si>
    <t>Days Used For GME per SPA</t>
  </si>
  <si>
    <t>Total Medicaid Inpatient Days minus Nursery days minus Child Psych. [MMIS/Data Warehouse]</t>
  </si>
  <si>
    <t>YALE</t>
  </si>
  <si>
    <t>008069211</t>
  </si>
  <si>
    <t>008069217</t>
  </si>
  <si>
    <t>008069222</t>
  </si>
  <si>
    <t>2014-based Inpatient Hospital:</t>
  </si>
  <si>
    <t>2014-based Inpatient Hospital Capital:</t>
  </si>
  <si>
    <t>2014-based Skilled Nursing Facility:</t>
  </si>
  <si>
    <t>2013-based Long Term Care Hospitals:</t>
  </si>
  <si>
    <t>Note: All market baskets, with the exception of the MEI, do not reflect a productivity adjustment</t>
  </si>
  <si>
    <t>* Percent change moving averages are calculated using more than ten decimal places</t>
  </si>
  <si>
    <t>Released by CMS, OACT, National Health Statistics Group, dnhs@cms.hhs.gov</t>
  </si>
  <si>
    <t>2016-based Home Health Agency:</t>
  </si>
  <si>
    <t>2016-based End Stage Renal Disease:</t>
  </si>
  <si>
    <t>2013-based Federally Qualified Health Center:</t>
  </si>
  <si>
    <t>008074563</t>
  </si>
  <si>
    <t xml:space="preserve">Summary Web Table - CMS Market Basket Index Levels and 
Four-Quarter Moving Average Percent Changes * </t>
  </si>
  <si>
    <t>Forecast          2021          Q1</t>
  </si>
  <si>
    <t>Forecast          2021          Q2</t>
  </si>
  <si>
    <t>Forecast          2021          Q3</t>
  </si>
  <si>
    <t>Forecast          2021          Q4</t>
  </si>
  <si>
    <t>Forecast          2022          Q1</t>
  </si>
  <si>
    <t>Forecast          2022          Q2</t>
  </si>
  <si>
    <t>Forecast          2022          Q3</t>
  </si>
  <si>
    <t>Forecast          2022          Q4</t>
  </si>
  <si>
    <t>Forecast          2023          Q1</t>
  </si>
  <si>
    <t>Forecast          2023          Q2</t>
  </si>
  <si>
    <t>Forecast          2023          Q3</t>
  </si>
  <si>
    <t>Forecast          2023          Q4</t>
  </si>
  <si>
    <t>Forecast          2024          Q1</t>
  </si>
  <si>
    <t>Forecast          2024          Q2</t>
  </si>
  <si>
    <t>Forecast          2024          Q3</t>
  </si>
  <si>
    <t>Forecast          2024          Q4</t>
  </si>
  <si>
    <t>Forecast          2025          Q1</t>
  </si>
  <si>
    <t>Forecast          2025          Q2</t>
  </si>
  <si>
    <t>Forecast          2025          Q3</t>
  </si>
  <si>
    <t>Forecast          2025          Q4</t>
  </si>
  <si>
    <t>Forecast          2026          Q1</t>
  </si>
  <si>
    <t>Forecast          2026          Q2</t>
  </si>
  <si>
    <t>Forecast          2026          Q3</t>
  </si>
  <si>
    <t>Forecast          2026          Q4</t>
  </si>
  <si>
    <t>Forecast          2027          Q1</t>
  </si>
  <si>
    <t>Forecast          2027          Q2</t>
  </si>
  <si>
    <t>Forecast          2027          Q3</t>
  </si>
  <si>
    <t>Forecast          2027          Q4</t>
  </si>
  <si>
    <t>Forecast          2028          Q1</t>
  </si>
  <si>
    <t>Forecast          2028          Q2</t>
  </si>
  <si>
    <t>Forecast          2028          Q3</t>
  </si>
  <si>
    <t>Forecast          2028          Q4</t>
  </si>
  <si>
    <t>Forecast          2029          Q1</t>
  </si>
  <si>
    <t>Forecast          2029          Q2</t>
  </si>
  <si>
    <t>Forecast          2029          Q3</t>
  </si>
  <si>
    <t>Forecast          2029          Q4</t>
  </si>
  <si>
    <t>2016-based Inpatient Rehabilitation Facilities:</t>
  </si>
  <si>
    <t>2016-based Inpatient Psychiatric Facilities:</t>
  </si>
  <si>
    <t>Four-Quarter Moving Average Percent Change with MFP Adjustment</t>
  </si>
  <si>
    <t>Source: IHS Global Inc. (IGI) 2019Q3 Forecast</t>
  </si>
  <si>
    <t>Historical Data through 2019Q2</t>
  </si>
  <si>
    <t>BRIDGEPORT HOSPITAL INC</t>
  </si>
  <si>
    <t>CONNECTICUT CHILDRENS MEDICAL CENTER</t>
  </si>
  <si>
    <t>DANBURY HOSPITAL</t>
  </si>
  <si>
    <t>GREENWICH HOSPITAL</t>
  </si>
  <si>
    <t>HARTFORD HOSPITAL</t>
  </si>
  <si>
    <t>LAWRENCE AND MEMORIAL HOSPITAL</t>
  </si>
  <si>
    <t>MIDDLESEX HOSPITAL</t>
  </si>
  <si>
    <t>NORWALK HOSPITAL ASSOCIATION</t>
  </si>
  <si>
    <t>PROSPECT MANCHESTER HOSPITAL, INC</t>
  </si>
  <si>
    <t>PROSPECT ROCKVILLE HOSPITAL, INC</t>
  </si>
  <si>
    <t>PROSPECT WATERBURY, INC</t>
  </si>
  <si>
    <t>SAINT FRANCIS HOSPITAL AND MEDICAL CENTER</t>
  </si>
  <si>
    <t>STAMFORD HOSPITAL</t>
  </si>
  <si>
    <t>STATE OF CONNECTICUT</t>
  </si>
  <si>
    <t>ST MARYS HOSPITAL</t>
  </si>
  <si>
    <t>ST. VINCENT'S MEDICAL CENTER</t>
  </si>
  <si>
    <t>THE GRIFFIN HOSPITAL</t>
  </si>
  <si>
    <t>THE HOSPITAL OF CENTRAL CONNECTICUT</t>
  </si>
  <si>
    <t>YALE NEW HAVEN HOSPITAL</t>
  </si>
  <si>
    <t>SFY 2022 GME Hospital Payment</t>
  </si>
  <si>
    <t>QE 9/30/21</t>
  </si>
  <si>
    <t>QE 12/31/21</t>
  </si>
  <si>
    <t>QE 3/31/22</t>
  </si>
  <si>
    <t>QE 6/30/22</t>
  </si>
  <si>
    <t>Forecast          2030          Q1</t>
  </si>
  <si>
    <t>Forecast          2030          Q2</t>
  </si>
  <si>
    <t>Forecast          2030          Q3</t>
  </si>
  <si>
    <t>Forecast          2030          Q4</t>
  </si>
  <si>
    <t>FFY 2020 Days</t>
  </si>
  <si>
    <t>SFY 2022 Direct Graduate Medical Education (GME) based on FFY 2020 cost reports in accordance with SPA 15-003</t>
  </si>
  <si>
    <t>008090984</t>
  </si>
  <si>
    <t>PAID 8/13/21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</si>
</sst>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_);\(#,##0.000000\)"/>
    <numFmt numFmtId="166" formatCode="_(* #,##0.000000_);_(* \(#,##0.000000\);_(* &quot;-&quot;??_);_(@_)"/>
    <numFmt numFmtId="167" formatCode="#,##0;[Red]\(#,##0\)"/>
    <numFmt numFmtId="168" formatCode="0.000"/>
    <numFmt numFmtId="169" formatCode="0.0"/>
  </numFmts>
  <fonts count="30" x14ac:knownFonts="1">
    <font>
      <sz val="11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u/>
      <sz val="14"/>
      <color indexed="12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8"/>
      <name val="Arial"/>
      <family val="2"/>
    </font>
    <font>
      <sz val="8"/>
      <name val="Helv"/>
    </font>
    <font>
      <sz val="12"/>
      <name val="Arial"/>
      <family val="2"/>
    </font>
    <font>
      <sz val="10"/>
      <color theme="1"/>
      <name val="Tahoma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10000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6">
    <xf numFmtId="38" fontId="0" fillId="0" borderId="0"/>
    <xf numFmtId="5" fontId="9" fillId="0" borderId="0" applyFont="0" applyFill="0" applyBorder="0" applyAlignment="0" applyProtection="0"/>
    <xf numFmtId="0" fontId="7" fillId="0" borderId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7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3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8" fillId="0" borderId="0"/>
    <xf numFmtId="0" fontId="16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7" fillId="0" borderId="0"/>
    <xf numFmtId="38" fontId="9" fillId="0" borderId="0"/>
    <xf numFmtId="0" fontId="7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/>
    <xf numFmtId="0" fontId="7" fillId="0" borderId="0" applyNumberFormat="0" applyFont="0" applyBorder="0">
      <alignment horizontal="centerContinuous"/>
    </xf>
    <xf numFmtId="37" fontId="9" fillId="0" borderId="0" applyFont="0" applyFill="0" applyBorder="0" applyAlignment="0" applyProtection="0"/>
    <xf numFmtId="5" fontId="7" fillId="0" borderId="12">
      <alignment horizontal="right" vertical="top"/>
    </xf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7" fillId="0" borderId="0"/>
    <xf numFmtId="9" fontId="2" fillId="0" borderId="0" applyFont="0" applyFill="0" applyBorder="0" applyAlignment="0" applyProtection="0"/>
  </cellStyleXfs>
  <cellXfs count="147">
    <xf numFmtId="38" fontId="0" fillId="0" borderId="0" xfId="0"/>
    <xf numFmtId="0" fontId="7" fillId="0" borderId="0" xfId="2"/>
    <xf numFmtId="0" fontId="8" fillId="0" borderId="0" xfId="2" applyFont="1" applyFill="1" applyBorder="1" applyAlignment="1">
      <alignment horizontal="left" indent="1"/>
    </xf>
    <xf numFmtId="0" fontId="7" fillId="0" borderId="0" xfId="2" applyFont="1" applyFill="1" applyBorder="1"/>
    <xf numFmtId="7" fontId="7" fillId="0" borderId="0" xfId="1" applyNumberFormat="1" applyFont="1" applyFill="1" applyBorder="1"/>
    <xf numFmtId="0" fontId="7" fillId="0" borderId="0" xfId="2" applyBorder="1"/>
    <xf numFmtId="0" fontId="10" fillId="0" borderId="0" xfId="2" applyFont="1" applyFill="1" applyBorder="1"/>
    <xf numFmtId="0" fontId="11" fillId="0" borderId="0" xfId="2" applyFont="1" applyFill="1" applyBorder="1"/>
    <xf numFmtId="7" fontId="7" fillId="0" borderId="0" xfId="1" applyNumberFormat="1" applyFont="1" applyBorder="1"/>
    <xf numFmtId="7" fontId="7" fillId="0" borderId="0" xfId="1" applyNumberFormat="1" applyFont="1"/>
    <xf numFmtId="7" fontId="12" fillId="0" borderId="0" xfId="1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7" fontId="12" fillId="0" borderId="0" xfId="1" applyNumberFormat="1" applyFont="1" applyAlignment="1">
      <alignment horizontal="center"/>
    </xf>
    <xf numFmtId="7" fontId="7" fillId="0" borderId="0" xfId="1" applyNumberFormat="1" applyFont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wrapText="1"/>
    </xf>
    <xf numFmtId="7" fontId="7" fillId="0" borderId="1" xfId="1" applyNumberFormat="1" applyFont="1" applyFill="1" applyBorder="1" applyAlignment="1">
      <alignment horizontal="center" wrapText="1"/>
    </xf>
    <xf numFmtId="0" fontId="7" fillId="0" borderId="2" xfId="2" applyFont="1" applyFill="1" applyBorder="1"/>
    <xf numFmtId="0" fontId="7" fillId="0" borderId="2" xfId="2" applyFont="1" applyFill="1" applyBorder="1" applyAlignment="1">
      <alignment horizontal="center"/>
    </xf>
    <xf numFmtId="5" fontId="7" fillId="0" borderId="2" xfId="1" applyNumberFormat="1" applyFont="1" applyBorder="1"/>
    <xf numFmtId="5" fontId="7" fillId="0" borderId="1" xfId="1" applyNumberFormat="1" applyFont="1" applyFill="1" applyBorder="1"/>
    <xf numFmtId="5" fontId="7" fillId="0" borderId="1" xfId="1" applyNumberFormat="1" applyFont="1" applyBorder="1"/>
    <xf numFmtId="0" fontId="7" fillId="0" borderId="1" xfId="2" applyFont="1" applyFill="1" applyBorder="1"/>
    <xf numFmtId="0" fontId="7" fillId="0" borderId="1" xfId="2" quotePrefix="1" applyFont="1" applyFill="1" applyBorder="1" applyAlignment="1">
      <alignment horizontal="center"/>
    </xf>
    <xf numFmtId="0" fontId="12" fillId="0" borderId="0" xfId="2" applyFont="1"/>
    <xf numFmtId="0" fontId="7" fillId="0" borderId="3" xfId="2" applyBorder="1"/>
    <xf numFmtId="0" fontId="12" fillId="0" borderId="1" xfId="2" applyFont="1" applyFill="1" applyBorder="1"/>
    <xf numFmtId="7" fontId="7" fillId="0" borderId="0" xfId="1" applyNumberFormat="1" applyFont="1" applyFill="1" applyBorder="1" applyAlignment="1">
      <alignment horizontal="right" vertical="top"/>
    </xf>
    <xf numFmtId="5" fontId="7" fillId="0" borderId="0" xfId="1" applyNumberFormat="1" applyFont="1" applyFill="1" applyBorder="1" applyAlignment="1">
      <alignment horizontal="right" vertical="top"/>
    </xf>
    <xf numFmtId="37" fontId="7" fillId="0" borderId="0" xfId="2" applyNumberFormat="1" applyFont="1" applyFill="1" applyBorder="1"/>
    <xf numFmtId="7" fontId="0" fillId="0" borderId="0" xfId="1" applyNumberFormat="1" applyFont="1" applyBorder="1" applyAlignment="1">
      <alignment horizontal="center"/>
    </xf>
    <xf numFmtId="37" fontId="7" fillId="0" borderId="0" xfId="2" applyNumberFormat="1" applyFont="1" applyFill="1" applyBorder="1" applyAlignment="1">
      <alignment horizontal="left"/>
    </xf>
    <xf numFmtId="0" fontId="7" fillId="0" borderId="0" xfId="2" applyFont="1" applyAlignment="1">
      <alignment horizontal="left"/>
    </xf>
    <xf numFmtId="164" fontId="7" fillId="0" borderId="0" xfId="2" applyNumberFormat="1" applyFont="1"/>
    <xf numFmtId="0" fontId="14" fillId="0" borderId="0" xfId="2" applyFont="1" applyFill="1" applyBorder="1"/>
    <xf numFmtId="164" fontId="7" fillId="0" borderId="0" xfId="1" applyNumberFormat="1" applyFont="1"/>
    <xf numFmtId="0" fontId="15" fillId="0" borderId="0" xfId="2" applyFont="1" applyFill="1" applyBorder="1"/>
    <xf numFmtId="0" fontId="5" fillId="0" borderId="0" xfId="71"/>
    <xf numFmtId="0" fontId="5" fillId="0" borderId="0" xfId="71" applyAlignment="1">
      <alignment vertical="center"/>
    </xf>
    <xf numFmtId="0" fontId="6" fillId="0" borderId="0" xfId="71" applyFont="1"/>
    <xf numFmtId="0" fontId="5" fillId="0" borderId="0" xfId="71" applyFill="1"/>
    <xf numFmtId="5" fontId="20" fillId="2" borderId="4" xfId="71" applyNumberFormat="1" applyFont="1" applyFill="1" applyBorder="1" applyAlignment="1" applyProtection="1">
      <alignment vertical="center"/>
    </xf>
    <xf numFmtId="0" fontId="12" fillId="2" borderId="5" xfId="71" applyFont="1" applyFill="1" applyBorder="1" applyAlignment="1" applyProtection="1">
      <alignment horizontal="left"/>
    </xf>
    <xf numFmtId="0" fontId="7" fillId="0" borderId="0" xfId="71" applyFont="1" applyAlignment="1">
      <alignment horizontal="right"/>
    </xf>
    <xf numFmtId="5" fontId="14" fillId="0" borderId="4" xfId="71" applyNumberFormat="1" applyFont="1" applyFill="1" applyBorder="1" applyAlignment="1" applyProtection="1">
      <alignment vertical="center"/>
    </xf>
    <xf numFmtId="0" fontId="7" fillId="0" borderId="6" xfId="71" applyFont="1" applyBorder="1" applyAlignment="1" applyProtection="1">
      <alignment horizontal="left"/>
    </xf>
    <xf numFmtId="0" fontId="7" fillId="0" borderId="0" xfId="71" applyFont="1" applyAlignment="1" applyProtection="1">
      <alignment horizontal="right"/>
      <protection locked="0"/>
    </xf>
    <xf numFmtId="0" fontId="14" fillId="0" borderId="0" xfId="71" applyFont="1" applyFill="1" applyAlignment="1">
      <alignment vertical="center"/>
    </xf>
    <xf numFmtId="0" fontId="12" fillId="0" borderId="0" xfId="71" applyFont="1" applyBorder="1" applyAlignment="1" applyProtection="1">
      <alignment horizontal="left"/>
    </xf>
    <xf numFmtId="0" fontId="7" fillId="0" borderId="0" xfId="71" applyFont="1"/>
    <xf numFmtId="165" fontId="14" fillId="0" borderId="7" xfId="71" applyNumberFormat="1" applyFont="1" applyFill="1" applyBorder="1" applyAlignment="1">
      <alignment vertical="center"/>
    </xf>
    <xf numFmtId="0" fontId="7" fillId="0" borderId="8" xfId="71" applyFont="1" applyBorder="1" applyAlignment="1" applyProtection="1">
      <alignment horizontal="left"/>
    </xf>
    <xf numFmtId="0" fontId="7" fillId="0" borderId="9" xfId="71" quotePrefix="1" applyFont="1" applyBorder="1" applyAlignment="1" applyProtection="1">
      <alignment horizontal="left"/>
    </xf>
    <xf numFmtId="0" fontId="5" fillId="0" borderId="0" xfId="71" applyFill="1" applyAlignment="1">
      <alignment vertical="center"/>
    </xf>
    <xf numFmtId="0" fontId="12" fillId="0" borderId="0" xfId="71" applyFont="1" applyAlignment="1" applyProtection="1">
      <alignment horizontal="left"/>
    </xf>
    <xf numFmtId="0" fontId="7" fillId="0" borderId="0" xfId="71" applyFont="1" applyBorder="1"/>
    <xf numFmtId="166" fontId="14" fillId="0" borderId="4" xfId="21" applyNumberFormat="1" applyFont="1" applyFill="1" applyBorder="1" applyAlignment="1" applyProtection="1">
      <alignment vertical="center"/>
    </xf>
    <xf numFmtId="0" fontId="7" fillId="0" borderId="7" xfId="71" applyFont="1" applyBorder="1" applyAlignment="1" applyProtection="1">
      <alignment horizontal="left"/>
    </xf>
    <xf numFmtId="164" fontId="14" fillId="0" borderId="4" xfId="21" applyNumberFormat="1" applyFont="1" applyFill="1" applyBorder="1" applyAlignment="1" applyProtection="1">
      <alignment vertical="center"/>
    </xf>
    <xf numFmtId="0" fontId="21" fillId="0" borderId="0" xfId="71" applyFont="1" applyProtection="1">
      <protection locked="0"/>
    </xf>
    <xf numFmtId="0" fontId="7" fillId="0" borderId="10" xfId="71" applyFont="1" applyBorder="1" applyAlignment="1" applyProtection="1">
      <alignment horizontal="left"/>
    </xf>
    <xf numFmtId="7" fontId="14" fillId="0" borderId="4" xfId="71" applyNumberFormat="1" applyFont="1" applyFill="1" applyBorder="1" applyAlignment="1" applyProtection="1">
      <alignment vertical="center"/>
    </xf>
    <xf numFmtId="7" fontId="5" fillId="0" borderId="0" xfId="71" applyNumberFormat="1" applyAlignment="1">
      <alignment vertical="center"/>
    </xf>
    <xf numFmtId="43" fontId="14" fillId="0" borderId="4" xfId="21" applyFont="1" applyFill="1" applyBorder="1" applyAlignment="1" applyProtection="1">
      <alignment vertical="center"/>
    </xf>
    <xf numFmtId="0" fontId="7" fillId="0" borderId="0" xfId="71" applyFont="1" applyBorder="1" applyProtection="1"/>
    <xf numFmtId="0" fontId="22" fillId="0" borderId="0" xfId="71" applyFont="1"/>
    <xf numFmtId="0" fontId="23" fillId="2" borderId="7" xfId="71" applyFont="1" applyFill="1" applyBorder="1" applyAlignment="1">
      <alignment horizontal="center" vertical="center"/>
    </xf>
    <xf numFmtId="0" fontId="23" fillId="2" borderId="7" xfId="71" applyFont="1" applyFill="1" applyBorder="1"/>
    <xf numFmtId="0" fontId="23" fillId="0" borderId="0" xfId="71" applyFont="1"/>
    <xf numFmtId="0" fontId="5" fillId="0" borderId="11" xfId="71" applyBorder="1"/>
    <xf numFmtId="0" fontId="5" fillId="0" borderId="11" xfId="71" applyFill="1" applyBorder="1"/>
    <xf numFmtId="0" fontId="5" fillId="0" borderId="11" xfId="71" applyFill="1" applyBorder="1" applyAlignment="1">
      <alignment vertical="center"/>
    </xf>
    <xf numFmtId="164" fontId="5" fillId="0" borderId="11" xfId="71" applyNumberFormat="1" applyFill="1" applyBorder="1" applyAlignment="1">
      <alignment vertical="center"/>
    </xf>
    <xf numFmtId="0" fontId="5" fillId="0" borderId="11" xfId="71" applyBorder="1" applyAlignment="1">
      <alignment vertical="center"/>
    </xf>
    <xf numFmtId="0" fontId="6" fillId="0" borderId="11" xfId="71" applyFont="1" applyBorder="1"/>
    <xf numFmtId="5" fontId="20" fillId="0" borderId="0" xfId="71" applyNumberFormat="1" applyFont="1" applyFill="1" applyBorder="1" applyAlignment="1" applyProtection="1">
      <alignment vertical="center"/>
    </xf>
    <xf numFmtId="0" fontId="12" fillId="0" borderId="0" xfId="71" applyFont="1" applyFill="1" applyBorder="1" applyAlignment="1" applyProtection="1">
      <alignment horizontal="left"/>
    </xf>
    <xf numFmtId="0" fontId="7" fillId="0" borderId="0" xfId="71" applyFont="1" applyFill="1" applyAlignment="1">
      <alignment horizontal="right"/>
    </xf>
    <xf numFmtId="0" fontId="5" fillId="0" borderId="0" xfId="71" applyFill="1" applyBorder="1"/>
    <xf numFmtId="164" fontId="5" fillId="0" borderId="0" xfId="71" applyNumberFormat="1" applyFill="1" applyBorder="1"/>
    <xf numFmtId="164" fontId="14" fillId="0" borderId="0" xfId="21" applyNumberFormat="1" applyFont="1" applyFill="1" applyBorder="1" applyAlignment="1" applyProtection="1">
      <alignment vertical="center"/>
    </xf>
    <xf numFmtId="164" fontId="22" fillId="0" borderId="0" xfId="21" applyNumberFormat="1" applyFont="1" applyFill="1" applyBorder="1"/>
    <xf numFmtId="164" fontId="5" fillId="0" borderId="0" xfId="71" applyNumberFormat="1" applyFill="1" applyAlignment="1">
      <alignment vertical="center"/>
    </xf>
    <xf numFmtId="0" fontId="21" fillId="0" borderId="0" xfId="71" applyFont="1" applyFill="1" applyBorder="1" applyAlignment="1" applyProtection="1">
      <alignment vertical="center"/>
      <protection locked="0"/>
    </xf>
    <xf numFmtId="0" fontId="21" fillId="0" borderId="0" xfId="71" applyFont="1" applyBorder="1" applyAlignment="1" applyProtection="1">
      <alignment vertical="center"/>
      <protection locked="0"/>
    </xf>
    <xf numFmtId="0" fontId="6" fillId="0" borderId="0" xfId="71" applyFont="1" applyFill="1"/>
    <xf numFmtId="0" fontId="6" fillId="0" borderId="0" xfId="71" applyFont="1" applyFill="1" applyBorder="1"/>
    <xf numFmtId="0" fontId="23" fillId="2" borderId="7" xfId="71" applyFont="1" applyFill="1" applyBorder="1" applyAlignment="1">
      <alignment horizontal="center" vertical="center" wrapText="1"/>
    </xf>
    <xf numFmtId="164" fontId="5" fillId="0" borderId="0" xfId="71" applyNumberFormat="1"/>
    <xf numFmtId="5" fontId="14" fillId="0" borderId="0" xfId="71" applyNumberFormat="1" applyFont="1" applyFill="1" applyBorder="1" applyAlignment="1" applyProtection="1">
      <alignment vertical="center"/>
    </xf>
    <xf numFmtId="164" fontId="5" fillId="0" borderId="0" xfId="71" applyNumberFormat="1" applyFill="1"/>
    <xf numFmtId="164" fontId="22" fillId="0" borderId="0" xfId="71" applyNumberFormat="1" applyFont="1" applyFill="1" applyBorder="1"/>
    <xf numFmtId="164" fontId="0" fillId="0" borderId="0" xfId="21" applyNumberFormat="1" applyFont="1" applyFill="1" applyAlignment="1">
      <alignment vertical="center"/>
    </xf>
    <xf numFmtId="43" fontId="5" fillId="0" borderId="0" xfId="71" applyNumberFormat="1"/>
    <xf numFmtId="166" fontId="22" fillId="0" borderId="0" xfId="71" applyNumberFormat="1" applyFont="1" applyFill="1" applyBorder="1"/>
    <xf numFmtId="1" fontId="5" fillId="0" borderId="0" xfId="71" applyNumberFormat="1" applyFill="1"/>
    <xf numFmtId="1" fontId="14" fillId="0" borderId="0" xfId="21" applyNumberFormat="1" applyFont="1" applyFill="1" applyBorder="1" applyAlignment="1" applyProtection="1">
      <alignment vertical="center"/>
    </xf>
    <xf numFmtId="1" fontId="5" fillId="0" borderId="0" xfId="71" applyNumberFormat="1"/>
    <xf numFmtId="164" fontId="0" fillId="0" borderId="0" xfId="21" applyNumberFormat="1" applyFont="1" applyBorder="1"/>
    <xf numFmtId="0" fontId="6" fillId="0" borderId="0" xfId="71" applyFont="1" applyAlignment="1">
      <alignment vertical="center" wrapText="1"/>
    </xf>
    <xf numFmtId="0" fontId="8" fillId="0" borderId="0" xfId="71" applyFont="1" applyAlignment="1" applyProtection="1">
      <alignment horizontal="left"/>
    </xf>
    <xf numFmtId="0" fontId="0" fillId="0" borderId="0" xfId="0" applyNumberFormat="1" applyFont="1" applyFill="1" applyBorder="1" applyAlignment="1"/>
    <xf numFmtId="38" fontId="7" fillId="0" borderId="0" xfId="0" applyFont="1" applyAlignment="1"/>
    <xf numFmtId="38" fontId="7" fillId="0" borderId="0" xfId="0" applyFont="1"/>
    <xf numFmtId="164" fontId="7" fillId="0" borderId="7" xfId="4" applyNumberFormat="1" applyFont="1" applyBorder="1" applyAlignment="1"/>
    <xf numFmtId="164" fontId="7" fillId="0" borderId="7" xfId="0" applyNumberFormat="1" applyFont="1" applyBorder="1" applyAlignment="1"/>
    <xf numFmtId="167" fontId="7" fillId="0" borderId="7" xfId="0" applyNumberFormat="1" applyFont="1" applyFill="1" applyBorder="1" applyAlignment="1">
      <alignment horizontal="right" vertical="center"/>
    </xf>
    <xf numFmtId="38" fontId="7" fillId="0" borderId="7" xfId="0" applyFont="1" applyBorder="1" applyAlignment="1"/>
    <xf numFmtId="0" fontId="3" fillId="0" borderId="0" xfId="71" applyFont="1" applyAlignment="1">
      <alignment vertical="center"/>
    </xf>
    <xf numFmtId="0" fontId="3" fillId="0" borderId="0" xfId="71" applyFont="1"/>
    <xf numFmtId="38" fontId="26" fillId="0" borderId="0" xfId="0" applyFont="1"/>
    <xf numFmtId="5" fontId="12" fillId="0" borderId="2" xfId="1" applyNumberFormat="1" applyFont="1" applyBorder="1"/>
    <xf numFmtId="0" fontId="12" fillId="0" borderId="0" xfId="2" applyFont="1" applyBorder="1"/>
    <xf numFmtId="0" fontId="6" fillId="0" borderId="13" xfId="47" applyFont="1" applyFill="1" applyBorder="1"/>
    <xf numFmtId="5" fontId="7" fillId="0" borderId="0" xfId="1" applyNumberFormat="1" applyFont="1" applyFill="1" applyBorder="1"/>
    <xf numFmtId="5" fontId="7" fillId="0" borderId="0" xfId="1" applyNumberFormat="1" applyFont="1" applyBorder="1"/>
    <xf numFmtId="5" fontId="12" fillId="0" borderId="0" xfId="1" quotePrefix="1" applyNumberFormat="1" applyFont="1" applyAlignment="1">
      <alignment horizontal="center"/>
    </xf>
    <xf numFmtId="5" fontId="12" fillId="0" borderId="0" xfId="2" applyNumberFormat="1" applyFont="1" applyFill="1" applyAlignment="1">
      <alignment horizontal="center"/>
    </xf>
    <xf numFmtId="5" fontId="7" fillId="0" borderId="1" xfId="2" applyNumberFormat="1" applyFont="1" applyFill="1" applyBorder="1" applyAlignment="1">
      <alignment horizontal="center" wrapText="1"/>
    </xf>
    <xf numFmtId="5" fontId="7" fillId="0" borderId="0" xfId="1" applyNumberFormat="1" applyFont="1"/>
    <xf numFmtId="0" fontId="6" fillId="0" borderId="0" xfId="103" applyFont="1" applyAlignment="1">
      <alignment horizontal="left" vertical="top" wrapText="1"/>
    </xf>
    <xf numFmtId="0" fontId="2" fillId="0" borderId="0" xfId="104" applyFont="1"/>
    <xf numFmtId="0" fontId="6" fillId="0" borderId="15" xfId="97" applyFont="1" applyFill="1" applyBorder="1" applyAlignment="1">
      <alignment vertical="center"/>
    </xf>
    <xf numFmtId="0" fontId="2" fillId="0" borderId="0" xfId="47" applyFont="1" applyFill="1" applyBorder="1"/>
    <xf numFmtId="0" fontId="2" fillId="0" borderId="13" xfId="92" applyFont="1" applyFill="1" applyBorder="1" applyAlignment="1">
      <alignment horizontal="left" indent="2"/>
    </xf>
    <xf numFmtId="0" fontId="6" fillId="0" borderId="13" xfId="103" applyFont="1" applyBorder="1"/>
    <xf numFmtId="0" fontId="2" fillId="0" borderId="2" xfId="92" applyFont="1" applyFill="1" applyBorder="1" applyAlignment="1">
      <alignment horizontal="left" indent="2"/>
    </xf>
    <xf numFmtId="0" fontId="2" fillId="0" borderId="0" xfId="103" applyFont="1"/>
    <xf numFmtId="14" fontId="2" fillId="0" borderId="0" xfId="104" applyNumberFormat="1" applyFont="1" applyAlignment="1">
      <alignment horizontal="left" vertical="top"/>
    </xf>
    <xf numFmtId="10" fontId="24" fillId="0" borderId="0" xfId="105" applyNumberFormat="1" applyFont="1" applyBorder="1" applyAlignment="1">
      <alignment horizontal="center"/>
    </xf>
    <xf numFmtId="10" fontId="24" fillId="0" borderId="0" xfId="105" applyNumberFormat="1" applyFont="1"/>
    <xf numFmtId="0" fontId="28" fillId="0" borderId="16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/>
    <xf numFmtId="0" fontId="12" fillId="0" borderId="7" xfId="0" applyNumberFormat="1" applyFont="1" applyFill="1" applyBorder="1" applyAlignment="1">
      <alignment horizontal="left" vertical="center"/>
    </xf>
    <xf numFmtId="0" fontId="12" fillId="0" borderId="7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Border="1" applyAlignment="1">
      <alignment horizontal="left" vertical="center"/>
    </xf>
    <xf numFmtId="0" fontId="1" fillId="0" borderId="18" xfId="47" applyFont="1" applyBorder="1" applyAlignment="1">
      <alignment horizontal="center" wrapText="1"/>
    </xf>
    <xf numFmtId="0" fontId="1" fillId="0" borderId="19" xfId="47" applyFont="1" applyBorder="1" applyAlignment="1">
      <alignment horizontal="center" wrapText="1"/>
    </xf>
    <xf numFmtId="38" fontId="1" fillId="0" borderId="0" xfId="0" applyFont="1"/>
    <xf numFmtId="38" fontId="1" fillId="0" borderId="12" xfId="0" applyFont="1" applyBorder="1"/>
    <xf numFmtId="168" fontId="1" fillId="0" borderId="0" xfId="0" applyNumberFormat="1" applyFont="1" applyAlignment="1">
      <alignment horizontal="center"/>
    </xf>
    <xf numFmtId="168" fontId="1" fillId="0" borderId="12" xfId="0" applyNumberFormat="1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169" fontId="1" fillId="0" borderId="12" xfId="0" applyNumberFormat="1" applyFont="1" applyBorder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169" fontId="1" fillId="0" borderId="14" xfId="0" applyNumberFormat="1" applyFont="1" applyBorder="1" applyAlignment="1">
      <alignment horizontal="center"/>
    </xf>
    <xf numFmtId="7" fontId="29" fillId="0" borderId="0" xfId="1" applyNumberFormat="1" applyFont="1" applyAlignment="1">
      <alignment horizontal="center"/>
    </xf>
  </cellXfs>
  <cellStyles count="106">
    <cellStyle name="Comma 10" xfId="3" xr:uid="{00000000-0005-0000-0000-000000000000}"/>
    <cellStyle name="Comma 11" xfId="94" xr:uid="{00000000-0005-0000-0000-000001000000}"/>
    <cellStyle name="Comma 2" xfId="4" xr:uid="{00000000-0005-0000-0000-000002000000}"/>
    <cellStyle name="Comma 2 2" xfId="5" xr:uid="{00000000-0005-0000-0000-000003000000}"/>
    <cellStyle name="Comma 2 3" xfId="6" xr:uid="{00000000-0005-0000-0000-000004000000}"/>
    <cellStyle name="Comma 2 4" xfId="7" xr:uid="{00000000-0005-0000-0000-000005000000}"/>
    <cellStyle name="Comma 2 5" xfId="8" xr:uid="{00000000-0005-0000-0000-000006000000}"/>
    <cellStyle name="Comma 3" xfId="9" xr:uid="{00000000-0005-0000-0000-000007000000}"/>
    <cellStyle name="Comma 3 2" xfId="10" xr:uid="{00000000-0005-0000-0000-000008000000}"/>
    <cellStyle name="Comma 3 3" xfId="11" xr:uid="{00000000-0005-0000-0000-000009000000}"/>
    <cellStyle name="Comma 4" xfId="12" xr:uid="{00000000-0005-0000-0000-00000A000000}"/>
    <cellStyle name="Comma 4 2" xfId="13" xr:uid="{00000000-0005-0000-0000-00000B000000}"/>
    <cellStyle name="Comma 4 3" xfId="14" xr:uid="{00000000-0005-0000-0000-00000C000000}"/>
    <cellStyle name="Comma 5" xfId="15" xr:uid="{00000000-0005-0000-0000-00000D000000}"/>
    <cellStyle name="Comma 5 2" xfId="16" xr:uid="{00000000-0005-0000-0000-00000E000000}"/>
    <cellStyle name="Comma 6" xfId="17" xr:uid="{00000000-0005-0000-0000-00000F000000}"/>
    <cellStyle name="Comma 7" xfId="18" xr:uid="{00000000-0005-0000-0000-000010000000}"/>
    <cellStyle name="Comma 7 2" xfId="19" xr:uid="{00000000-0005-0000-0000-000011000000}"/>
    <cellStyle name="Comma 8" xfId="20" xr:uid="{00000000-0005-0000-0000-000012000000}"/>
    <cellStyle name="Comma 9" xfId="21" xr:uid="{00000000-0005-0000-0000-000013000000}"/>
    <cellStyle name="Comma 9 2" xfId="22" xr:uid="{00000000-0005-0000-0000-000014000000}"/>
    <cellStyle name="Currency" xfId="1" builtinId="4"/>
    <cellStyle name="Currency 2" xfId="23" xr:uid="{00000000-0005-0000-0000-000016000000}"/>
    <cellStyle name="Currency 2 2" xfId="24" xr:uid="{00000000-0005-0000-0000-000017000000}"/>
    <cellStyle name="Currency 2 3" xfId="25" xr:uid="{00000000-0005-0000-0000-000018000000}"/>
    <cellStyle name="Currency 2 4" xfId="26" xr:uid="{00000000-0005-0000-0000-000019000000}"/>
    <cellStyle name="Currency 2 5" xfId="27" xr:uid="{00000000-0005-0000-0000-00001A000000}"/>
    <cellStyle name="Currency 3" xfId="28" xr:uid="{00000000-0005-0000-0000-00001B000000}"/>
    <cellStyle name="Currency 3 2" xfId="29" xr:uid="{00000000-0005-0000-0000-00001C000000}"/>
    <cellStyle name="Currency 3 3" xfId="30" xr:uid="{00000000-0005-0000-0000-00001D000000}"/>
    <cellStyle name="Currency 4" xfId="31" xr:uid="{00000000-0005-0000-0000-00001E000000}"/>
    <cellStyle name="Currency 4 2" xfId="32" xr:uid="{00000000-0005-0000-0000-00001F000000}"/>
    <cellStyle name="Currency 4 3" xfId="33" xr:uid="{00000000-0005-0000-0000-000020000000}"/>
    <cellStyle name="Currency 5" xfId="34" xr:uid="{00000000-0005-0000-0000-000021000000}"/>
    <cellStyle name="Currency 6" xfId="35" xr:uid="{00000000-0005-0000-0000-000022000000}"/>
    <cellStyle name="Currency 7" xfId="36" xr:uid="{00000000-0005-0000-0000-000023000000}"/>
    <cellStyle name="Currency 7 2" xfId="37" xr:uid="{00000000-0005-0000-0000-000024000000}"/>
    <cellStyle name="Currency 8" xfId="38" xr:uid="{00000000-0005-0000-0000-000025000000}"/>
    <cellStyle name="Currency 9" xfId="39" xr:uid="{00000000-0005-0000-0000-000026000000}"/>
    <cellStyle name="Normal" xfId="0" builtinId="0"/>
    <cellStyle name="Normal 10" xfId="40" xr:uid="{00000000-0005-0000-0000-000028000000}"/>
    <cellStyle name="Normal 10 10" xfId="41" xr:uid="{00000000-0005-0000-0000-000029000000}"/>
    <cellStyle name="Normal 10 10 2" xfId="98" xr:uid="{00000000-0005-0000-0000-00002A000000}"/>
    <cellStyle name="Normal 10 2" xfId="42" xr:uid="{00000000-0005-0000-0000-00002B000000}"/>
    <cellStyle name="Normal 11" xfId="43" xr:uid="{00000000-0005-0000-0000-00002C000000}"/>
    <cellStyle name="Normal 11 2" xfId="104" xr:uid="{00000000-0005-0000-0000-00002D000000}"/>
    <cellStyle name="Normal 12" xfId="44" xr:uid="{00000000-0005-0000-0000-00002E000000}"/>
    <cellStyle name="Normal 13" xfId="45" xr:uid="{00000000-0005-0000-0000-00002F000000}"/>
    <cellStyle name="Normal 15" xfId="46" xr:uid="{00000000-0005-0000-0000-000030000000}"/>
    <cellStyle name="Normal 15 2" xfId="102" xr:uid="{00000000-0005-0000-0000-000031000000}"/>
    <cellStyle name="Normal 2" xfId="47" xr:uid="{00000000-0005-0000-0000-000032000000}"/>
    <cellStyle name="Normal 2 2" xfId="48" xr:uid="{00000000-0005-0000-0000-000033000000}"/>
    <cellStyle name="Normal 2 2 2" xfId="100" xr:uid="{00000000-0005-0000-0000-000034000000}"/>
    <cellStyle name="Normal 2 3" xfId="49" xr:uid="{00000000-0005-0000-0000-000035000000}"/>
    <cellStyle name="Normal 3" xfId="50" xr:uid="{00000000-0005-0000-0000-000036000000}"/>
    <cellStyle name="Normal 3 2" xfId="51" xr:uid="{00000000-0005-0000-0000-000037000000}"/>
    <cellStyle name="Normal 3 3" xfId="52" xr:uid="{00000000-0005-0000-0000-000038000000}"/>
    <cellStyle name="Normal 3 3 2" xfId="103" xr:uid="{00000000-0005-0000-0000-000039000000}"/>
    <cellStyle name="Normal 3 4" xfId="96" xr:uid="{00000000-0005-0000-0000-00003A000000}"/>
    <cellStyle name="Normal 4" xfId="53" xr:uid="{00000000-0005-0000-0000-00003B000000}"/>
    <cellStyle name="Normal 4 2" xfId="2" xr:uid="{00000000-0005-0000-0000-00003C000000}"/>
    <cellStyle name="Normal 4 2 2" xfId="54" xr:uid="{00000000-0005-0000-0000-00003D000000}"/>
    <cellStyle name="Normal 4 2_Sheet2" xfId="55" xr:uid="{00000000-0005-0000-0000-00003E000000}"/>
    <cellStyle name="Normal 4 3" xfId="56" xr:uid="{00000000-0005-0000-0000-00003F000000}"/>
    <cellStyle name="Normal 4 4" xfId="57" xr:uid="{00000000-0005-0000-0000-000040000000}"/>
    <cellStyle name="Normal 4_Sheet2" xfId="58" xr:uid="{00000000-0005-0000-0000-000041000000}"/>
    <cellStyle name="Normal 5" xfId="59" xr:uid="{00000000-0005-0000-0000-000042000000}"/>
    <cellStyle name="Normal 5 2" xfId="60" xr:uid="{00000000-0005-0000-0000-000043000000}"/>
    <cellStyle name="Normal 5 3" xfId="61" xr:uid="{00000000-0005-0000-0000-000044000000}"/>
    <cellStyle name="Normal 5 4" xfId="62" xr:uid="{00000000-0005-0000-0000-000045000000}"/>
    <cellStyle name="Normal 5 5" xfId="63" xr:uid="{00000000-0005-0000-0000-000046000000}"/>
    <cellStyle name="Normal 5_Sheet2" xfId="64" xr:uid="{00000000-0005-0000-0000-000047000000}"/>
    <cellStyle name="Normal 6" xfId="65" xr:uid="{00000000-0005-0000-0000-000048000000}"/>
    <cellStyle name="Normal 6 2" xfId="66" xr:uid="{00000000-0005-0000-0000-000049000000}"/>
    <cellStyle name="Normal 65" xfId="67" xr:uid="{00000000-0005-0000-0000-00004A000000}"/>
    <cellStyle name="Normal 65 2" xfId="101" xr:uid="{00000000-0005-0000-0000-00004B000000}"/>
    <cellStyle name="Normal 7" xfId="68" xr:uid="{00000000-0005-0000-0000-00004C000000}"/>
    <cellStyle name="Normal 7 2" xfId="69" xr:uid="{00000000-0005-0000-0000-00004D000000}"/>
    <cellStyle name="Normal 8" xfId="70" xr:uid="{00000000-0005-0000-0000-00004E000000}"/>
    <cellStyle name="Normal 9" xfId="71" xr:uid="{00000000-0005-0000-0000-00004F000000}"/>
    <cellStyle name="Normal 9 2" xfId="72" xr:uid="{00000000-0005-0000-0000-000050000000}"/>
    <cellStyle name="Normal 94" xfId="73" xr:uid="{00000000-0005-0000-0000-000051000000}"/>
    <cellStyle name="Normal 94 2" xfId="99" xr:uid="{00000000-0005-0000-0000-000052000000}"/>
    <cellStyle name="Normal_tbls1_13_a" xfId="97" xr:uid="{00000000-0005-0000-0000-000053000000}"/>
    <cellStyle name="Percent 2" xfId="74" xr:uid="{00000000-0005-0000-0000-000054000000}"/>
    <cellStyle name="Percent 2 2" xfId="75" xr:uid="{00000000-0005-0000-0000-000055000000}"/>
    <cellStyle name="Percent 2 3" xfId="76" xr:uid="{00000000-0005-0000-0000-000056000000}"/>
    <cellStyle name="Percent 3" xfId="77" xr:uid="{00000000-0005-0000-0000-000057000000}"/>
    <cellStyle name="Percent 3 2" xfId="78" xr:uid="{00000000-0005-0000-0000-000058000000}"/>
    <cellStyle name="Percent 3 3" xfId="79" xr:uid="{00000000-0005-0000-0000-000059000000}"/>
    <cellStyle name="Percent 4" xfId="80" xr:uid="{00000000-0005-0000-0000-00005A000000}"/>
    <cellStyle name="Percent 4 2" xfId="81" xr:uid="{00000000-0005-0000-0000-00005B000000}"/>
    <cellStyle name="Percent 4 3" xfId="82" xr:uid="{00000000-0005-0000-0000-00005C000000}"/>
    <cellStyle name="Percent 5" xfId="83" xr:uid="{00000000-0005-0000-0000-00005D000000}"/>
    <cellStyle name="Percent 5 2" xfId="84" xr:uid="{00000000-0005-0000-0000-00005E000000}"/>
    <cellStyle name="Percent 5 3" xfId="85" xr:uid="{00000000-0005-0000-0000-00005F000000}"/>
    <cellStyle name="Percent 5 4" xfId="86" xr:uid="{00000000-0005-0000-0000-000060000000}"/>
    <cellStyle name="Percent 5 5" xfId="87" xr:uid="{00000000-0005-0000-0000-000061000000}"/>
    <cellStyle name="Percent 6" xfId="88" xr:uid="{00000000-0005-0000-0000-000062000000}"/>
    <cellStyle name="Percent 6 2" xfId="89" xr:uid="{00000000-0005-0000-0000-000063000000}"/>
    <cellStyle name="Percent 7" xfId="90" xr:uid="{00000000-0005-0000-0000-000064000000}"/>
    <cellStyle name="Percent 8" xfId="91" xr:uid="{00000000-0005-0000-0000-000065000000}"/>
    <cellStyle name="Percent 9" xfId="105" xr:uid="{00000000-0005-0000-0000-000066000000}"/>
    <cellStyle name="rowhead_tbls1_13_a" xfId="92" xr:uid="{00000000-0005-0000-0000-000067000000}"/>
    <cellStyle name="Style 1" xfId="95" xr:uid="{00000000-0005-0000-0000-000068000000}"/>
    <cellStyle name="tablename" xfId="93" xr:uid="{00000000-0005-0000-0000-00006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139700</xdr:rowOff>
    </xdr:from>
    <xdr:to>
      <xdr:col>13</xdr:col>
      <xdr:colOff>135595</xdr:colOff>
      <xdr:row>28</xdr:row>
      <xdr:rowOff>43862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599EC8-49B7-4A4B-9DBF-835348237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" y="317500"/>
          <a:ext cx="7438095" cy="4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65</xdr:row>
      <xdr:rowOff>127000</xdr:rowOff>
    </xdr:from>
    <xdr:to>
      <xdr:col>12</xdr:col>
      <xdr:colOff>272121</xdr:colOff>
      <xdr:row>94</xdr:row>
      <xdr:rowOff>8895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8F45F5-2F18-4850-BA60-2E54BC797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750" y="11684000"/>
          <a:ext cx="7428571" cy="5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406400</xdr:colOff>
      <xdr:row>33</xdr:row>
      <xdr:rowOff>0</xdr:rowOff>
    </xdr:from>
    <xdr:to>
      <xdr:col>17</xdr:col>
      <xdr:colOff>233676</xdr:colOff>
      <xdr:row>61</xdr:row>
      <xdr:rowOff>107314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CE1A1C-1819-4C69-989F-CBC52F3F1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400" y="5867400"/>
          <a:ext cx="10190476" cy="5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Z61"/>
  <sheetViews>
    <sheetView tabSelected="1" zoomScaleNormal="100" zoomScaleSheetLayoutView="100" workbookViewId="0">
      <selection activeCell="D8" sqref="D8"/>
    </sheetView>
  </sheetViews>
  <sheetFormatPr defaultColWidth="12.5546875" defaultRowHeight="13.8" x14ac:dyDescent="0.25"/>
  <cols>
    <col min="1" max="1" width="22.109375" style="1" customWidth="1"/>
    <col min="2" max="2" width="12.5546875" style="1" bestFit="1" customWidth="1"/>
    <col min="3" max="3" width="15.44140625" style="119" bestFit="1" customWidth="1"/>
    <col min="4" max="4" width="15.33203125" style="9" customWidth="1"/>
    <col min="5" max="5" width="14.6640625" style="9" bestFit="1" customWidth="1"/>
    <col min="6" max="7" width="15.33203125" style="9" customWidth="1"/>
    <col min="8" max="8" width="9.109375" customWidth="1"/>
    <col min="9" max="17" width="9.109375" style="1" customWidth="1"/>
    <col min="18" max="18" width="12.33203125" style="1" bestFit="1" customWidth="1"/>
    <col min="19" max="230" width="9.109375" style="1" customWidth="1"/>
    <col min="231" max="231" width="12.88671875" style="1" customWidth="1"/>
    <col min="232" max="232" width="13.6640625" style="1" customWidth="1"/>
    <col min="233" max="233" width="15.33203125" style="1" customWidth="1"/>
    <col min="234" max="234" width="15.5546875" style="1" customWidth="1"/>
    <col min="235" max="16384" width="12.5546875" style="1"/>
  </cols>
  <sheetData>
    <row r="1" spans="1:7" ht="23.25" customHeight="1" x14ac:dyDescent="0.3">
      <c r="A1" s="2" t="s">
        <v>191</v>
      </c>
      <c r="B1" s="2"/>
      <c r="C1" s="114"/>
      <c r="F1" s="4"/>
      <c r="G1" s="4"/>
    </row>
    <row r="2" spans="1:7" ht="18" hidden="1" customHeight="1" x14ac:dyDescent="0.3">
      <c r="A2" s="6"/>
      <c r="B2" s="6"/>
      <c r="C2" s="114"/>
      <c r="F2" s="4"/>
      <c r="G2" s="4"/>
    </row>
    <row r="3" spans="1:7" ht="16.5" hidden="1" customHeight="1" x14ac:dyDescent="0.3">
      <c r="A3" s="7"/>
      <c r="B3" s="7"/>
      <c r="C3" s="114"/>
      <c r="F3" s="4"/>
      <c r="G3" s="4"/>
    </row>
    <row r="4" spans="1:7" ht="18" hidden="1" customHeight="1" x14ac:dyDescent="0.3">
      <c r="A4" s="7"/>
      <c r="B4" s="7"/>
      <c r="C4" s="115"/>
      <c r="F4" s="8"/>
      <c r="G4" s="8"/>
    </row>
    <row r="5" spans="1:7" ht="18" hidden="1" customHeight="1" x14ac:dyDescent="0.3">
      <c r="A5" s="7"/>
      <c r="B5" s="7"/>
      <c r="C5" s="114"/>
      <c r="F5" s="4"/>
      <c r="G5" s="4"/>
    </row>
    <row r="6" spans="1:7" x14ac:dyDescent="0.25">
      <c r="A6" s="3"/>
      <c r="B6" s="3"/>
      <c r="C6" s="116"/>
      <c r="G6" s="10"/>
    </row>
    <row r="7" spans="1:7" x14ac:dyDescent="0.25">
      <c r="A7" s="11"/>
      <c r="B7" s="11"/>
      <c r="C7" s="117" t="s">
        <v>0</v>
      </c>
      <c r="D7" s="146" t="s">
        <v>203</v>
      </c>
      <c r="E7" s="12"/>
      <c r="F7" s="12"/>
      <c r="G7" s="13"/>
    </row>
    <row r="8" spans="1:7" ht="26.4" x14ac:dyDescent="0.25">
      <c r="A8" s="14"/>
      <c r="B8" s="15" t="s">
        <v>1</v>
      </c>
      <c r="C8" s="118" t="s">
        <v>2</v>
      </c>
      <c r="D8" s="16" t="s">
        <v>192</v>
      </c>
      <c r="E8" s="16" t="s">
        <v>193</v>
      </c>
      <c r="F8" s="16" t="s">
        <v>194</v>
      </c>
      <c r="G8" s="16" t="s">
        <v>195</v>
      </c>
    </row>
    <row r="9" spans="1:7" x14ac:dyDescent="0.25">
      <c r="A9" s="17" t="s">
        <v>3</v>
      </c>
      <c r="B9" s="18" t="s">
        <v>4</v>
      </c>
      <c r="C9" s="19">
        <v>0</v>
      </c>
      <c r="D9" s="20">
        <f>ROUND(C9/4,0)</f>
        <v>0</v>
      </c>
      <c r="E9" s="21">
        <f>D9</f>
        <v>0</v>
      </c>
      <c r="F9" s="21">
        <f>D9</f>
        <v>0</v>
      </c>
      <c r="G9" s="21">
        <f>C9-D9-E9-F9</f>
        <v>0</v>
      </c>
    </row>
    <row r="10" spans="1:7" x14ac:dyDescent="0.25">
      <c r="A10" s="22" t="s">
        <v>5</v>
      </c>
      <c r="B10" s="14" t="s">
        <v>6</v>
      </c>
      <c r="C10" s="19">
        <f>+SFY22_GME!C24</f>
        <v>1274063</v>
      </c>
      <c r="D10" s="20">
        <f>ROUND(C10/4,0)</f>
        <v>318516</v>
      </c>
      <c r="E10" s="21">
        <f t="shared" ref="E10:E35" si="0">D10</f>
        <v>318516</v>
      </c>
      <c r="F10" s="21">
        <f t="shared" ref="F10:F35" si="1">D10</f>
        <v>318516</v>
      </c>
      <c r="G10" s="21">
        <f>C10-D10-E10-F10</f>
        <v>318515</v>
      </c>
    </row>
    <row r="11" spans="1:7" x14ac:dyDescent="0.25">
      <c r="A11" s="22" t="s">
        <v>7</v>
      </c>
      <c r="B11" s="14" t="s">
        <v>8</v>
      </c>
      <c r="C11" s="19">
        <v>0</v>
      </c>
      <c r="D11" s="20">
        <f t="shared" ref="D11:D35" si="2">ROUND(C11/4,0)</f>
        <v>0</v>
      </c>
      <c r="E11" s="21">
        <f t="shared" si="0"/>
        <v>0</v>
      </c>
      <c r="F11" s="21">
        <f t="shared" si="1"/>
        <v>0</v>
      </c>
      <c r="G11" s="21">
        <f t="shared" ref="G11:G35" si="3">C11-D11-E11-F11</f>
        <v>0</v>
      </c>
    </row>
    <row r="12" spans="1:7" x14ac:dyDescent="0.25">
      <c r="A12" s="22" t="s">
        <v>9</v>
      </c>
      <c r="B12" s="23" t="s">
        <v>10</v>
      </c>
      <c r="C12" s="19">
        <f>+SFY22_GME!D24</f>
        <v>1405339</v>
      </c>
      <c r="D12" s="20">
        <f t="shared" si="2"/>
        <v>351335</v>
      </c>
      <c r="E12" s="21">
        <f t="shared" si="0"/>
        <v>351335</v>
      </c>
      <c r="F12" s="21">
        <f t="shared" si="1"/>
        <v>351335</v>
      </c>
      <c r="G12" s="21">
        <f t="shared" si="3"/>
        <v>351334</v>
      </c>
    </row>
    <row r="13" spans="1:7" x14ac:dyDescent="0.25">
      <c r="A13" s="22" t="s">
        <v>11</v>
      </c>
      <c r="B13" s="14" t="s">
        <v>12</v>
      </c>
      <c r="C13" s="19">
        <f>+SFY22_GME!E24</f>
        <v>563802</v>
      </c>
      <c r="D13" s="20">
        <f t="shared" si="2"/>
        <v>140951</v>
      </c>
      <c r="E13" s="21">
        <f t="shared" si="0"/>
        <v>140951</v>
      </c>
      <c r="F13" s="21">
        <f t="shared" si="1"/>
        <v>140951</v>
      </c>
      <c r="G13" s="21">
        <f t="shared" si="3"/>
        <v>140949</v>
      </c>
    </row>
    <row r="14" spans="1:7" x14ac:dyDescent="0.25">
      <c r="A14" s="22" t="s">
        <v>13</v>
      </c>
      <c r="B14" s="14" t="s">
        <v>14</v>
      </c>
      <c r="C14" s="19">
        <v>0</v>
      </c>
      <c r="D14" s="20">
        <f t="shared" si="2"/>
        <v>0</v>
      </c>
      <c r="E14" s="21">
        <f t="shared" si="0"/>
        <v>0</v>
      </c>
      <c r="F14" s="21">
        <f t="shared" si="1"/>
        <v>0</v>
      </c>
      <c r="G14" s="21">
        <f t="shared" si="3"/>
        <v>0</v>
      </c>
    </row>
    <row r="15" spans="1:7" x14ac:dyDescent="0.25">
      <c r="A15" s="22" t="s">
        <v>15</v>
      </c>
      <c r="B15" s="23" t="s">
        <v>16</v>
      </c>
      <c r="C15" s="19">
        <f>+SFY22_GME!F24</f>
        <v>1340776</v>
      </c>
      <c r="D15" s="20">
        <f t="shared" si="2"/>
        <v>335194</v>
      </c>
      <c r="E15" s="21">
        <f t="shared" si="0"/>
        <v>335194</v>
      </c>
      <c r="F15" s="21">
        <f t="shared" si="1"/>
        <v>335194</v>
      </c>
      <c r="G15" s="21">
        <f t="shared" si="3"/>
        <v>335194</v>
      </c>
    </row>
    <row r="16" spans="1:7" x14ac:dyDescent="0.25">
      <c r="A16" s="22" t="s">
        <v>17</v>
      </c>
      <c r="B16" s="14" t="s">
        <v>18</v>
      </c>
      <c r="C16" s="19">
        <f>+SFY22_GME!G24</f>
        <v>48702</v>
      </c>
      <c r="D16" s="20">
        <f t="shared" si="2"/>
        <v>12176</v>
      </c>
      <c r="E16" s="21">
        <f t="shared" si="0"/>
        <v>12176</v>
      </c>
      <c r="F16" s="21">
        <f t="shared" si="1"/>
        <v>12176</v>
      </c>
      <c r="G16" s="21">
        <f t="shared" si="3"/>
        <v>12174</v>
      </c>
    </row>
    <row r="17" spans="1:7" x14ac:dyDescent="0.25">
      <c r="A17" s="22" t="s">
        <v>19</v>
      </c>
      <c r="B17" s="14" t="s">
        <v>20</v>
      </c>
      <c r="C17" s="19">
        <f>+SFY22_GME!H24</f>
        <v>319495</v>
      </c>
      <c r="D17" s="20">
        <f t="shared" si="2"/>
        <v>79874</v>
      </c>
      <c r="E17" s="21">
        <f t="shared" si="0"/>
        <v>79874</v>
      </c>
      <c r="F17" s="21">
        <f t="shared" si="1"/>
        <v>79874</v>
      </c>
      <c r="G17" s="21">
        <f t="shared" si="3"/>
        <v>79873</v>
      </c>
    </row>
    <row r="18" spans="1:7" x14ac:dyDescent="0.25">
      <c r="A18" s="22" t="s">
        <v>21</v>
      </c>
      <c r="B18" s="14" t="s">
        <v>22</v>
      </c>
      <c r="C18" s="19">
        <f>+SFY22_GME!I24</f>
        <v>4211308</v>
      </c>
      <c r="D18" s="20">
        <f t="shared" si="2"/>
        <v>1052827</v>
      </c>
      <c r="E18" s="21">
        <f t="shared" si="0"/>
        <v>1052827</v>
      </c>
      <c r="F18" s="21">
        <f t="shared" si="1"/>
        <v>1052827</v>
      </c>
      <c r="G18" s="21">
        <f t="shared" si="3"/>
        <v>1052827</v>
      </c>
    </row>
    <row r="19" spans="1:7" x14ac:dyDescent="0.25">
      <c r="A19" s="22" t="s">
        <v>23</v>
      </c>
      <c r="B19" s="14" t="s">
        <v>24</v>
      </c>
      <c r="C19" s="19">
        <f>+SFY22_GME!C48</f>
        <v>654464</v>
      </c>
      <c r="D19" s="20">
        <f t="shared" si="2"/>
        <v>163616</v>
      </c>
      <c r="E19" s="21">
        <f t="shared" si="0"/>
        <v>163616</v>
      </c>
      <c r="F19" s="21">
        <f t="shared" si="1"/>
        <v>163616</v>
      </c>
      <c r="G19" s="21">
        <f t="shared" si="3"/>
        <v>163616</v>
      </c>
    </row>
    <row r="20" spans="1:7" x14ac:dyDescent="0.25">
      <c r="A20" s="22" t="s">
        <v>25</v>
      </c>
      <c r="B20" s="14" t="s">
        <v>26</v>
      </c>
      <c r="C20" s="19">
        <v>0</v>
      </c>
      <c r="D20" s="20">
        <f t="shared" si="2"/>
        <v>0</v>
      </c>
      <c r="E20" s="21">
        <f t="shared" si="0"/>
        <v>0</v>
      </c>
      <c r="F20" s="21">
        <f t="shared" si="1"/>
        <v>0</v>
      </c>
      <c r="G20" s="21">
        <f t="shared" si="3"/>
        <v>0</v>
      </c>
    </row>
    <row r="21" spans="1:7" x14ac:dyDescent="0.25">
      <c r="A21" s="22" t="s">
        <v>27</v>
      </c>
      <c r="B21" s="14" t="s">
        <v>28</v>
      </c>
      <c r="C21" s="19">
        <v>0</v>
      </c>
      <c r="D21" s="20">
        <f t="shared" si="2"/>
        <v>0</v>
      </c>
      <c r="E21" s="21">
        <f t="shared" si="0"/>
        <v>0</v>
      </c>
      <c r="F21" s="21">
        <f t="shared" si="1"/>
        <v>0</v>
      </c>
      <c r="G21" s="21">
        <f t="shared" si="3"/>
        <v>0</v>
      </c>
    </row>
    <row r="22" spans="1:7" x14ac:dyDescent="0.25">
      <c r="A22" s="22" t="s">
        <v>29</v>
      </c>
      <c r="B22" s="14" t="s">
        <v>30</v>
      </c>
      <c r="C22" s="19">
        <f>+SFY22_GME!D48</f>
        <v>12049</v>
      </c>
      <c r="D22" s="20">
        <f t="shared" si="2"/>
        <v>3012</v>
      </c>
      <c r="E22" s="21">
        <f t="shared" si="0"/>
        <v>3012</v>
      </c>
      <c r="F22" s="21">
        <f t="shared" si="1"/>
        <v>3012</v>
      </c>
      <c r="G22" s="21">
        <f t="shared" si="3"/>
        <v>3013</v>
      </c>
    </row>
    <row r="23" spans="1:7" x14ac:dyDescent="0.25">
      <c r="A23" s="22" t="s">
        <v>31</v>
      </c>
      <c r="B23" s="23" t="s">
        <v>116</v>
      </c>
      <c r="C23" s="19">
        <f>+SFY22_GME!E48</f>
        <v>320533</v>
      </c>
      <c r="D23" s="20">
        <f t="shared" si="2"/>
        <v>80133</v>
      </c>
      <c r="E23" s="21">
        <f t="shared" si="0"/>
        <v>80133</v>
      </c>
      <c r="F23" s="21">
        <f t="shared" si="1"/>
        <v>80133</v>
      </c>
      <c r="G23" s="21">
        <f t="shared" si="3"/>
        <v>80134</v>
      </c>
    </row>
    <row r="24" spans="1:7" x14ac:dyDescent="0.25">
      <c r="A24" s="22" t="s">
        <v>32</v>
      </c>
      <c r="B24" s="14" t="s">
        <v>33</v>
      </c>
      <c r="C24" s="19">
        <v>0</v>
      </c>
      <c r="D24" s="20">
        <f t="shared" si="2"/>
        <v>0</v>
      </c>
      <c r="E24" s="21">
        <f t="shared" si="0"/>
        <v>0</v>
      </c>
      <c r="F24" s="21">
        <f t="shared" si="1"/>
        <v>0</v>
      </c>
      <c r="G24" s="21">
        <f t="shared" si="3"/>
        <v>0</v>
      </c>
    </row>
    <row r="25" spans="1:7" x14ac:dyDescent="0.25">
      <c r="A25" s="22" t="s">
        <v>34</v>
      </c>
      <c r="B25" s="14" t="s">
        <v>35</v>
      </c>
      <c r="C25" s="19">
        <f>+SFY22_GME!F48</f>
        <v>265246</v>
      </c>
      <c r="D25" s="20">
        <f t="shared" si="2"/>
        <v>66312</v>
      </c>
      <c r="E25" s="21">
        <f t="shared" si="0"/>
        <v>66312</v>
      </c>
      <c r="F25" s="21">
        <f t="shared" si="1"/>
        <v>66312</v>
      </c>
      <c r="G25" s="21">
        <f t="shared" si="3"/>
        <v>66310</v>
      </c>
    </row>
    <row r="26" spans="1:7" x14ac:dyDescent="0.25">
      <c r="A26" s="22" t="s">
        <v>36</v>
      </c>
      <c r="B26" s="14" t="s">
        <v>37</v>
      </c>
      <c r="C26" s="19">
        <f>+SFY22_GME!G48</f>
        <v>788440</v>
      </c>
      <c r="D26" s="20">
        <f t="shared" si="2"/>
        <v>197110</v>
      </c>
      <c r="E26" s="21">
        <f t="shared" si="0"/>
        <v>197110</v>
      </c>
      <c r="F26" s="21">
        <f t="shared" si="1"/>
        <v>197110</v>
      </c>
      <c r="G26" s="21">
        <f t="shared" si="3"/>
        <v>197110</v>
      </c>
    </row>
    <row r="27" spans="1:7" x14ac:dyDescent="0.25">
      <c r="A27" s="22" t="s">
        <v>38</v>
      </c>
      <c r="B27" s="23" t="s">
        <v>117</v>
      </c>
      <c r="C27" s="19">
        <f>+SFY22_GME!H48</f>
        <v>6737</v>
      </c>
      <c r="D27" s="20">
        <f t="shared" si="2"/>
        <v>1684</v>
      </c>
      <c r="E27" s="21">
        <f t="shared" si="0"/>
        <v>1684</v>
      </c>
      <c r="F27" s="21">
        <f t="shared" si="1"/>
        <v>1684</v>
      </c>
      <c r="G27" s="21">
        <f t="shared" si="3"/>
        <v>1685</v>
      </c>
    </row>
    <row r="28" spans="1:7" x14ac:dyDescent="0.25">
      <c r="A28" s="22" t="s">
        <v>39</v>
      </c>
      <c r="B28" s="14" t="s">
        <v>40</v>
      </c>
      <c r="C28" s="19">
        <f>+SFY22_GME!I48</f>
        <v>1838573</v>
      </c>
      <c r="D28" s="20">
        <f t="shared" si="2"/>
        <v>459643</v>
      </c>
      <c r="E28" s="21">
        <f t="shared" si="0"/>
        <v>459643</v>
      </c>
      <c r="F28" s="21">
        <f t="shared" si="1"/>
        <v>459643</v>
      </c>
      <c r="G28" s="21">
        <f t="shared" si="3"/>
        <v>459644</v>
      </c>
    </row>
    <row r="29" spans="1:7" x14ac:dyDescent="0.25">
      <c r="A29" s="22" t="s">
        <v>41</v>
      </c>
      <c r="B29" s="14" t="s">
        <v>42</v>
      </c>
      <c r="C29" s="19">
        <f>+SFY22_GME!C73</f>
        <v>514362</v>
      </c>
      <c r="D29" s="20">
        <f t="shared" si="2"/>
        <v>128591</v>
      </c>
      <c r="E29" s="21">
        <f t="shared" si="0"/>
        <v>128591</v>
      </c>
      <c r="F29" s="21">
        <f t="shared" si="1"/>
        <v>128591</v>
      </c>
      <c r="G29" s="21">
        <f t="shared" si="3"/>
        <v>128589</v>
      </c>
    </row>
    <row r="30" spans="1:7" x14ac:dyDescent="0.25">
      <c r="A30" s="22" t="s">
        <v>43</v>
      </c>
      <c r="B30" s="14" t="s">
        <v>202</v>
      </c>
      <c r="C30" s="19">
        <f>+SFY22_GME!D73</f>
        <v>750601</v>
      </c>
      <c r="D30" s="20">
        <f t="shared" si="2"/>
        <v>187650</v>
      </c>
      <c r="E30" s="21">
        <f t="shared" si="0"/>
        <v>187650</v>
      </c>
      <c r="F30" s="21">
        <f t="shared" si="1"/>
        <v>187650</v>
      </c>
      <c r="G30" s="21">
        <f t="shared" si="3"/>
        <v>187651</v>
      </c>
    </row>
    <row r="31" spans="1:7" x14ac:dyDescent="0.25">
      <c r="A31" s="22" t="s">
        <v>44</v>
      </c>
      <c r="B31" s="14" t="s">
        <v>129</v>
      </c>
      <c r="C31" s="19">
        <v>0</v>
      </c>
      <c r="D31" s="20">
        <f t="shared" si="2"/>
        <v>0</v>
      </c>
      <c r="E31" s="21">
        <f t="shared" si="0"/>
        <v>0</v>
      </c>
      <c r="F31" s="21">
        <f t="shared" si="1"/>
        <v>0</v>
      </c>
      <c r="G31" s="21">
        <f t="shared" si="3"/>
        <v>0</v>
      </c>
    </row>
    <row r="32" spans="1:7" x14ac:dyDescent="0.25">
      <c r="A32" s="22" t="s">
        <v>45</v>
      </c>
      <c r="B32" s="14" t="s">
        <v>46</v>
      </c>
      <c r="C32" s="19">
        <f>+SFY22_GME!E73</f>
        <v>495170</v>
      </c>
      <c r="D32" s="20">
        <f t="shared" si="2"/>
        <v>123793</v>
      </c>
      <c r="E32" s="21">
        <f t="shared" si="0"/>
        <v>123793</v>
      </c>
      <c r="F32" s="21">
        <f t="shared" si="1"/>
        <v>123793</v>
      </c>
      <c r="G32" s="21">
        <f t="shared" si="3"/>
        <v>123791</v>
      </c>
    </row>
    <row r="33" spans="1:104" x14ac:dyDescent="0.25">
      <c r="A33" s="22" t="s">
        <v>47</v>
      </c>
      <c r="B33" s="23" t="s">
        <v>118</v>
      </c>
      <c r="C33" s="19">
        <f>+SFY22_GME!F73</f>
        <v>986755</v>
      </c>
      <c r="D33" s="20">
        <f t="shared" si="2"/>
        <v>246689</v>
      </c>
      <c r="E33" s="21">
        <f t="shared" si="0"/>
        <v>246689</v>
      </c>
      <c r="F33" s="21">
        <f t="shared" si="1"/>
        <v>246689</v>
      </c>
      <c r="G33" s="21">
        <f t="shared" si="3"/>
        <v>246688</v>
      </c>
    </row>
    <row r="34" spans="1:104" x14ac:dyDescent="0.25">
      <c r="A34" s="22" t="s">
        <v>48</v>
      </c>
      <c r="B34" s="14" t="s">
        <v>49</v>
      </c>
      <c r="C34" s="19">
        <v>0</v>
      </c>
      <c r="D34" s="20">
        <f t="shared" si="2"/>
        <v>0</v>
      </c>
      <c r="E34" s="21">
        <f t="shared" si="0"/>
        <v>0</v>
      </c>
      <c r="F34" s="21">
        <f t="shared" si="1"/>
        <v>0</v>
      </c>
      <c r="G34" s="21">
        <f t="shared" si="3"/>
        <v>0</v>
      </c>
    </row>
    <row r="35" spans="1:104" s="25" customFormat="1" x14ac:dyDescent="0.25">
      <c r="A35" s="22" t="s">
        <v>115</v>
      </c>
      <c r="B35" s="14" t="s">
        <v>50</v>
      </c>
      <c r="C35" s="19">
        <f>+SFY22_GME!G73</f>
        <v>7390118</v>
      </c>
      <c r="D35" s="20">
        <f t="shared" si="2"/>
        <v>1847530</v>
      </c>
      <c r="E35" s="21">
        <f t="shared" si="0"/>
        <v>1847530</v>
      </c>
      <c r="F35" s="21">
        <f t="shared" si="1"/>
        <v>1847530</v>
      </c>
      <c r="G35" s="21">
        <f t="shared" si="3"/>
        <v>1847528</v>
      </c>
      <c r="H3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 s="112" customFormat="1" x14ac:dyDescent="0.25">
      <c r="A36" s="26" t="s">
        <v>51</v>
      </c>
      <c r="B36" s="26"/>
      <c r="C36" s="111">
        <f>SUM(C9:C35)</f>
        <v>23186533</v>
      </c>
      <c r="D36" s="111">
        <f t="shared" ref="D36:G36" si="4">SUM(D9:D35)</f>
        <v>5796636</v>
      </c>
      <c r="E36" s="111">
        <f t="shared" si="4"/>
        <v>5796636</v>
      </c>
      <c r="F36" s="111">
        <f t="shared" si="4"/>
        <v>5796636</v>
      </c>
      <c r="G36" s="111">
        <f t="shared" si="4"/>
        <v>5796625</v>
      </c>
      <c r="H36" s="110"/>
    </row>
    <row r="37" spans="1:104" x14ac:dyDescent="0.25">
      <c r="A37" s="3"/>
      <c r="B37" s="3"/>
      <c r="C37" s="28"/>
      <c r="D37" s="28"/>
      <c r="E37" s="27"/>
      <c r="F37" s="27"/>
      <c r="J37" s="24"/>
    </row>
    <row r="38" spans="1:104" x14ac:dyDescent="0.25">
      <c r="A38" s="31"/>
      <c r="B38" s="31"/>
      <c r="C38" s="114"/>
      <c r="D38" s="28"/>
      <c r="E38" s="4"/>
      <c r="F38" s="4"/>
      <c r="G38" s="30"/>
      <c r="R38" s="29"/>
    </row>
    <row r="39" spans="1:104" x14ac:dyDescent="0.25">
      <c r="A39" s="32"/>
      <c r="B39" s="32"/>
      <c r="C39" s="114"/>
      <c r="D39" s="28"/>
      <c r="E39" s="4"/>
      <c r="F39" s="4"/>
      <c r="G39" s="30"/>
      <c r="R39" s="33"/>
    </row>
    <row r="40" spans="1:104" x14ac:dyDescent="0.25">
      <c r="A40" s="32"/>
      <c r="B40" s="32"/>
      <c r="C40" s="114"/>
      <c r="D40" s="28"/>
      <c r="E40" s="4"/>
      <c r="F40" s="4"/>
      <c r="G40" s="30"/>
      <c r="R40" s="33"/>
    </row>
    <row r="41" spans="1:104" x14ac:dyDescent="0.25">
      <c r="A41" s="32"/>
      <c r="B41" s="32"/>
      <c r="C41" s="114"/>
      <c r="D41" s="28"/>
      <c r="E41" s="4"/>
      <c r="F41" s="4"/>
      <c r="G41" s="30"/>
      <c r="R41" s="33"/>
    </row>
    <row r="42" spans="1:104" x14ac:dyDescent="0.25">
      <c r="A42" s="32"/>
      <c r="B42" s="32"/>
      <c r="C42" s="114"/>
      <c r="D42" s="28"/>
      <c r="E42" s="4"/>
      <c r="F42" s="4"/>
      <c r="G42" s="30"/>
      <c r="Q42" s="34"/>
      <c r="R42" s="35"/>
    </row>
    <row r="43" spans="1:104" x14ac:dyDescent="0.25">
      <c r="A43" s="34"/>
      <c r="B43" s="34"/>
      <c r="C43" s="114"/>
      <c r="D43" s="28"/>
      <c r="E43" s="4"/>
      <c r="F43" s="4"/>
      <c r="G43" s="30"/>
      <c r="Q43" s="34"/>
      <c r="R43" s="35"/>
    </row>
    <row r="44" spans="1:104" x14ac:dyDescent="0.25">
      <c r="A44" s="24"/>
      <c r="B44" s="24"/>
      <c r="C44" s="114"/>
      <c r="D44" s="28"/>
      <c r="E44" s="4"/>
      <c r="F44" s="4"/>
      <c r="G44" s="30"/>
      <c r="Q44" s="34"/>
      <c r="R44" s="35"/>
    </row>
    <row r="45" spans="1:104" x14ac:dyDescent="0.25">
      <c r="A45" s="24"/>
      <c r="B45" s="24"/>
      <c r="C45" s="114"/>
      <c r="D45" s="28"/>
      <c r="E45" s="4"/>
      <c r="F45" s="4"/>
      <c r="G45" s="30"/>
      <c r="Q45" s="34"/>
      <c r="R45" s="35"/>
    </row>
    <row r="46" spans="1:104" x14ac:dyDescent="0.25">
      <c r="A46" s="24"/>
      <c r="B46" s="24"/>
      <c r="C46" s="114"/>
      <c r="D46" s="28"/>
      <c r="E46" s="4"/>
      <c r="F46" s="4"/>
      <c r="G46" s="30"/>
      <c r="Q46" s="34"/>
      <c r="R46" s="35"/>
    </row>
    <row r="47" spans="1:104" x14ac:dyDescent="0.25">
      <c r="A47" s="36"/>
      <c r="B47" s="36"/>
      <c r="C47" s="114"/>
      <c r="D47" s="28"/>
      <c r="E47" s="4"/>
      <c r="F47" s="4"/>
      <c r="G47" s="30"/>
    </row>
    <row r="48" spans="1:104" x14ac:dyDescent="0.25">
      <c r="A48" s="36"/>
      <c r="C48" s="114"/>
      <c r="D48" s="28"/>
      <c r="E48" s="4"/>
      <c r="F48" s="4"/>
      <c r="G48" s="30"/>
    </row>
    <row r="49" spans="1:7" x14ac:dyDescent="0.25">
      <c r="A49" s="36"/>
      <c r="B49" s="36"/>
      <c r="C49" s="114"/>
      <c r="D49" s="28"/>
      <c r="E49" s="4"/>
      <c r="F49" s="4"/>
      <c r="G49" s="30"/>
    </row>
    <row r="50" spans="1:7" x14ac:dyDescent="0.25">
      <c r="A50" s="36"/>
      <c r="B50" s="36"/>
      <c r="C50" s="114"/>
      <c r="D50" s="28"/>
      <c r="E50" s="4"/>
      <c r="F50" s="4"/>
      <c r="G50" s="30"/>
    </row>
    <row r="51" spans="1:7" x14ac:dyDescent="0.25">
      <c r="A51" s="36"/>
      <c r="C51" s="114"/>
      <c r="D51" s="28"/>
      <c r="E51" s="4"/>
      <c r="F51" s="4"/>
      <c r="G51" s="30"/>
    </row>
    <row r="52" spans="1:7" x14ac:dyDescent="0.25">
      <c r="D52" s="4"/>
      <c r="E52" s="4"/>
      <c r="F52" s="4"/>
      <c r="G52" s="30"/>
    </row>
    <row r="53" spans="1:7" x14ac:dyDescent="0.25">
      <c r="D53" s="4"/>
      <c r="E53" s="4"/>
      <c r="F53" s="4"/>
      <c r="G53" s="30"/>
    </row>
    <row r="54" spans="1:7" x14ac:dyDescent="0.25">
      <c r="D54" s="4"/>
      <c r="E54" s="4"/>
      <c r="F54" s="4"/>
      <c r="G54" s="30"/>
    </row>
    <row r="55" spans="1:7" x14ac:dyDescent="0.25">
      <c r="D55" s="4"/>
      <c r="E55" s="4"/>
      <c r="F55" s="4"/>
      <c r="G55" s="30"/>
    </row>
    <row r="56" spans="1:7" x14ac:dyDescent="0.25">
      <c r="C56" s="114"/>
      <c r="D56" s="4"/>
      <c r="E56" s="4"/>
      <c r="F56" s="4"/>
      <c r="G56" s="30"/>
    </row>
    <row r="57" spans="1:7" x14ac:dyDescent="0.25">
      <c r="C57" s="114"/>
      <c r="D57" s="4"/>
      <c r="E57" s="4"/>
      <c r="F57" s="4"/>
      <c r="G57" s="30"/>
    </row>
    <row r="58" spans="1:7" x14ac:dyDescent="0.25">
      <c r="C58" s="114"/>
      <c r="D58" s="4"/>
      <c r="E58" s="4"/>
      <c r="F58" s="4"/>
      <c r="G58" s="30"/>
    </row>
    <row r="59" spans="1:7" x14ac:dyDescent="0.25">
      <c r="C59" s="114"/>
      <c r="D59" s="4"/>
      <c r="E59" s="4"/>
      <c r="F59" s="4"/>
    </row>
    <row r="60" spans="1:7" x14ac:dyDescent="0.25">
      <c r="C60" s="114"/>
      <c r="D60" s="4"/>
      <c r="E60" s="4"/>
      <c r="F60" s="4"/>
    </row>
    <row r="61" spans="1:7" x14ac:dyDescent="0.25">
      <c r="C61" s="114"/>
      <c r="D61" s="4"/>
      <c r="E61" s="4"/>
      <c r="F61" s="4"/>
    </row>
  </sheetData>
  <pageMargins left="0.5" right="0.5" top="0.6" bottom="0.59" header="0.25" footer="0.25"/>
  <pageSetup scale="88" orientation="portrait" r:id="rId1"/>
  <headerFooter alignWithMargins="0">
    <oddFooter>&amp;L&amp;9&amp;Z&amp;F, &amp;A&amp;R&amp;7&amp;D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9"/>
  <sheetViews>
    <sheetView zoomScale="81" zoomScaleNormal="81" zoomScaleSheetLayoutView="78" workbookViewId="0">
      <pane xSplit="2" topLeftCell="C1" activePane="topRight" state="frozen"/>
      <selection activeCell="C10" sqref="C10"/>
      <selection pane="topRight" activeCell="A2" sqref="A2"/>
    </sheetView>
  </sheetViews>
  <sheetFormatPr defaultColWidth="9.109375" defaultRowHeight="14.4" x14ac:dyDescent="0.3"/>
  <cols>
    <col min="1" max="1" width="7" style="37" bestFit="1" customWidth="1"/>
    <col min="2" max="2" width="78.6640625" style="37" bestFit="1" customWidth="1"/>
    <col min="3" max="3" width="17.5546875" style="38" bestFit="1" customWidth="1"/>
    <col min="4" max="4" width="16.88671875" style="38" bestFit="1" customWidth="1"/>
    <col min="5" max="5" width="17.5546875" style="38" bestFit="1" customWidth="1"/>
    <col min="6" max="6" width="16.88671875" style="38" bestFit="1" customWidth="1"/>
    <col min="7" max="7" width="18.6640625" style="38" bestFit="1" customWidth="1"/>
    <col min="8" max="9" width="17.5546875" style="38" bestFit="1" customWidth="1"/>
    <col min="10" max="11" width="16.109375" style="37" bestFit="1" customWidth="1"/>
    <col min="12" max="12" width="16.33203125" style="37" bestFit="1" customWidth="1"/>
    <col min="13" max="13" width="13.33203125" style="37" bestFit="1" customWidth="1"/>
    <col min="14" max="14" width="16.44140625" style="37" customWidth="1"/>
    <col min="15" max="16384" width="9.109375" style="37"/>
  </cols>
  <sheetData>
    <row r="1" spans="1:14" ht="17.399999999999999" x14ac:dyDescent="0.3">
      <c r="A1" s="100" t="s">
        <v>201</v>
      </c>
      <c r="B1" s="55"/>
      <c r="J1" s="38"/>
    </row>
    <row r="2" spans="1:14" x14ac:dyDescent="0.3">
      <c r="B2" s="85"/>
      <c r="D2" s="99"/>
      <c r="I2" s="108"/>
      <c r="J2" s="38"/>
    </row>
    <row r="3" spans="1:14" s="39" customFormat="1" x14ac:dyDescent="0.3">
      <c r="A3" s="68"/>
      <c r="B3" s="67" t="s">
        <v>83</v>
      </c>
      <c r="C3" s="66" t="s">
        <v>97</v>
      </c>
      <c r="D3" s="66" t="s">
        <v>96</v>
      </c>
      <c r="E3" s="66" t="s">
        <v>95</v>
      </c>
      <c r="F3" s="66" t="s">
        <v>94</v>
      </c>
      <c r="G3" s="66" t="s">
        <v>93</v>
      </c>
      <c r="H3" s="66" t="s">
        <v>92</v>
      </c>
      <c r="I3" s="66" t="s">
        <v>91</v>
      </c>
    </row>
    <row r="4" spans="1:14" x14ac:dyDescent="0.3">
      <c r="A4" s="65"/>
      <c r="B4" s="65"/>
    </row>
    <row r="5" spans="1:14" x14ac:dyDescent="0.3">
      <c r="A5" s="64"/>
      <c r="B5" s="48" t="s">
        <v>77</v>
      </c>
      <c r="C5" s="84"/>
      <c r="E5" s="84"/>
      <c r="F5" s="84"/>
      <c r="G5" s="84"/>
      <c r="H5" s="84"/>
      <c r="I5" s="84"/>
      <c r="K5" s="98"/>
      <c r="L5" s="97"/>
    </row>
    <row r="6" spans="1:14" x14ac:dyDescent="0.3">
      <c r="A6" s="46" t="s">
        <v>76</v>
      </c>
      <c r="B6" s="60" t="s">
        <v>98</v>
      </c>
      <c r="C6" s="63">
        <v>48.81</v>
      </c>
      <c r="D6" s="63">
        <v>39.1</v>
      </c>
      <c r="E6" s="63">
        <v>47.45</v>
      </c>
      <c r="F6" s="63">
        <v>35.5</v>
      </c>
      <c r="G6" s="63">
        <v>23.76</v>
      </c>
      <c r="H6" s="63">
        <v>29.1</v>
      </c>
      <c r="I6" s="63">
        <v>55.19</v>
      </c>
      <c r="K6" s="80"/>
      <c r="L6" s="96"/>
    </row>
    <row r="7" spans="1:14" x14ac:dyDescent="0.3">
      <c r="A7" s="46" t="s">
        <v>75</v>
      </c>
      <c r="B7" s="60" t="s">
        <v>99</v>
      </c>
      <c r="C7" s="63">
        <v>46.13</v>
      </c>
      <c r="D7" s="63">
        <v>34.479999999999997</v>
      </c>
      <c r="E7" s="63">
        <v>30.76</v>
      </c>
      <c r="F7" s="63">
        <v>101.43</v>
      </c>
      <c r="G7" s="63">
        <v>0</v>
      </c>
      <c r="H7" s="63">
        <v>0.32</v>
      </c>
      <c r="I7" s="63">
        <v>164.27</v>
      </c>
      <c r="K7" s="80"/>
      <c r="L7" s="96"/>
    </row>
    <row r="8" spans="1:14" x14ac:dyDescent="0.3">
      <c r="A8" s="46" t="s">
        <v>74</v>
      </c>
      <c r="B8" s="60" t="s">
        <v>100</v>
      </c>
      <c r="C8" s="61">
        <v>107227.42</v>
      </c>
      <c r="D8" s="61">
        <v>103712.77</v>
      </c>
      <c r="E8" s="61">
        <v>108474.07</v>
      </c>
      <c r="F8" s="61">
        <v>105068.84</v>
      </c>
      <c r="G8" s="61">
        <v>128077</v>
      </c>
      <c r="H8" s="61">
        <v>100811.47</v>
      </c>
      <c r="I8" s="61">
        <v>125457.23</v>
      </c>
      <c r="K8" s="80"/>
      <c r="L8" s="95"/>
    </row>
    <row r="9" spans="1:14" x14ac:dyDescent="0.3">
      <c r="A9" s="46" t="s">
        <v>73</v>
      </c>
      <c r="B9" s="60" t="s">
        <v>101</v>
      </c>
      <c r="C9" s="61">
        <v>103712.77</v>
      </c>
      <c r="D9" s="61">
        <v>103712.77</v>
      </c>
      <c r="E9" s="61">
        <v>103712.77</v>
      </c>
      <c r="F9" s="61">
        <f>F8</f>
        <v>105068.84</v>
      </c>
      <c r="G9" s="61">
        <v>121420.73</v>
      </c>
      <c r="H9" s="61">
        <v>0</v>
      </c>
      <c r="I9" s="61">
        <v>118937.1</v>
      </c>
      <c r="K9" s="80"/>
      <c r="L9" s="40"/>
    </row>
    <row r="10" spans="1:14" x14ac:dyDescent="0.3">
      <c r="A10" s="46" t="s">
        <v>72</v>
      </c>
      <c r="B10" s="60" t="s">
        <v>71</v>
      </c>
      <c r="C10" s="44">
        <f>((+C6*C8)+(C7*C9))*('CMS Market Basket'!$E$41)</f>
        <v>10504586.620849719</v>
      </c>
      <c r="D10" s="44">
        <f>((+D6*D8)+(D7*D9))*('CMS Market Basket'!$E$41)</f>
        <v>8001809.4084414113</v>
      </c>
      <c r="E10" s="44">
        <f>((+E6*E8)+(E7*E9))*('CMS Market Basket'!$E$41)</f>
        <v>8742217.0479565375</v>
      </c>
      <c r="F10" s="44">
        <f>((+F6*F8)+(F7*F9))*('CMS Market Basket'!$E$41)</f>
        <v>15085813.3939777</v>
      </c>
      <c r="G10" s="44">
        <f>((+G6*G8)+(G7*G9))*('CMS Market Basket'!$E$41)</f>
        <v>3190904.2200578395</v>
      </c>
      <c r="H10" s="44">
        <f>((+H6*H8)+(H7*H9))*('CMS Market Basket'!$E$41)</f>
        <v>3076090.5973075586</v>
      </c>
      <c r="I10" s="44">
        <f>((+I6*I8)+(I7*I9))*('CMS Market Basket'!$E$41)</f>
        <v>27746951.304213975</v>
      </c>
      <c r="K10" s="94"/>
      <c r="L10" s="40"/>
      <c r="N10" s="93"/>
    </row>
    <row r="11" spans="1:14" x14ac:dyDescent="0.3">
      <c r="A11" s="49"/>
      <c r="B11" s="49"/>
      <c r="C11" s="53"/>
      <c r="D11" s="53"/>
      <c r="E11" s="53"/>
      <c r="F11" s="53"/>
      <c r="G11" s="53"/>
      <c r="H11" s="53"/>
      <c r="I11" s="53"/>
      <c r="K11" s="78"/>
      <c r="L11" s="40"/>
    </row>
    <row r="12" spans="1:14" x14ac:dyDescent="0.3">
      <c r="A12" s="59"/>
      <c r="B12" s="48" t="s">
        <v>70</v>
      </c>
      <c r="C12" s="53"/>
      <c r="D12" s="53"/>
      <c r="E12" s="53"/>
      <c r="F12" s="53"/>
      <c r="G12" s="82"/>
      <c r="H12" s="92"/>
      <c r="I12" s="53"/>
      <c r="K12" s="81"/>
      <c r="L12" s="40"/>
    </row>
    <row r="13" spans="1:14" x14ac:dyDescent="0.3">
      <c r="A13" s="46" t="s">
        <v>69</v>
      </c>
      <c r="B13" s="57" t="s">
        <v>114</v>
      </c>
      <c r="C13" s="58">
        <f>VLOOKUP(C3,Days_22GME!$B$5:$F$23,5,FALSE)</f>
        <v>27454</v>
      </c>
      <c r="D13" s="58">
        <f>VLOOKUP(D3,Days_22GME!$B$5:$F$23,5,FALSE)</f>
        <v>13098</v>
      </c>
      <c r="E13" s="58">
        <f>VLOOKUP(E3,Days_22GME!$B$5:$F$23,5,FALSE)</f>
        <v>11429</v>
      </c>
      <c r="F13" s="58">
        <f>VLOOKUP(F3,Days_22GME!$B$5:$F$23,5,FALSE)</f>
        <v>8903</v>
      </c>
      <c r="G13" s="58">
        <f>VLOOKUP(G3,Days_22GME!$B$5:$F$23,5,FALSE)</f>
        <v>1534</v>
      </c>
      <c r="H13" s="58">
        <f>VLOOKUP(H3,Days_22GME!$B$5:$F$23,5,FALSE)</f>
        <v>7081</v>
      </c>
      <c r="I13" s="58">
        <f>VLOOKUP(I3,Days_22GME!$B$5:$F$23,5,FALSE)</f>
        <v>55636</v>
      </c>
      <c r="K13" s="80"/>
      <c r="L13" s="40"/>
    </row>
    <row r="14" spans="1:14" x14ac:dyDescent="0.3">
      <c r="A14" s="46" t="s">
        <v>68</v>
      </c>
      <c r="B14" s="57" t="s">
        <v>67</v>
      </c>
      <c r="C14" s="58">
        <f>103548+13490-3865</f>
        <v>113173</v>
      </c>
      <c r="D14" s="58">
        <v>42670</v>
      </c>
      <c r="E14" s="58">
        <f>78026+4425+2819-3475</f>
        <v>81795</v>
      </c>
      <c r="F14" s="58">
        <f>31358+5603-1599</f>
        <v>35362</v>
      </c>
      <c r="G14" s="58">
        <f>48559-5873</f>
        <v>42686</v>
      </c>
      <c r="H14" s="58">
        <f>24446+4644-1101</f>
        <v>27989</v>
      </c>
      <c r="I14" s="58">
        <f>208835+30469+8555-8257</f>
        <v>239602</v>
      </c>
      <c r="K14" s="80"/>
      <c r="L14" s="40"/>
    </row>
    <row r="15" spans="1:14" x14ac:dyDescent="0.3">
      <c r="A15" s="46" t="s">
        <v>66</v>
      </c>
      <c r="B15" s="57" t="s">
        <v>65</v>
      </c>
      <c r="C15" s="56">
        <f t="shared" ref="C15:I15" si="0">+C13/C14</f>
        <v>0.24258436199446864</v>
      </c>
      <c r="D15" s="56">
        <f t="shared" si="0"/>
        <v>0.30696039371924067</v>
      </c>
      <c r="E15" s="56">
        <f t="shared" si="0"/>
        <v>0.13972736719848403</v>
      </c>
      <c r="F15" s="56">
        <f t="shared" si="0"/>
        <v>0.25176743396866691</v>
      </c>
      <c r="G15" s="56">
        <f t="shared" si="0"/>
        <v>3.593684111886801E-2</v>
      </c>
      <c r="H15" s="56">
        <f t="shared" si="0"/>
        <v>0.25299224695416056</v>
      </c>
      <c r="I15" s="56">
        <f t="shared" si="0"/>
        <v>0.23220173454311735</v>
      </c>
      <c r="K15" s="91"/>
      <c r="L15" s="80"/>
    </row>
    <row r="16" spans="1:14" x14ac:dyDescent="0.3">
      <c r="A16" s="46"/>
      <c r="B16" s="55"/>
      <c r="C16" s="53"/>
      <c r="D16" s="53"/>
      <c r="E16" s="53"/>
      <c r="F16" s="53"/>
      <c r="G16" s="53"/>
      <c r="H16" s="53"/>
      <c r="I16" s="53"/>
      <c r="K16" s="91"/>
      <c r="L16" s="78"/>
    </row>
    <row r="17" spans="1:15" x14ac:dyDescent="0.3">
      <c r="A17" s="46"/>
      <c r="B17" s="54" t="s">
        <v>64</v>
      </c>
      <c r="C17" s="53"/>
      <c r="D17" s="53"/>
      <c r="E17" s="53"/>
      <c r="F17" s="53"/>
      <c r="G17" s="53"/>
      <c r="H17" s="53"/>
      <c r="I17" s="53"/>
      <c r="K17" s="79"/>
      <c r="L17" s="90"/>
    </row>
    <row r="18" spans="1:15" x14ac:dyDescent="0.3">
      <c r="A18" s="46" t="s">
        <v>63</v>
      </c>
      <c r="B18" s="52" t="s">
        <v>62</v>
      </c>
      <c r="C18" s="44">
        <v>1064182978</v>
      </c>
      <c r="D18" s="44">
        <v>486043231</v>
      </c>
      <c r="E18" s="44">
        <v>847844000</v>
      </c>
      <c r="F18" s="44">
        <v>399000579</v>
      </c>
      <c r="G18" s="44">
        <v>517339479</v>
      </c>
      <c r="H18" s="44">
        <v>283846615</v>
      </c>
      <c r="I18" s="44">
        <v>2621499563</v>
      </c>
      <c r="K18" s="79"/>
      <c r="L18" s="89"/>
      <c r="M18" s="88"/>
    </row>
    <row r="19" spans="1:15" x14ac:dyDescent="0.3">
      <c r="A19" s="46" t="s">
        <v>61</v>
      </c>
      <c r="B19" s="52" t="s">
        <v>60</v>
      </c>
      <c r="C19" s="44">
        <v>2128468418</v>
      </c>
      <c r="D19" s="44">
        <v>849501970</v>
      </c>
      <c r="E19" s="44">
        <v>1836928000</v>
      </c>
      <c r="F19" s="44">
        <v>1130278872</v>
      </c>
      <c r="G19" s="44">
        <v>1218094955</v>
      </c>
      <c r="H19" s="44">
        <v>691395443</v>
      </c>
      <c r="I19" s="44">
        <v>4010638314</v>
      </c>
      <c r="K19" s="78"/>
      <c r="L19" s="40"/>
    </row>
    <row r="20" spans="1:15" x14ac:dyDescent="0.3">
      <c r="A20" s="46" t="s">
        <v>59</v>
      </c>
      <c r="B20" s="51" t="s">
        <v>58</v>
      </c>
      <c r="C20" s="50">
        <f t="shared" ref="C20:I20" si="1">+C18/C19</f>
        <v>0.49997593058014544</v>
      </c>
      <c r="D20" s="50">
        <f t="shared" si="1"/>
        <v>0.57215079913234335</v>
      </c>
      <c r="E20" s="50">
        <f t="shared" si="1"/>
        <v>0.46155537941606856</v>
      </c>
      <c r="F20" s="50">
        <f t="shared" si="1"/>
        <v>0.3530107382207176</v>
      </c>
      <c r="G20" s="50">
        <f t="shared" si="1"/>
        <v>0.4247119462045551</v>
      </c>
      <c r="H20" s="50">
        <f t="shared" si="1"/>
        <v>0.41054163413107714</v>
      </c>
      <c r="I20" s="50">
        <f t="shared" si="1"/>
        <v>0.65363649318590733</v>
      </c>
      <c r="K20" s="78"/>
      <c r="L20" s="40"/>
    </row>
    <row r="21" spans="1:15" x14ac:dyDescent="0.3">
      <c r="A21" s="49"/>
      <c r="B21" s="49"/>
      <c r="C21" s="47"/>
      <c r="D21" s="47"/>
      <c r="E21" s="47"/>
      <c r="F21" s="47"/>
      <c r="G21" s="47"/>
      <c r="H21" s="47"/>
      <c r="I21" s="47"/>
      <c r="K21" s="78"/>
      <c r="L21" s="40"/>
    </row>
    <row r="22" spans="1:15" x14ac:dyDescent="0.3">
      <c r="A22" s="49"/>
      <c r="B22" s="48" t="s">
        <v>57</v>
      </c>
      <c r="C22" s="47"/>
      <c r="D22" s="47"/>
      <c r="E22" s="47"/>
      <c r="F22" s="47"/>
      <c r="G22" s="47"/>
      <c r="H22" s="47"/>
      <c r="I22" s="47"/>
      <c r="K22" s="78"/>
      <c r="L22" s="40"/>
    </row>
    <row r="23" spans="1:15" x14ac:dyDescent="0.3">
      <c r="A23" s="46" t="s">
        <v>56</v>
      </c>
      <c r="B23" s="45" t="s">
        <v>55</v>
      </c>
      <c r="C23" s="44">
        <f>ROUND(+C10*C15,0)</f>
        <v>2548248</v>
      </c>
      <c r="D23" s="44">
        <f t="shared" ref="D23:I23" si="2">ROUND(+D10*D15,0)</f>
        <v>2456239</v>
      </c>
      <c r="E23" s="44">
        <f t="shared" si="2"/>
        <v>1221527</v>
      </c>
      <c r="F23" s="44">
        <f t="shared" si="2"/>
        <v>3798117</v>
      </c>
      <c r="G23" s="44">
        <f t="shared" si="2"/>
        <v>114671</v>
      </c>
      <c r="H23" s="44">
        <f t="shared" si="2"/>
        <v>778227</v>
      </c>
      <c r="I23" s="44">
        <f t="shared" si="2"/>
        <v>6442890</v>
      </c>
      <c r="K23" s="78"/>
      <c r="L23" s="40"/>
    </row>
    <row r="24" spans="1:15" x14ac:dyDescent="0.3">
      <c r="A24" s="43" t="s">
        <v>54</v>
      </c>
      <c r="B24" s="42" t="s">
        <v>53</v>
      </c>
      <c r="C24" s="41">
        <f>ROUND(C20*C23,0)</f>
        <v>1274063</v>
      </c>
      <c r="D24" s="41">
        <f t="shared" ref="D24:I24" si="3">ROUND(D20*D23,0)</f>
        <v>1405339</v>
      </c>
      <c r="E24" s="41">
        <f t="shared" si="3"/>
        <v>563802</v>
      </c>
      <c r="F24" s="41">
        <f t="shared" si="3"/>
        <v>1340776</v>
      </c>
      <c r="G24" s="41">
        <f t="shared" si="3"/>
        <v>48702</v>
      </c>
      <c r="H24" s="41">
        <f t="shared" si="3"/>
        <v>319495</v>
      </c>
      <c r="I24" s="41">
        <f t="shared" si="3"/>
        <v>4211308</v>
      </c>
      <c r="K24" s="78"/>
      <c r="L24" s="40"/>
    </row>
    <row r="25" spans="1:15" s="69" customFormat="1" ht="15" thickBot="1" x14ac:dyDescent="0.35">
      <c r="C25" s="71"/>
      <c r="D25" s="71"/>
      <c r="E25" s="71"/>
      <c r="F25" s="71"/>
      <c r="G25" s="71"/>
      <c r="H25" s="71"/>
      <c r="I25" s="71"/>
      <c r="J25" s="70"/>
      <c r="K25" s="70"/>
      <c r="L25" s="70"/>
    </row>
    <row r="26" spans="1:15" x14ac:dyDescent="0.3">
      <c r="C26" s="53"/>
      <c r="D26" s="53"/>
      <c r="E26" s="53"/>
      <c r="F26" s="53"/>
      <c r="G26" s="53"/>
      <c r="H26" s="53"/>
      <c r="I26" s="53"/>
      <c r="J26" s="40"/>
      <c r="K26" s="78"/>
      <c r="L26" s="40"/>
    </row>
    <row r="27" spans="1:15" s="39" customFormat="1" ht="27.6" x14ac:dyDescent="0.3">
      <c r="A27" s="68"/>
      <c r="B27" s="67" t="s">
        <v>83</v>
      </c>
      <c r="C27" s="87" t="s">
        <v>90</v>
      </c>
      <c r="D27" s="87" t="s">
        <v>89</v>
      </c>
      <c r="E27" s="87" t="s">
        <v>88</v>
      </c>
      <c r="F27" s="87" t="s">
        <v>87</v>
      </c>
      <c r="G27" s="66" t="s">
        <v>86</v>
      </c>
      <c r="H27" s="66" t="s">
        <v>85</v>
      </c>
      <c r="I27" s="66" t="s">
        <v>84</v>
      </c>
      <c r="N27" s="86"/>
      <c r="O27" s="85"/>
    </row>
    <row r="28" spans="1:15" x14ac:dyDescent="0.3">
      <c r="A28" s="65"/>
      <c r="B28" s="65"/>
      <c r="E28" s="53"/>
      <c r="F28" s="53"/>
      <c r="G28" s="53"/>
      <c r="H28" s="53"/>
      <c r="I28" s="53"/>
      <c r="N28" s="78"/>
      <c r="O28" s="40"/>
    </row>
    <row r="29" spans="1:15" x14ac:dyDescent="0.3">
      <c r="A29" s="64"/>
      <c r="B29" s="48" t="s">
        <v>77</v>
      </c>
      <c r="C29" s="84"/>
      <c r="D29" s="84"/>
      <c r="E29" s="83"/>
      <c r="F29" s="83"/>
      <c r="G29" s="53"/>
      <c r="H29" s="53"/>
      <c r="I29" s="53"/>
      <c r="N29" s="78"/>
      <c r="O29" s="40"/>
    </row>
    <row r="30" spans="1:15" x14ac:dyDescent="0.3">
      <c r="A30" s="46" t="s">
        <v>76</v>
      </c>
      <c r="B30" s="60" t="s">
        <v>98</v>
      </c>
      <c r="C30" s="63">
        <v>35.21</v>
      </c>
      <c r="D30" s="63">
        <v>0</v>
      </c>
      <c r="E30" s="63">
        <v>22.38</v>
      </c>
      <c r="F30" s="63">
        <v>17.420000000000002</v>
      </c>
      <c r="G30" s="63">
        <v>35.880000000000003</v>
      </c>
      <c r="H30" s="63">
        <v>1.26</v>
      </c>
      <c r="I30" s="63">
        <v>74.069999999999993</v>
      </c>
      <c r="N30" s="78"/>
      <c r="O30" s="40"/>
    </row>
    <row r="31" spans="1:15" x14ac:dyDescent="0.3">
      <c r="A31" s="46" t="s">
        <v>75</v>
      </c>
      <c r="B31" s="60" t="s">
        <v>99</v>
      </c>
      <c r="C31" s="63">
        <v>6.23</v>
      </c>
      <c r="D31" s="63">
        <v>0.95</v>
      </c>
      <c r="E31" s="63">
        <v>7.05</v>
      </c>
      <c r="F31" s="63">
        <v>0</v>
      </c>
      <c r="G31" s="63">
        <v>11.6</v>
      </c>
      <c r="H31" s="63">
        <v>0.16</v>
      </c>
      <c r="I31" s="63">
        <v>65.11</v>
      </c>
      <c r="N31" s="78"/>
      <c r="O31" s="40"/>
    </row>
    <row r="32" spans="1:15" x14ac:dyDescent="0.3">
      <c r="A32" s="46" t="s">
        <v>74</v>
      </c>
      <c r="B32" s="60" t="s">
        <v>100</v>
      </c>
      <c r="C32" s="61">
        <v>119684.43</v>
      </c>
      <c r="D32" s="61">
        <v>103712</v>
      </c>
      <c r="E32" s="61">
        <v>115355.88</v>
      </c>
      <c r="F32" s="61">
        <v>191546.96</v>
      </c>
      <c r="G32" s="61">
        <v>168046.4</v>
      </c>
      <c r="H32" s="61">
        <v>57228.93</v>
      </c>
      <c r="I32" s="61">
        <v>112167.59</v>
      </c>
      <c r="N32" s="78"/>
      <c r="O32" s="40"/>
    </row>
    <row r="33" spans="1:15" x14ac:dyDescent="0.3">
      <c r="A33" s="46" t="s">
        <v>73</v>
      </c>
      <c r="B33" s="60" t="s">
        <v>101</v>
      </c>
      <c r="C33" s="61">
        <v>113729.77</v>
      </c>
      <c r="D33" s="61">
        <v>172747</v>
      </c>
      <c r="E33" s="61">
        <f>E32</f>
        <v>115355.88</v>
      </c>
      <c r="F33" s="61">
        <v>0</v>
      </c>
      <c r="G33" s="61">
        <v>159312.91</v>
      </c>
      <c r="H33" s="61">
        <f>H32</f>
        <v>57228.93</v>
      </c>
      <c r="I33" s="61">
        <v>106338.19</v>
      </c>
      <c r="N33" s="78"/>
      <c r="O33" s="40"/>
    </row>
    <row r="34" spans="1:15" x14ac:dyDescent="0.3">
      <c r="A34" s="46" t="s">
        <v>72</v>
      </c>
      <c r="B34" s="60" t="s">
        <v>71</v>
      </c>
      <c r="C34" s="44">
        <f>((+C30*C32)+(C31*C33))*('CMS Market Basket'!$E$41)</f>
        <v>5161702.387790475</v>
      </c>
      <c r="D34" s="44">
        <f>((+D30*D32)+(D31*D33))*('CMS Market Basket'!$E$41)</f>
        <v>172079.96337154997</v>
      </c>
      <c r="E34" s="44">
        <f>((+E30*E32)+(E31*E33))*('CMS Market Basket'!$E$41)</f>
        <v>3559804.8003751417</v>
      </c>
      <c r="F34" s="44">
        <f>((+F30*F32)+(F31*F33))*('CMS Market Basket'!$E$41)</f>
        <v>3498803.8854140937</v>
      </c>
      <c r="G34" s="44">
        <f>((+G30*G32)+(G31*G33))*('CMS Market Basket'!$E$41)</f>
        <v>8260122.8103353949</v>
      </c>
      <c r="H34" s="44">
        <f>((+H30*H32)+(H31*H33))*('CMS Market Basket'!$E$41)</f>
        <v>85211.881769500178</v>
      </c>
      <c r="I34" s="44">
        <f>((+I30*I32)+(I31*I33))*('CMS Market Basket'!$E$41)</f>
        <v>15971702.229403824</v>
      </c>
      <c r="N34" s="78"/>
      <c r="O34" s="40"/>
    </row>
    <row r="35" spans="1:15" x14ac:dyDescent="0.3">
      <c r="A35" s="49"/>
      <c r="B35" s="49"/>
      <c r="C35" s="53"/>
      <c r="D35" s="53"/>
      <c r="E35" s="53"/>
      <c r="F35" s="53"/>
      <c r="G35" s="53"/>
      <c r="H35" s="53"/>
      <c r="I35" s="53"/>
      <c r="N35" s="78"/>
      <c r="O35" s="40"/>
    </row>
    <row r="36" spans="1:15" x14ac:dyDescent="0.3">
      <c r="A36" s="59"/>
      <c r="B36" s="48" t="s">
        <v>70</v>
      </c>
      <c r="C36" s="53"/>
      <c r="D36" s="53"/>
      <c r="E36" s="82"/>
      <c r="F36" s="82"/>
      <c r="G36" s="53"/>
      <c r="H36" s="53"/>
      <c r="I36" s="53"/>
      <c r="N36" s="81"/>
      <c r="O36" s="40"/>
    </row>
    <row r="37" spans="1:15" x14ac:dyDescent="0.3">
      <c r="A37" s="46" t="s">
        <v>69</v>
      </c>
      <c r="B37" s="57" t="s">
        <v>114</v>
      </c>
      <c r="C37" s="58">
        <f>VLOOKUP(C27,Days_22GME!$B$5:$F$23,5,FALSE)</f>
        <v>16968</v>
      </c>
      <c r="D37" s="58">
        <f>VLOOKUP(D27,Days_22GME!$B$5:$F$23,5,FALSE)</f>
        <v>12764</v>
      </c>
      <c r="E37" s="58">
        <f>VLOOKUP(E27,Days_22GME!$B$5:$F$23,5,FALSE)</f>
        <v>8317</v>
      </c>
      <c r="F37" s="58">
        <f>VLOOKUP(F27,Days_22GME!$B$5:$F$23,5,FALSE)</f>
        <v>8368</v>
      </c>
      <c r="G37" s="58">
        <f>VLOOKUP(G27,Days_22GME!$B$5:$F$23,5,FALSE)</f>
        <v>8683</v>
      </c>
      <c r="H37" s="58">
        <f>VLOOKUP(H27,Days_22GME!$B$5:$F$23,5,FALSE)</f>
        <v>1087</v>
      </c>
      <c r="I37" s="58">
        <f>VLOOKUP(I27,Days_22GME!$B$5:$F$23,5,FALSE)</f>
        <v>27216</v>
      </c>
      <c r="N37" s="80"/>
      <c r="O37" s="40"/>
    </row>
    <row r="38" spans="1:15" x14ac:dyDescent="0.3">
      <c r="A38" s="46" t="s">
        <v>68</v>
      </c>
      <c r="B38" s="57" t="s">
        <v>67</v>
      </c>
      <c r="C38" s="58">
        <f>58634+9717-2786</f>
        <v>65565</v>
      </c>
      <c r="D38" s="58">
        <f>60927+4323-2416</f>
        <v>62834</v>
      </c>
      <c r="E38" s="58">
        <f>28591+14827-2505</f>
        <v>40913</v>
      </c>
      <c r="F38" s="58">
        <f>43027+6552-2155</f>
        <v>47424</v>
      </c>
      <c r="G38" s="58">
        <f>43288+2984-2454</f>
        <v>43818</v>
      </c>
      <c r="H38" s="58">
        <v>4355</v>
      </c>
      <c r="I38" s="58">
        <f>103282+17032-4637</f>
        <v>115677</v>
      </c>
      <c r="N38" s="80"/>
      <c r="O38" s="40"/>
    </row>
    <row r="39" spans="1:15" x14ac:dyDescent="0.3">
      <c r="A39" s="46" t="s">
        <v>66</v>
      </c>
      <c r="B39" s="57" t="s">
        <v>65</v>
      </c>
      <c r="C39" s="56">
        <f t="shared" ref="C39:I39" si="4">+C37/C38</f>
        <v>0.25879661404712878</v>
      </c>
      <c r="D39" s="56">
        <f t="shared" si="4"/>
        <v>0.20313842823948819</v>
      </c>
      <c r="E39" s="56">
        <f t="shared" si="4"/>
        <v>0.20328501943147656</v>
      </c>
      <c r="F39" s="56">
        <f t="shared" si="4"/>
        <v>0.17645074224021592</v>
      </c>
      <c r="G39" s="56">
        <f t="shared" si="4"/>
        <v>0.19816057328038705</v>
      </c>
      <c r="H39" s="56">
        <f t="shared" si="4"/>
        <v>0.24959816303099885</v>
      </c>
      <c r="I39" s="56">
        <f t="shared" si="4"/>
        <v>0.23527581109468607</v>
      </c>
      <c r="N39" s="81"/>
      <c r="O39" s="40"/>
    </row>
    <row r="40" spans="1:15" x14ac:dyDescent="0.3">
      <c r="A40" s="46"/>
      <c r="B40" s="55"/>
      <c r="C40" s="53"/>
      <c r="D40" s="53"/>
      <c r="E40" s="53"/>
      <c r="F40" s="53"/>
      <c r="G40" s="53"/>
      <c r="H40" s="53"/>
      <c r="I40" s="53"/>
      <c r="N40" s="79"/>
      <c r="O40" s="79"/>
    </row>
    <row r="41" spans="1:15" x14ac:dyDescent="0.3">
      <c r="A41" s="46"/>
      <c r="B41" s="54" t="s">
        <v>64</v>
      </c>
      <c r="C41" s="53"/>
      <c r="D41" s="53"/>
      <c r="E41" s="53"/>
      <c r="F41" s="53"/>
      <c r="G41" s="53"/>
      <c r="H41" s="53"/>
      <c r="I41" s="53"/>
      <c r="N41" s="78"/>
      <c r="O41" s="40"/>
    </row>
    <row r="42" spans="1:15" x14ac:dyDescent="0.3">
      <c r="A42" s="46" t="s">
        <v>63</v>
      </c>
      <c r="B42" s="52" t="s">
        <v>62</v>
      </c>
      <c r="C42" s="44">
        <v>600413878</v>
      </c>
      <c r="D42" s="44">
        <v>336386117</v>
      </c>
      <c r="E42" s="44">
        <v>264465914</v>
      </c>
      <c r="F42" s="44">
        <v>480457970</v>
      </c>
      <c r="G42" s="44">
        <v>486041058</v>
      </c>
      <c r="H42" s="44">
        <v>42373128</v>
      </c>
      <c r="I42" s="44">
        <v>1276160605</v>
      </c>
      <c r="N42" s="80"/>
      <c r="O42" s="40"/>
    </row>
    <row r="43" spans="1:15" x14ac:dyDescent="0.3">
      <c r="A43" s="46" t="s">
        <v>61</v>
      </c>
      <c r="B43" s="52" t="s">
        <v>60</v>
      </c>
      <c r="C43" s="44">
        <v>1225509823</v>
      </c>
      <c r="D43" s="44">
        <v>975930552</v>
      </c>
      <c r="E43" s="44">
        <v>597074122</v>
      </c>
      <c r="F43" s="44">
        <v>1118277214</v>
      </c>
      <c r="G43" s="44">
        <v>1009039092</v>
      </c>
      <c r="H43" s="44">
        <v>133773142</v>
      </c>
      <c r="I43" s="44">
        <v>2608272387</v>
      </c>
      <c r="N43" s="79"/>
      <c r="O43" s="79"/>
    </row>
    <row r="44" spans="1:15" x14ac:dyDescent="0.3">
      <c r="A44" s="46" t="s">
        <v>59</v>
      </c>
      <c r="B44" s="51" t="s">
        <v>58</v>
      </c>
      <c r="C44" s="50">
        <f t="shared" ref="C44:I44" si="5">+C42/C43</f>
        <v>0.48992987794272458</v>
      </c>
      <c r="D44" s="50">
        <f t="shared" si="5"/>
        <v>0.34468243289508166</v>
      </c>
      <c r="E44" s="50">
        <f t="shared" si="5"/>
        <v>0.44293648687055309</v>
      </c>
      <c r="F44" s="50">
        <f t="shared" si="5"/>
        <v>0.42964120522623828</v>
      </c>
      <c r="G44" s="50">
        <f t="shared" si="5"/>
        <v>0.48168704448964994</v>
      </c>
      <c r="H44" s="50">
        <f t="shared" si="5"/>
        <v>0.31675362757047298</v>
      </c>
      <c r="I44" s="50">
        <f t="shared" si="5"/>
        <v>0.48927428414323815</v>
      </c>
      <c r="N44" s="78"/>
      <c r="O44" s="40"/>
    </row>
    <row r="45" spans="1:15" x14ac:dyDescent="0.3">
      <c r="A45" s="49"/>
      <c r="B45" s="49"/>
      <c r="C45" s="47"/>
      <c r="D45" s="47"/>
      <c r="E45" s="47"/>
      <c r="F45" s="47"/>
      <c r="G45" s="47"/>
      <c r="H45" s="47"/>
      <c r="I45" s="47"/>
      <c r="N45" s="40"/>
      <c r="O45" s="40"/>
    </row>
    <row r="46" spans="1:15" x14ac:dyDescent="0.3">
      <c r="A46" s="49"/>
      <c r="B46" s="48" t="s">
        <v>57</v>
      </c>
      <c r="C46" s="47"/>
      <c r="D46" s="47"/>
      <c r="E46" s="47"/>
      <c r="F46" s="47"/>
      <c r="G46" s="47"/>
      <c r="H46" s="47"/>
      <c r="I46" s="47"/>
      <c r="N46" s="40"/>
      <c r="O46" s="40"/>
    </row>
    <row r="47" spans="1:15" x14ac:dyDescent="0.3">
      <c r="A47" s="46" t="s">
        <v>56</v>
      </c>
      <c r="B47" s="45" t="s">
        <v>55</v>
      </c>
      <c r="C47" s="44">
        <f t="shared" ref="C47:I47" si="6">ROUND(+C34*C39,0)</f>
        <v>1335831</v>
      </c>
      <c r="D47" s="44">
        <f t="shared" si="6"/>
        <v>34956</v>
      </c>
      <c r="E47" s="44">
        <f t="shared" si="6"/>
        <v>723655</v>
      </c>
      <c r="F47" s="44">
        <f t="shared" si="6"/>
        <v>617367</v>
      </c>
      <c r="G47" s="44">
        <f t="shared" si="6"/>
        <v>1636831</v>
      </c>
      <c r="H47" s="44">
        <f t="shared" si="6"/>
        <v>21269</v>
      </c>
      <c r="I47" s="44">
        <f t="shared" si="6"/>
        <v>3757755</v>
      </c>
      <c r="N47" s="40"/>
      <c r="O47" s="40"/>
    </row>
    <row r="48" spans="1:15" x14ac:dyDescent="0.3">
      <c r="A48" s="43" t="s">
        <v>54</v>
      </c>
      <c r="B48" s="42" t="s">
        <v>53</v>
      </c>
      <c r="C48" s="41">
        <f t="shared" ref="C48:I48" si="7">ROUND(C44*C47,0)</f>
        <v>654464</v>
      </c>
      <c r="D48" s="41">
        <f t="shared" si="7"/>
        <v>12049</v>
      </c>
      <c r="E48" s="41">
        <f t="shared" si="7"/>
        <v>320533</v>
      </c>
      <c r="F48" s="41">
        <f t="shared" si="7"/>
        <v>265246</v>
      </c>
      <c r="G48" s="41">
        <f t="shared" si="7"/>
        <v>788440</v>
      </c>
      <c r="H48" s="41">
        <f t="shared" si="7"/>
        <v>6737</v>
      </c>
      <c r="I48" s="41">
        <f t="shared" si="7"/>
        <v>1838573</v>
      </c>
      <c r="N48" s="40"/>
      <c r="O48" s="40"/>
    </row>
    <row r="49" spans="1:14" s="40" customFormat="1" x14ac:dyDescent="0.3">
      <c r="A49" s="77"/>
      <c r="B49" s="76"/>
      <c r="C49" s="75"/>
      <c r="D49" s="75"/>
      <c r="E49" s="75"/>
      <c r="F49" s="75"/>
      <c r="G49" s="75"/>
      <c r="H49" s="75"/>
      <c r="I49" s="75"/>
    </row>
    <row r="50" spans="1:14" s="69" customFormat="1" ht="15" thickBot="1" x14ac:dyDescent="0.35">
      <c r="A50" s="74" t="s">
        <v>52</v>
      </c>
      <c r="C50" s="73"/>
      <c r="D50" s="71"/>
      <c r="E50" s="71"/>
      <c r="F50" s="71"/>
      <c r="G50" s="71"/>
      <c r="H50" s="72"/>
      <c r="I50" s="71"/>
      <c r="J50" s="70"/>
      <c r="K50" s="70"/>
      <c r="L50" s="70"/>
    </row>
    <row r="51" spans="1:14" x14ac:dyDescent="0.3">
      <c r="C51" s="53"/>
      <c r="D51" s="53"/>
      <c r="E51" s="53"/>
      <c r="F51" s="53"/>
      <c r="G51" s="53"/>
      <c r="H51" s="53"/>
      <c r="I51" s="53"/>
      <c r="J51" s="40"/>
      <c r="K51" s="40"/>
      <c r="L51" s="40"/>
    </row>
    <row r="52" spans="1:14" x14ac:dyDescent="0.3">
      <c r="A52" s="68"/>
      <c r="B52" s="67" t="s">
        <v>83</v>
      </c>
      <c r="C52" s="66" t="s">
        <v>82</v>
      </c>
      <c r="D52" s="66" t="s">
        <v>81</v>
      </c>
      <c r="E52" s="66" t="s">
        <v>80</v>
      </c>
      <c r="F52" s="66" t="s">
        <v>79</v>
      </c>
      <c r="G52" s="66" t="s">
        <v>78</v>
      </c>
      <c r="H52" s="53"/>
      <c r="I52" s="53"/>
      <c r="J52" s="53"/>
      <c r="K52" s="53"/>
      <c r="L52" s="40"/>
      <c r="M52" s="40"/>
      <c r="N52" s="40"/>
    </row>
    <row r="53" spans="1:14" x14ac:dyDescent="0.3">
      <c r="A53" s="65"/>
      <c r="B53" s="65"/>
      <c r="C53" s="53"/>
      <c r="D53" s="53"/>
      <c r="E53" s="53"/>
      <c r="F53" s="53"/>
      <c r="G53" s="53"/>
      <c r="H53" s="53"/>
      <c r="I53" s="53"/>
      <c r="J53" s="53"/>
      <c r="K53" s="53"/>
      <c r="L53" s="40"/>
      <c r="M53" s="40"/>
      <c r="N53" s="40"/>
    </row>
    <row r="54" spans="1:14" x14ac:dyDescent="0.3">
      <c r="A54" s="64"/>
      <c r="B54" s="48" t="s">
        <v>77</v>
      </c>
      <c r="C54" s="53"/>
      <c r="D54" s="53"/>
      <c r="E54" s="53"/>
      <c r="F54" s="53"/>
      <c r="G54" s="53"/>
      <c r="J54" s="38"/>
      <c r="K54" s="38"/>
    </row>
    <row r="55" spans="1:14" x14ac:dyDescent="0.3">
      <c r="A55" s="46" t="s">
        <v>76</v>
      </c>
      <c r="B55" s="60" t="s">
        <v>98</v>
      </c>
      <c r="C55" s="63">
        <v>33.07</v>
      </c>
      <c r="D55" s="63">
        <v>28.58</v>
      </c>
      <c r="E55" s="63">
        <v>33.619999999999997</v>
      </c>
      <c r="F55" s="63">
        <v>33.520000000000003</v>
      </c>
      <c r="G55" s="63">
        <v>175.51</v>
      </c>
      <c r="H55" s="62"/>
      <c r="J55" s="38"/>
      <c r="K55" s="38"/>
    </row>
    <row r="56" spans="1:14" x14ac:dyDescent="0.3">
      <c r="A56" s="46" t="s">
        <v>75</v>
      </c>
      <c r="B56" s="60" t="s">
        <v>99</v>
      </c>
      <c r="C56" s="63">
        <v>10.15</v>
      </c>
      <c r="D56" s="63">
        <v>20.16</v>
      </c>
      <c r="E56" s="63">
        <v>16.13</v>
      </c>
      <c r="F56" s="63">
        <v>10.34</v>
      </c>
      <c r="G56" s="63">
        <v>372.55</v>
      </c>
      <c r="H56" s="62"/>
      <c r="J56" s="38"/>
      <c r="K56" s="38"/>
    </row>
    <row r="57" spans="1:14" x14ac:dyDescent="0.3">
      <c r="A57" s="46" t="s">
        <v>74</v>
      </c>
      <c r="B57" s="60" t="s">
        <v>100</v>
      </c>
      <c r="C57" s="61">
        <v>104686.5</v>
      </c>
      <c r="D57" s="61">
        <v>114552.6</v>
      </c>
      <c r="E57" s="61">
        <v>103712.77</v>
      </c>
      <c r="F57" s="61">
        <v>114637.56</v>
      </c>
      <c r="G57" s="61">
        <v>105862</v>
      </c>
      <c r="H57" s="62"/>
      <c r="J57" s="38"/>
      <c r="K57" s="38"/>
    </row>
    <row r="58" spans="1:14" x14ac:dyDescent="0.3">
      <c r="A58" s="46" t="s">
        <v>73</v>
      </c>
      <c r="B58" s="60" t="s">
        <v>101</v>
      </c>
      <c r="C58" s="61">
        <v>103712.77</v>
      </c>
      <c r="D58" s="61">
        <v>108599.27</v>
      </c>
      <c r="E58" s="61">
        <f>E57</f>
        <v>103712.77</v>
      </c>
      <c r="F58" s="61">
        <v>108679.75</v>
      </c>
      <c r="G58" s="61">
        <v>104039</v>
      </c>
      <c r="J58" s="38"/>
      <c r="K58" s="38"/>
    </row>
    <row r="59" spans="1:14" x14ac:dyDescent="0.3">
      <c r="A59" s="46" t="s">
        <v>72</v>
      </c>
      <c r="B59" s="60" t="s">
        <v>71</v>
      </c>
      <c r="C59" s="44">
        <f>((+C55*C57)+(C56*C58))*('CMS Market Basket'!$E$41)</f>
        <v>4733931.0109696724</v>
      </c>
      <c r="D59" s="44">
        <f>((+D55*D57)+(D56*D58))*('CMS Market Basket'!$E$41)</f>
        <v>5728609.4482708089</v>
      </c>
      <c r="E59" s="44">
        <f>((+E55*E57)+(E56*E58))*('CMS Market Basket'!$E$41)</f>
        <v>5410301.9580043517</v>
      </c>
      <c r="F59" s="44">
        <f>((+F55*F57)+(F56*F58))*('CMS Market Basket'!$E$41)</f>
        <v>5207602.756845654</v>
      </c>
      <c r="G59" s="44">
        <f>((+G55*G57)+(G56*G58))*('CMS Market Basket'!$E$41)</f>
        <v>60124379.921022676</v>
      </c>
      <c r="J59" s="38"/>
      <c r="K59" s="38"/>
    </row>
    <row r="60" spans="1:14" x14ac:dyDescent="0.3">
      <c r="A60" s="49"/>
      <c r="B60" s="49"/>
      <c r="C60" s="53"/>
      <c r="D60" s="53"/>
      <c r="E60" s="53"/>
      <c r="F60" s="53"/>
      <c r="G60" s="53"/>
      <c r="J60" s="38"/>
      <c r="K60" s="38"/>
    </row>
    <row r="61" spans="1:14" x14ac:dyDescent="0.3">
      <c r="A61" s="59"/>
      <c r="B61" s="48" t="s">
        <v>70</v>
      </c>
      <c r="C61" s="53"/>
      <c r="D61" s="53"/>
      <c r="E61" s="53"/>
      <c r="F61" s="53"/>
      <c r="G61" s="53"/>
      <c r="J61" s="38"/>
      <c r="K61" s="38"/>
    </row>
    <row r="62" spans="1:14" x14ac:dyDescent="0.3">
      <c r="A62" s="46" t="s">
        <v>69</v>
      </c>
      <c r="B62" s="57" t="s">
        <v>114</v>
      </c>
      <c r="C62" s="58">
        <f>VLOOKUP(C52,Days_22GME!$B$5:$F$23,5,FALSE)</f>
        <v>9760</v>
      </c>
      <c r="D62" s="58">
        <f>VLOOKUP(D52,Days_22GME!$B$5:$F$23,5,FALSE)</f>
        <v>14562</v>
      </c>
      <c r="E62" s="58">
        <f>VLOOKUP(E52,Days_22GME!$B$5:$F$23,5,FALSE)</f>
        <v>13565</v>
      </c>
      <c r="F62" s="58">
        <f>VLOOKUP(F52,Days_22GME!$B$5:$F$23,5,FALSE)</f>
        <v>16104</v>
      </c>
      <c r="G62" s="58">
        <f>VLOOKUP(G52,Days_22GME!$B$5:$F$23,5,FALSE)</f>
        <v>101439</v>
      </c>
      <c r="J62" s="38"/>
      <c r="K62" s="38"/>
    </row>
    <row r="63" spans="1:14" x14ac:dyDescent="0.3">
      <c r="A63" s="46" t="s">
        <v>68</v>
      </c>
      <c r="B63" s="57" t="s">
        <v>67</v>
      </c>
      <c r="C63" s="58">
        <f>33031+3809-1205</f>
        <v>35635</v>
      </c>
      <c r="D63" s="58">
        <f>47977+21177+2771-2252</f>
        <v>69673</v>
      </c>
      <c r="E63" s="58">
        <f>64870+5182-5220</f>
        <v>64832</v>
      </c>
      <c r="F63" s="58">
        <f>44981+9645-3509</f>
        <v>51117</v>
      </c>
      <c r="G63" s="58">
        <f>391259+38930+6674-10896</f>
        <v>425967</v>
      </c>
      <c r="J63" s="38"/>
      <c r="K63" s="38"/>
    </row>
    <row r="64" spans="1:14" x14ac:dyDescent="0.3">
      <c r="A64" s="46" t="s">
        <v>66</v>
      </c>
      <c r="B64" s="57" t="s">
        <v>65</v>
      </c>
      <c r="C64" s="56">
        <f>+C62/C63</f>
        <v>0.27388803142977408</v>
      </c>
      <c r="D64" s="56">
        <f>+D62/D63</f>
        <v>0.20900492299743084</v>
      </c>
      <c r="E64" s="56">
        <f>+E62/E63</f>
        <v>0.2092330947680158</v>
      </c>
      <c r="F64" s="56">
        <f>+F62/F63</f>
        <v>0.31504196255648803</v>
      </c>
      <c r="G64" s="56">
        <f>+G62/G63</f>
        <v>0.238138165632549</v>
      </c>
      <c r="J64" s="38"/>
      <c r="K64" s="38"/>
    </row>
    <row r="65" spans="1:11" x14ac:dyDescent="0.3">
      <c r="A65" s="46"/>
      <c r="B65" s="55"/>
      <c r="C65" s="53"/>
      <c r="D65" s="53"/>
      <c r="E65" s="53"/>
      <c r="F65" s="53"/>
      <c r="G65" s="53"/>
      <c r="J65" s="38"/>
      <c r="K65" s="38"/>
    </row>
    <row r="66" spans="1:11" x14ac:dyDescent="0.3">
      <c r="A66" s="46"/>
      <c r="B66" s="54" t="s">
        <v>64</v>
      </c>
      <c r="C66" s="53"/>
      <c r="D66" s="53"/>
      <c r="E66" s="53"/>
      <c r="F66" s="53"/>
      <c r="G66" s="53"/>
      <c r="J66" s="38"/>
      <c r="K66" s="38"/>
    </row>
    <row r="67" spans="1:11" x14ac:dyDescent="0.3">
      <c r="A67" s="46" t="s">
        <v>63</v>
      </c>
      <c r="B67" s="52" t="s">
        <v>62</v>
      </c>
      <c r="C67" s="44">
        <v>361903088</v>
      </c>
      <c r="D67" s="44">
        <v>688848251</v>
      </c>
      <c r="E67" s="44">
        <v>777997906</v>
      </c>
      <c r="F67" s="44">
        <v>548034601</v>
      </c>
      <c r="G67" s="44">
        <v>5015191690</v>
      </c>
      <c r="J67" s="38"/>
      <c r="K67" s="38"/>
    </row>
    <row r="68" spans="1:11" x14ac:dyDescent="0.3">
      <c r="A68" s="46" t="s">
        <v>61</v>
      </c>
      <c r="B68" s="52" t="s">
        <v>60</v>
      </c>
      <c r="C68" s="44">
        <v>912259835</v>
      </c>
      <c r="D68" s="44">
        <v>1098804801</v>
      </c>
      <c r="E68" s="44">
        <v>1778590236</v>
      </c>
      <c r="F68" s="44">
        <v>911181225</v>
      </c>
      <c r="G68" s="44">
        <v>9716632313</v>
      </c>
      <c r="J68" s="38"/>
      <c r="K68" s="38"/>
    </row>
    <row r="69" spans="1:11" x14ac:dyDescent="0.3">
      <c r="A69" s="46" t="s">
        <v>59</v>
      </c>
      <c r="B69" s="51" t="s">
        <v>58</v>
      </c>
      <c r="C69" s="50">
        <f>+C67/C68</f>
        <v>0.39671053587490235</v>
      </c>
      <c r="D69" s="50">
        <f>+D67/D68</f>
        <v>0.62690684494015059</v>
      </c>
      <c r="E69" s="50">
        <f>+E67/E68</f>
        <v>0.43742391600535019</v>
      </c>
      <c r="F69" s="50">
        <f>+F67/F68</f>
        <v>0.60145510680380843</v>
      </c>
      <c r="G69" s="50">
        <f>+G67/G68</f>
        <v>0.516145051952837</v>
      </c>
      <c r="J69" s="38"/>
      <c r="K69" s="38"/>
    </row>
    <row r="70" spans="1:11" x14ac:dyDescent="0.3">
      <c r="A70" s="49"/>
      <c r="B70" s="49"/>
      <c r="C70" s="47"/>
      <c r="D70" s="47"/>
      <c r="E70" s="47"/>
      <c r="F70" s="47"/>
      <c r="G70" s="47"/>
      <c r="J70" s="38"/>
      <c r="K70" s="38"/>
    </row>
    <row r="71" spans="1:11" x14ac:dyDescent="0.3">
      <c r="A71" s="49"/>
      <c r="B71" s="48" t="s">
        <v>57</v>
      </c>
      <c r="C71" s="47"/>
      <c r="D71" s="47"/>
      <c r="E71" s="47"/>
      <c r="F71" s="47"/>
      <c r="G71" s="47"/>
      <c r="J71" s="38"/>
      <c r="K71" s="38"/>
    </row>
    <row r="72" spans="1:11" x14ac:dyDescent="0.3">
      <c r="A72" s="46" t="s">
        <v>56</v>
      </c>
      <c r="B72" s="45" t="s">
        <v>55</v>
      </c>
      <c r="C72" s="44">
        <f>ROUND(+C59*C64,0)</f>
        <v>1296567</v>
      </c>
      <c r="D72" s="44">
        <f>ROUND(+D59*D64,0)</f>
        <v>1197308</v>
      </c>
      <c r="E72" s="44">
        <f>ROUND(+E59*E64,0)</f>
        <v>1132014</v>
      </c>
      <c r="F72" s="44">
        <f>ROUND(+F59*F64,0)</f>
        <v>1640613</v>
      </c>
      <c r="G72" s="44">
        <f>ROUND(+G59*G64,0)</f>
        <v>14317910</v>
      </c>
      <c r="J72" s="38"/>
      <c r="K72" s="38"/>
    </row>
    <row r="73" spans="1:11" x14ac:dyDescent="0.3">
      <c r="A73" s="43" t="s">
        <v>54</v>
      </c>
      <c r="B73" s="42" t="s">
        <v>53</v>
      </c>
      <c r="C73" s="41">
        <f>ROUND(C69*C72,0)</f>
        <v>514362</v>
      </c>
      <c r="D73" s="41">
        <f>ROUND(D69*D72,0)</f>
        <v>750601</v>
      </c>
      <c r="E73" s="41">
        <f>ROUND(E69*E72,0)</f>
        <v>495170</v>
      </c>
      <c r="F73" s="41">
        <f>ROUND(F69*F72,0)</f>
        <v>986755</v>
      </c>
      <c r="G73" s="41">
        <f>ROUND(G69*G72,0)</f>
        <v>7390118</v>
      </c>
      <c r="J73" s="38"/>
      <c r="K73" s="38"/>
    </row>
    <row r="74" spans="1:11" x14ac:dyDescent="0.3">
      <c r="C74" s="40"/>
      <c r="D74" s="40"/>
      <c r="E74" s="40"/>
    </row>
    <row r="75" spans="1:11" x14ac:dyDescent="0.3">
      <c r="A75" s="39" t="s">
        <v>52</v>
      </c>
    </row>
    <row r="79" spans="1:11" x14ac:dyDescent="0.3">
      <c r="A79" s="109"/>
      <c r="B79" s="39"/>
    </row>
  </sheetData>
  <printOptions horizontalCentered="1"/>
  <pageMargins left="0.2" right="0.2" top="0.5" bottom="0.5" header="0.3" footer="0.3"/>
  <pageSetup scale="65" fitToHeight="2" orientation="landscape" r:id="rId1"/>
  <headerFooter>
    <oddFooter>&amp;L&amp;9&amp;Z&amp;F   &amp;A</oddFooter>
  </headerFooter>
  <rowBreaks count="1" manualBreakCount="1">
    <brk id="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workbookViewId="0">
      <selection activeCell="B3" sqref="B3"/>
    </sheetView>
  </sheetViews>
  <sheetFormatPr defaultRowHeight="13.2" x14ac:dyDescent="0.25"/>
  <cols>
    <col min="1" max="1" width="34.5546875" style="102" customWidth="1"/>
    <col min="2" max="2" width="21.44140625" style="102" bestFit="1" customWidth="1"/>
    <col min="3" max="3" width="12.109375" style="102" customWidth="1"/>
    <col min="4" max="4" width="12.44140625" style="102" bestFit="1" customWidth="1"/>
    <col min="5" max="5" width="12.5546875" style="102" bestFit="1" customWidth="1"/>
    <col min="6" max="232" width="9.109375" style="102"/>
    <col min="233" max="233" width="49.6640625" style="102" bestFit="1" customWidth="1"/>
    <col min="234" max="234" width="15" style="102" customWidth="1"/>
    <col min="235" max="235" width="12.44140625" style="102" bestFit="1" customWidth="1"/>
    <col min="236" max="236" width="12.5546875" style="102" bestFit="1" customWidth="1"/>
    <col min="237" max="488" width="9.109375" style="102"/>
    <col min="489" max="489" width="49.6640625" style="102" bestFit="1" customWidth="1"/>
    <col min="490" max="490" width="15" style="102" customWidth="1"/>
    <col min="491" max="491" width="12.44140625" style="102" bestFit="1" customWidth="1"/>
    <col min="492" max="492" width="12.5546875" style="102" bestFit="1" customWidth="1"/>
    <col min="493" max="744" width="9.109375" style="102"/>
    <col min="745" max="745" width="49.6640625" style="102" bestFit="1" customWidth="1"/>
    <col min="746" max="746" width="15" style="102" customWidth="1"/>
    <col min="747" max="747" width="12.44140625" style="102" bestFit="1" customWidth="1"/>
    <col min="748" max="748" width="12.5546875" style="102" bestFit="1" customWidth="1"/>
    <col min="749" max="1000" width="9.109375" style="102"/>
    <col min="1001" max="1001" width="49.6640625" style="102" bestFit="1" customWidth="1"/>
    <col min="1002" max="1002" width="15" style="102" customWidth="1"/>
    <col min="1003" max="1003" width="12.44140625" style="102" bestFit="1" customWidth="1"/>
    <col min="1004" max="1004" width="12.5546875" style="102" bestFit="1" customWidth="1"/>
    <col min="1005" max="1256" width="9.109375" style="102"/>
    <col min="1257" max="1257" width="49.6640625" style="102" bestFit="1" customWidth="1"/>
    <col min="1258" max="1258" width="15" style="102" customWidth="1"/>
    <col min="1259" max="1259" width="12.44140625" style="102" bestFit="1" customWidth="1"/>
    <col min="1260" max="1260" width="12.5546875" style="102" bestFit="1" customWidth="1"/>
    <col min="1261" max="1512" width="9.109375" style="102"/>
    <col min="1513" max="1513" width="49.6640625" style="102" bestFit="1" customWidth="1"/>
    <col min="1514" max="1514" width="15" style="102" customWidth="1"/>
    <col min="1515" max="1515" width="12.44140625" style="102" bestFit="1" customWidth="1"/>
    <col min="1516" max="1516" width="12.5546875" style="102" bestFit="1" customWidth="1"/>
    <col min="1517" max="1768" width="9.109375" style="102"/>
    <col min="1769" max="1769" width="49.6640625" style="102" bestFit="1" customWidth="1"/>
    <col min="1770" max="1770" width="15" style="102" customWidth="1"/>
    <col min="1771" max="1771" width="12.44140625" style="102" bestFit="1" customWidth="1"/>
    <col min="1772" max="1772" width="12.5546875" style="102" bestFit="1" customWidth="1"/>
    <col min="1773" max="2024" width="9.109375" style="102"/>
    <col min="2025" max="2025" width="49.6640625" style="102" bestFit="1" customWidth="1"/>
    <col min="2026" max="2026" width="15" style="102" customWidth="1"/>
    <col min="2027" max="2027" width="12.44140625" style="102" bestFit="1" customWidth="1"/>
    <col min="2028" max="2028" width="12.5546875" style="102" bestFit="1" customWidth="1"/>
    <col min="2029" max="2280" width="9.109375" style="102"/>
    <col min="2281" max="2281" width="49.6640625" style="102" bestFit="1" customWidth="1"/>
    <col min="2282" max="2282" width="15" style="102" customWidth="1"/>
    <col min="2283" max="2283" width="12.44140625" style="102" bestFit="1" customWidth="1"/>
    <col min="2284" max="2284" width="12.5546875" style="102" bestFit="1" customWidth="1"/>
    <col min="2285" max="2536" width="9.109375" style="102"/>
    <col min="2537" max="2537" width="49.6640625" style="102" bestFit="1" customWidth="1"/>
    <col min="2538" max="2538" width="15" style="102" customWidth="1"/>
    <col min="2539" max="2539" width="12.44140625" style="102" bestFit="1" customWidth="1"/>
    <col min="2540" max="2540" width="12.5546875" style="102" bestFit="1" customWidth="1"/>
    <col min="2541" max="2792" width="9.109375" style="102"/>
    <col min="2793" max="2793" width="49.6640625" style="102" bestFit="1" customWidth="1"/>
    <col min="2794" max="2794" width="15" style="102" customWidth="1"/>
    <col min="2795" max="2795" width="12.44140625" style="102" bestFit="1" customWidth="1"/>
    <col min="2796" max="2796" width="12.5546875" style="102" bestFit="1" customWidth="1"/>
    <col min="2797" max="3048" width="9.109375" style="102"/>
    <col min="3049" max="3049" width="49.6640625" style="102" bestFit="1" customWidth="1"/>
    <col min="3050" max="3050" width="15" style="102" customWidth="1"/>
    <col min="3051" max="3051" width="12.44140625" style="102" bestFit="1" customWidth="1"/>
    <col min="3052" max="3052" width="12.5546875" style="102" bestFit="1" customWidth="1"/>
    <col min="3053" max="3304" width="9.109375" style="102"/>
    <col min="3305" max="3305" width="49.6640625" style="102" bestFit="1" customWidth="1"/>
    <col min="3306" max="3306" width="15" style="102" customWidth="1"/>
    <col min="3307" max="3307" width="12.44140625" style="102" bestFit="1" customWidth="1"/>
    <col min="3308" max="3308" width="12.5546875" style="102" bestFit="1" customWidth="1"/>
    <col min="3309" max="3560" width="9.109375" style="102"/>
    <col min="3561" max="3561" width="49.6640625" style="102" bestFit="1" customWidth="1"/>
    <col min="3562" max="3562" width="15" style="102" customWidth="1"/>
    <col min="3563" max="3563" width="12.44140625" style="102" bestFit="1" customWidth="1"/>
    <col min="3564" max="3564" width="12.5546875" style="102" bestFit="1" customWidth="1"/>
    <col min="3565" max="3816" width="9.109375" style="102"/>
    <col min="3817" max="3817" width="49.6640625" style="102" bestFit="1" customWidth="1"/>
    <col min="3818" max="3818" width="15" style="102" customWidth="1"/>
    <col min="3819" max="3819" width="12.44140625" style="102" bestFit="1" customWidth="1"/>
    <col min="3820" max="3820" width="12.5546875" style="102" bestFit="1" customWidth="1"/>
    <col min="3821" max="4072" width="9.109375" style="102"/>
    <col min="4073" max="4073" width="49.6640625" style="102" bestFit="1" customWidth="1"/>
    <col min="4074" max="4074" width="15" style="102" customWidth="1"/>
    <col min="4075" max="4075" width="12.44140625" style="102" bestFit="1" customWidth="1"/>
    <col min="4076" max="4076" width="12.5546875" style="102" bestFit="1" customWidth="1"/>
    <col min="4077" max="4328" width="9.109375" style="102"/>
    <col min="4329" max="4329" width="49.6640625" style="102" bestFit="1" customWidth="1"/>
    <col min="4330" max="4330" width="15" style="102" customWidth="1"/>
    <col min="4331" max="4331" width="12.44140625" style="102" bestFit="1" customWidth="1"/>
    <col min="4332" max="4332" width="12.5546875" style="102" bestFit="1" customWidth="1"/>
    <col min="4333" max="4584" width="9.109375" style="102"/>
    <col min="4585" max="4585" width="49.6640625" style="102" bestFit="1" customWidth="1"/>
    <col min="4586" max="4586" width="15" style="102" customWidth="1"/>
    <col min="4587" max="4587" width="12.44140625" style="102" bestFit="1" customWidth="1"/>
    <col min="4588" max="4588" width="12.5546875" style="102" bestFit="1" customWidth="1"/>
    <col min="4589" max="4840" width="9.109375" style="102"/>
    <col min="4841" max="4841" width="49.6640625" style="102" bestFit="1" customWidth="1"/>
    <col min="4842" max="4842" width="15" style="102" customWidth="1"/>
    <col min="4843" max="4843" width="12.44140625" style="102" bestFit="1" customWidth="1"/>
    <col min="4844" max="4844" width="12.5546875" style="102" bestFit="1" customWidth="1"/>
    <col min="4845" max="5096" width="9.109375" style="102"/>
    <col min="5097" max="5097" width="49.6640625" style="102" bestFit="1" customWidth="1"/>
    <col min="5098" max="5098" width="15" style="102" customWidth="1"/>
    <col min="5099" max="5099" width="12.44140625" style="102" bestFit="1" customWidth="1"/>
    <col min="5100" max="5100" width="12.5546875" style="102" bestFit="1" customWidth="1"/>
    <col min="5101" max="5352" width="9.109375" style="102"/>
    <col min="5353" max="5353" width="49.6640625" style="102" bestFit="1" customWidth="1"/>
    <col min="5354" max="5354" width="15" style="102" customWidth="1"/>
    <col min="5355" max="5355" width="12.44140625" style="102" bestFit="1" customWidth="1"/>
    <col min="5356" max="5356" width="12.5546875" style="102" bestFit="1" customWidth="1"/>
    <col min="5357" max="5608" width="9.109375" style="102"/>
    <col min="5609" max="5609" width="49.6640625" style="102" bestFit="1" customWidth="1"/>
    <col min="5610" max="5610" width="15" style="102" customWidth="1"/>
    <col min="5611" max="5611" width="12.44140625" style="102" bestFit="1" customWidth="1"/>
    <col min="5612" max="5612" width="12.5546875" style="102" bestFit="1" customWidth="1"/>
    <col min="5613" max="5864" width="9.109375" style="102"/>
    <col min="5865" max="5865" width="49.6640625" style="102" bestFit="1" customWidth="1"/>
    <col min="5866" max="5866" width="15" style="102" customWidth="1"/>
    <col min="5867" max="5867" width="12.44140625" style="102" bestFit="1" customWidth="1"/>
    <col min="5868" max="5868" width="12.5546875" style="102" bestFit="1" customWidth="1"/>
    <col min="5869" max="6120" width="9.109375" style="102"/>
    <col min="6121" max="6121" width="49.6640625" style="102" bestFit="1" customWidth="1"/>
    <col min="6122" max="6122" width="15" style="102" customWidth="1"/>
    <col min="6123" max="6123" width="12.44140625" style="102" bestFit="1" customWidth="1"/>
    <col min="6124" max="6124" width="12.5546875" style="102" bestFit="1" customWidth="1"/>
    <col min="6125" max="6376" width="9.109375" style="102"/>
    <col min="6377" max="6377" width="49.6640625" style="102" bestFit="1" customWidth="1"/>
    <col min="6378" max="6378" width="15" style="102" customWidth="1"/>
    <col min="6379" max="6379" width="12.44140625" style="102" bestFit="1" customWidth="1"/>
    <col min="6380" max="6380" width="12.5546875" style="102" bestFit="1" customWidth="1"/>
    <col min="6381" max="6632" width="9.109375" style="102"/>
    <col min="6633" max="6633" width="49.6640625" style="102" bestFit="1" customWidth="1"/>
    <col min="6634" max="6634" width="15" style="102" customWidth="1"/>
    <col min="6635" max="6635" width="12.44140625" style="102" bestFit="1" customWidth="1"/>
    <col min="6636" max="6636" width="12.5546875" style="102" bestFit="1" customWidth="1"/>
    <col min="6637" max="6888" width="9.109375" style="102"/>
    <col min="6889" max="6889" width="49.6640625" style="102" bestFit="1" customWidth="1"/>
    <col min="6890" max="6890" width="15" style="102" customWidth="1"/>
    <col min="6891" max="6891" width="12.44140625" style="102" bestFit="1" customWidth="1"/>
    <col min="6892" max="6892" width="12.5546875" style="102" bestFit="1" customWidth="1"/>
    <col min="6893" max="7144" width="9.109375" style="102"/>
    <col min="7145" max="7145" width="49.6640625" style="102" bestFit="1" customWidth="1"/>
    <col min="7146" max="7146" width="15" style="102" customWidth="1"/>
    <col min="7147" max="7147" width="12.44140625" style="102" bestFit="1" customWidth="1"/>
    <col min="7148" max="7148" width="12.5546875" style="102" bestFit="1" customWidth="1"/>
    <col min="7149" max="7400" width="9.109375" style="102"/>
    <col min="7401" max="7401" width="49.6640625" style="102" bestFit="1" customWidth="1"/>
    <col min="7402" max="7402" width="15" style="102" customWidth="1"/>
    <col min="7403" max="7403" width="12.44140625" style="102" bestFit="1" customWidth="1"/>
    <col min="7404" max="7404" width="12.5546875" style="102" bestFit="1" customWidth="1"/>
    <col min="7405" max="7656" width="9.109375" style="102"/>
    <col min="7657" max="7657" width="49.6640625" style="102" bestFit="1" customWidth="1"/>
    <col min="7658" max="7658" width="15" style="102" customWidth="1"/>
    <col min="7659" max="7659" width="12.44140625" style="102" bestFit="1" customWidth="1"/>
    <col min="7660" max="7660" width="12.5546875" style="102" bestFit="1" customWidth="1"/>
    <col min="7661" max="7912" width="9.109375" style="102"/>
    <col min="7913" max="7913" width="49.6640625" style="102" bestFit="1" customWidth="1"/>
    <col min="7914" max="7914" width="15" style="102" customWidth="1"/>
    <col min="7915" max="7915" width="12.44140625" style="102" bestFit="1" customWidth="1"/>
    <col min="7916" max="7916" width="12.5546875" style="102" bestFit="1" customWidth="1"/>
    <col min="7917" max="8168" width="9.109375" style="102"/>
    <col min="8169" max="8169" width="49.6640625" style="102" bestFit="1" customWidth="1"/>
    <col min="8170" max="8170" width="15" style="102" customWidth="1"/>
    <col min="8171" max="8171" width="12.44140625" style="102" bestFit="1" customWidth="1"/>
    <col min="8172" max="8172" width="12.5546875" style="102" bestFit="1" customWidth="1"/>
    <col min="8173" max="8424" width="9.109375" style="102"/>
    <col min="8425" max="8425" width="49.6640625" style="102" bestFit="1" customWidth="1"/>
    <col min="8426" max="8426" width="15" style="102" customWidth="1"/>
    <col min="8427" max="8427" width="12.44140625" style="102" bestFit="1" customWidth="1"/>
    <col min="8428" max="8428" width="12.5546875" style="102" bestFit="1" customWidth="1"/>
    <col min="8429" max="8680" width="9.109375" style="102"/>
    <col min="8681" max="8681" width="49.6640625" style="102" bestFit="1" customWidth="1"/>
    <col min="8682" max="8682" width="15" style="102" customWidth="1"/>
    <col min="8683" max="8683" width="12.44140625" style="102" bestFit="1" customWidth="1"/>
    <col min="8684" max="8684" width="12.5546875" style="102" bestFit="1" customWidth="1"/>
    <col min="8685" max="8936" width="9.109375" style="102"/>
    <col min="8937" max="8937" width="49.6640625" style="102" bestFit="1" customWidth="1"/>
    <col min="8938" max="8938" width="15" style="102" customWidth="1"/>
    <col min="8939" max="8939" width="12.44140625" style="102" bestFit="1" customWidth="1"/>
    <col min="8940" max="8940" width="12.5546875" style="102" bestFit="1" customWidth="1"/>
    <col min="8941" max="9192" width="9.109375" style="102"/>
    <col min="9193" max="9193" width="49.6640625" style="102" bestFit="1" customWidth="1"/>
    <col min="9194" max="9194" width="15" style="102" customWidth="1"/>
    <col min="9195" max="9195" width="12.44140625" style="102" bestFit="1" customWidth="1"/>
    <col min="9196" max="9196" width="12.5546875" style="102" bestFit="1" customWidth="1"/>
    <col min="9197" max="9448" width="9.109375" style="102"/>
    <col min="9449" max="9449" width="49.6640625" style="102" bestFit="1" customWidth="1"/>
    <col min="9450" max="9450" width="15" style="102" customWidth="1"/>
    <col min="9451" max="9451" width="12.44140625" style="102" bestFit="1" customWidth="1"/>
    <col min="9452" max="9452" width="12.5546875" style="102" bestFit="1" customWidth="1"/>
    <col min="9453" max="9704" width="9.109375" style="102"/>
    <col min="9705" max="9705" width="49.6640625" style="102" bestFit="1" customWidth="1"/>
    <col min="9706" max="9706" width="15" style="102" customWidth="1"/>
    <col min="9707" max="9707" width="12.44140625" style="102" bestFit="1" customWidth="1"/>
    <col min="9708" max="9708" width="12.5546875" style="102" bestFit="1" customWidth="1"/>
    <col min="9709" max="9960" width="9.109375" style="102"/>
    <col min="9961" max="9961" width="49.6640625" style="102" bestFit="1" customWidth="1"/>
    <col min="9962" max="9962" width="15" style="102" customWidth="1"/>
    <col min="9963" max="9963" width="12.44140625" style="102" bestFit="1" customWidth="1"/>
    <col min="9964" max="9964" width="12.5546875" style="102" bestFit="1" customWidth="1"/>
    <col min="9965" max="10216" width="9.109375" style="102"/>
    <col min="10217" max="10217" width="49.6640625" style="102" bestFit="1" customWidth="1"/>
    <col min="10218" max="10218" width="15" style="102" customWidth="1"/>
    <col min="10219" max="10219" width="12.44140625" style="102" bestFit="1" customWidth="1"/>
    <col min="10220" max="10220" width="12.5546875" style="102" bestFit="1" customWidth="1"/>
    <col min="10221" max="10472" width="9.109375" style="102"/>
    <col min="10473" max="10473" width="49.6640625" style="102" bestFit="1" customWidth="1"/>
    <col min="10474" max="10474" width="15" style="102" customWidth="1"/>
    <col min="10475" max="10475" width="12.44140625" style="102" bestFit="1" customWidth="1"/>
    <col min="10476" max="10476" width="12.5546875" style="102" bestFit="1" customWidth="1"/>
    <col min="10477" max="10728" width="9.109375" style="102"/>
    <col min="10729" max="10729" width="49.6640625" style="102" bestFit="1" customWidth="1"/>
    <col min="10730" max="10730" width="15" style="102" customWidth="1"/>
    <col min="10731" max="10731" width="12.44140625" style="102" bestFit="1" customWidth="1"/>
    <col min="10732" max="10732" width="12.5546875" style="102" bestFit="1" customWidth="1"/>
    <col min="10733" max="10984" width="9.109375" style="102"/>
    <col min="10985" max="10985" width="49.6640625" style="102" bestFit="1" customWidth="1"/>
    <col min="10986" max="10986" width="15" style="102" customWidth="1"/>
    <col min="10987" max="10987" width="12.44140625" style="102" bestFit="1" customWidth="1"/>
    <col min="10988" max="10988" width="12.5546875" style="102" bestFit="1" customWidth="1"/>
    <col min="10989" max="11240" width="9.109375" style="102"/>
    <col min="11241" max="11241" width="49.6640625" style="102" bestFit="1" customWidth="1"/>
    <col min="11242" max="11242" width="15" style="102" customWidth="1"/>
    <col min="11243" max="11243" width="12.44140625" style="102" bestFit="1" customWidth="1"/>
    <col min="11244" max="11244" width="12.5546875" style="102" bestFit="1" customWidth="1"/>
    <col min="11245" max="11496" width="9.109375" style="102"/>
    <col min="11497" max="11497" width="49.6640625" style="102" bestFit="1" customWidth="1"/>
    <col min="11498" max="11498" width="15" style="102" customWidth="1"/>
    <col min="11499" max="11499" width="12.44140625" style="102" bestFit="1" customWidth="1"/>
    <col min="11500" max="11500" width="12.5546875" style="102" bestFit="1" customWidth="1"/>
    <col min="11501" max="11752" width="9.109375" style="102"/>
    <col min="11753" max="11753" width="49.6640625" style="102" bestFit="1" customWidth="1"/>
    <col min="11754" max="11754" width="15" style="102" customWidth="1"/>
    <col min="11755" max="11755" width="12.44140625" style="102" bestFit="1" customWidth="1"/>
    <col min="11756" max="11756" width="12.5546875" style="102" bestFit="1" customWidth="1"/>
    <col min="11757" max="12008" width="9.109375" style="102"/>
    <col min="12009" max="12009" width="49.6640625" style="102" bestFit="1" customWidth="1"/>
    <col min="12010" max="12010" width="15" style="102" customWidth="1"/>
    <col min="12011" max="12011" width="12.44140625" style="102" bestFit="1" customWidth="1"/>
    <col min="12012" max="12012" width="12.5546875" style="102" bestFit="1" customWidth="1"/>
    <col min="12013" max="12264" width="9.109375" style="102"/>
    <col min="12265" max="12265" width="49.6640625" style="102" bestFit="1" customWidth="1"/>
    <col min="12266" max="12266" width="15" style="102" customWidth="1"/>
    <col min="12267" max="12267" width="12.44140625" style="102" bestFit="1" customWidth="1"/>
    <col min="12268" max="12268" width="12.5546875" style="102" bestFit="1" customWidth="1"/>
    <col min="12269" max="12520" width="9.109375" style="102"/>
    <col min="12521" max="12521" width="49.6640625" style="102" bestFit="1" customWidth="1"/>
    <col min="12522" max="12522" width="15" style="102" customWidth="1"/>
    <col min="12523" max="12523" width="12.44140625" style="102" bestFit="1" customWidth="1"/>
    <col min="12524" max="12524" width="12.5546875" style="102" bestFit="1" customWidth="1"/>
    <col min="12525" max="12776" width="9.109375" style="102"/>
    <col min="12777" max="12777" width="49.6640625" style="102" bestFit="1" customWidth="1"/>
    <col min="12778" max="12778" width="15" style="102" customWidth="1"/>
    <col min="12779" max="12779" width="12.44140625" style="102" bestFit="1" customWidth="1"/>
    <col min="12780" max="12780" width="12.5546875" style="102" bestFit="1" customWidth="1"/>
    <col min="12781" max="13032" width="9.109375" style="102"/>
    <col min="13033" max="13033" width="49.6640625" style="102" bestFit="1" customWidth="1"/>
    <col min="13034" max="13034" width="15" style="102" customWidth="1"/>
    <col min="13035" max="13035" width="12.44140625" style="102" bestFit="1" customWidth="1"/>
    <col min="13036" max="13036" width="12.5546875" style="102" bestFit="1" customWidth="1"/>
    <col min="13037" max="13288" width="9.109375" style="102"/>
    <col min="13289" max="13289" width="49.6640625" style="102" bestFit="1" customWidth="1"/>
    <col min="13290" max="13290" width="15" style="102" customWidth="1"/>
    <col min="13291" max="13291" width="12.44140625" style="102" bestFit="1" customWidth="1"/>
    <col min="13292" max="13292" width="12.5546875" style="102" bestFit="1" customWidth="1"/>
    <col min="13293" max="13544" width="9.109375" style="102"/>
    <col min="13545" max="13545" width="49.6640625" style="102" bestFit="1" customWidth="1"/>
    <col min="13546" max="13546" width="15" style="102" customWidth="1"/>
    <col min="13547" max="13547" width="12.44140625" style="102" bestFit="1" customWidth="1"/>
    <col min="13548" max="13548" width="12.5546875" style="102" bestFit="1" customWidth="1"/>
    <col min="13549" max="13800" width="9.109375" style="102"/>
    <col min="13801" max="13801" width="49.6640625" style="102" bestFit="1" customWidth="1"/>
    <col min="13802" max="13802" width="15" style="102" customWidth="1"/>
    <col min="13803" max="13803" width="12.44140625" style="102" bestFit="1" customWidth="1"/>
    <col min="13804" max="13804" width="12.5546875" style="102" bestFit="1" customWidth="1"/>
    <col min="13805" max="14056" width="9.109375" style="102"/>
    <col min="14057" max="14057" width="49.6640625" style="102" bestFit="1" customWidth="1"/>
    <col min="14058" max="14058" width="15" style="102" customWidth="1"/>
    <col min="14059" max="14059" width="12.44140625" style="102" bestFit="1" customWidth="1"/>
    <col min="14060" max="14060" width="12.5546875" style="102" bestFit="1" customWidth="1"/>
    <col min="14061" max="14312" width="9.109375" style="102"/>
    <col min="14313" max="14313" width="49.6640625" style="102" bestFit="1" customWidth="1"/>
    <col min="14314" max="14314" width="15" style="102" customWidth="1"/>
    <col min="14315" max="14315" width="12.44140625" style="102" bestFit="1" customWidth="1"/>
    <col min="14316" max="14316" width="12.5546875" style="102" bestFit="1" customWidth="1"/>
    <col min="14317" max="14568" width="9.109375" style="102"/>
    <col min="14569" max="14569" width="49.6640625" style="102" bestFit="1" customWidth="1"/>
    <col min="14570" max="14570" width="15" style="102" customWidth="1"/>
    <col min="14571" max="14571" width="12.44140625" style="102" bestFit="1" customWidth="1"/>
    <col min="14572" max="14572" width="12.5546875" style="102" bestFit="1" customWidth="1"/>
    <col min="14573" max="14824" width="9.109375" style="102"/>
    <col min="14825" max="14825" width="49.6640625" style="102" bestFit="1" customWidth="1"/>
    <col min="14826" max="14826" width="15" style="102" customWidth="1"/>
    <col min="14827" max="14827" width="12.44140625" style="102" bestFit="1" customWidth="1"/>
    <col min="14828" max="14828" width="12.5546875" style="102" bestFit="1" customWidth="1"/>
    <col min="14829" max="15080" width="9.109375" style="102"/>
    <col min="15081" max="15081" width="49.6640625" style="102" bestFit="1" customWidth="1"/>
    <col min="15082" max="15082" width="15" style="102" customWidth="1"/>
    <col min="15083" max="15083" width="12.44140625" style="102" bestFit="1" customWidth="1"/>
    <col min="15084" max="15084" width="12.5546875" style="102" bestFit="1" customWidth="1"/>
    <col min="15085" max="15336" width="9.109375" style="102"/>
    <col min="15337" max="15337" width="49.6640625" style="102" bestFit="1" customWidth="1"/>
    <col min="15338" max="15338" width="15" style="102" customWidth="1"/>
    <col min="15339" max="15339" width="12.44140625" style="102" bestFit="1" customWidth="1"/>
    <col min="15340" max="15340" width="12.5546875" style="102" bestFit="1" customWidth="1"/>
    <col min="15341" max="15592" width="9.109375" style="102"/>
    <col min="15593" max="15593" width="49.6640625" style="102" bestFit="1" customWidth="1"/>
    <col min="15594" max="15594" width="15" style="102" customWidth="1"/>
    <col min="15595" max="15595" width="12.44140625" style="102" bestFit="1" customWidth="1"/>
    <col min="15596" max="15596" width="12.5546875" style="102" bestFit="1" customWidth="1"/>
    <col min="15597" max="15848" width="9.109375" style="102"/>
    <col min="15849" max="15849" width="49.6640625" style="102" bestFit="1" customWidth="1"/>
    <col min="15850" max="15850" width="15" style="102" customWidth="1"/>
    <col min="15851" max="15851" width="12.44140625" style="102" bestFit="1" customWidth="1"/>
    <col min="15852" max="15852" width="12.5546875" style="102" bestFit="1" customWidth="1"/>
    <col min="15853" max="16104" width="9.109375" style="102"/>
    <col min="16105" max="16105" width="49.6640625" style="102" bestFit="1" customWidth="1"/>
    <col min="16106" max="16106" width="15" style="102" customWidth="1"/>
    <col min="16107" max="16107" width="12.44140625" style="102" bestFit="1" customWidth="1"/>
    <col min="16108" max="16108" width="12.5546875" style="102" bestFit="1" customWidth="1"/>
    <col min="16109" max="16360" width="9.109375" style="102"/>
    <col min="16361" max="16367" width="9.109375" style="102" customWidth="1"/>
    <col min="16368" max="16384" width="9.109375" style="102"/>
  </cols>
  <sheetData>
    <row r="1" spans="1:6" ht="13.8" x14ac:dyDescent="0.25">
      <c r="B1" s="101"/>
      <c r="C1" s="101"/>
    </row>
    <row r="2" spans="1:6" ht="13.8" x14ac:dyDescent="0.25">
      <c r="B2" s="132" t="s">
        <v>200</v>
      </c>
      <c r="C2" s="103"/>
    </row>
    <row r="3" spans="1:6" ht="13.8" x14ac:dyDescent="0.25">
      <c r="B3" s="101"/>
      <c r="C3" s="101"/>
    </row>
    <row r="4" spans="1:6" ht="52.8" x14ac:dyDescent="0.25">
      <c r="B4" s="133" t="s">
        <v>104</v>
      </c>
      <c r="C4" s="133" t="s">
        <v>102</v>
      </c>
      <c r="D4" s="133" t="s">
        <v>105</v>
      </c>
      <c r="E4" s="133" t="s">
        <v>106</v>
      </c>
      <c r="F4" s="134" t="s">
        <v>113</v>
      </c>
    </row>
    <row r="5" spans="1:6" x14ac:dyDescent="0.25">
      <c r="A5" s="131" t="s">
        <v>172</v>
      </c>
      <c r="B5" s="107" t="s">
        <v>97</v>
      </c>
      <c r="C5" s="106">
        <v>30052</v>
      </c>
      <c r="D5" s="104">
        <v>76</v>
      </c>
      <c r="E5" s="104">
        <v>2522</v>
      </c>
      <c r="F5" s="105">
        <f>+C5-D5-E5</f>
        <v>27454</v>
      </c>
    </row>
    <row r="6" spans="1:6" x14ac:dyDescent="0.25">
      <c r="A6" s="135" t="s">
        <v>173</v>
      </c>
      <c r="B6" s="107" t="s">
        <v>96</v>
      </c>
      <c r="C6" s="106">
        <v>24752</v>
      </c>
      <c r="D6" s="104">
        <v>307</v>
      </c>
      <c r="E6" s="104">
        <v>11347</v>
      </c>
      <c r="F6" s="105">
        <f>+C6-D6-E6</f>
        <v>13098</v>
      </c>
    </row>
    <row r="7" spans="1:6" x14ac:dyDescent="0.25">
      <c r="A7" s="131" t="s">
        <v>174</v>
      </c>
      <c r="B7" s="107" t="s">
        <v>95</v>
      </c>
      <c r="C7" s="106">
        <v>14308</v>
      </c>
      <c r="D7" s="104">
        <v>32</v>
      </c>
      <c r="E7" s="104">
        <v>2847</v>
      </c>
      <c r="F7" s="105">
        <f t="shared" ref="F7:F23" si="0">+C7-D7-E7</f>
        <v>11429</v>
      </c>
    </row>
    <row r="8" spans="1:6" x14ac:dyDescent="0.25">
      <c r="A8" s="131" t="s">
        <v>175</v>
      </c>
      <c r="B8" s="107" t="s">
        <v>93</v>
      </c>
      <c r="C8" s="106">
        <v>1798</v>
      </c>
      <c r="D8" s="104">
        <v>0</v>
      </c>
      <c r="E8" s="104">
        <v>264</v>
      </c>
      <c r="F8" s="105">
        <f t="shared" si="0"/>
        <v>1534</v>
      </c>
    </row>
    <row r="9" spans="1:6" x14ac:dyDescent="0.25">
      <c r="A9" s="131" t="s">
        <v>188</v>
      </c>
      <c r="B9" s="107" t="s">
        <v>92</v>
      </c>
      <c r="C9" s="106">
        <v>7764</v>
      </c>
      <c r="D9" s="104">
        <v>34</v>
      </c>
      <c r="E9" s="104">
        <v>649</v>
      </c>
      <c r="F9" s="105">
        <f t="shared" si="0"/>
        <v>7081</v>
      </c>
    </row>
    <row r="10" spans="1:6" x14ac:dyDescent="0.25">
      <c r="A10" s="131" t="s">
        <v>176</v>
      </c>
      <c r="B10" s="107" t="s">
        <v>91</v>
      </c>
      <c r="C10" s="106">
        <v>64368</v>
      </c>
      <c r="D10" s="104">
        <v>5605</v>
      </c>
      <c r="E10" s="104">
        <v>3127</v>
      </c>
      <c r="F10" s="105">
        <f t="shared" si="0"/>
        <v>55636</v>
      </c>
    </row>
    <row r="11" spans="1:6" x14ac:dyDescent="0.25">
      <c r="A11" s="131" t="s">
        <v>177</v>
      </c>
      <c r="B11" s="107" t="s">
        <v>89</v>
      </c>
      <c r="C11" s="106">
        <v>14788</v>
      </c>
      <c r="D11" s="104">
        <v>33</v>
      </c>
      <c r="E11" s="104">
        <v>1991</v>
      </c>
      <c r="F11" s="105">
        <f t="shared" si="0"/>
        <v>12764</v>
      </c>
    </row>
    <row r="12" spans="1:6" x14ac:dyDescent="0.25">
      <c r="A12" s="131" t="s">
        <v>180</v>
      </c>
      <c r="B12" s="107" t="s">
        <v>88</v>
      </c>
      <c r="C12" s="106">
        <v>10819</v>
      </c>
      <c r="D12" s="104">
        <v>1077</v>
      </c>
      <c r="E12" s="104">
        <v>1425</v>
      </c>
      <c r="F12" s="105">
        <f t="shared" si="0"/>
        <v>8317</v>
      </c>
    </row>
    <row r="13" spans="1:6" x14ac:dyDescent="0.25">
      <c r="A13" s="131" t="s">
        <v>178</v>
      </c>
      <c r="B13" s="107" t="s">
        <v>87</v>
      </c>
      <c r="C13" s="106">
        <v>9381</v>
      </c>
      <c r="D13" s="104">
        <v>48</v>
      </c>
      <c r="E13" s="104">
        <v>965</v>
      </c>
      <c r="F13" s="105">
        <f t="shared" si="0"/>
        <v>8368</v>
      </c>
    </row>
    <row r="14" spans="1:6" x14ac:dyDescent="0.25">
      <c r="A14" s="131" t="s">
        <v>179</v>
      </c>
      <c r="B14" s="107" t="s">
        <v>86</v>
      </c>
      <c r="C14" s="106">
        <v>10394</v>
      </c>
      <c r="D14" s="104">
        <v>47</v>
      </c>
      <c r="E14" s="104">
        <v>1664</v>
      </c>
      <c r="F14" s="105">
        <f t="shared" si="0"/>
        <v>8683</v>
      </c>
    </row>
    <row r="15" spans="1:6" x14ac:dyDescent="0.25">
      <c r="A15" s="135" t="s">
        <v>181</v>
      </c>
      <c r="B15" s="107" t="s">
        <v>85</v>
      </c>
      <c r="C15" s="106">
        <v>1087</v>
      </c>
      <c r="D15" s="104">
        <v>0</v>
      </c>
      <c r="E15" s="104">
        <v>0</v>
      </c>
      <c r="F15" s="105">
        <f t="shared" si="0"/>
        <v>1087</v>
      </c>
    </row>
    <row r="16" spans="1:6" x14ac:dyDescent="0.25">
      <c r="A16" s="131" t="s">
        <v>184</v>
      </c>
      <c r="B16" s="107" t="s">
        <v>80</v>
      </c>
      <c r="C16" s="106">
        <v>16373</v>
      </c>
      <c r="D16" s="104">
        <v>104</v>
      </c>
      <c r="E16" s="104">
        <v>2704</v>
      </c>
      <c r="F16" s="105">
        <f t="shared" si="0"/>
        <v>13565</v>
      </c>
    </row>
    <row r="17" spans="1:6" x14ac:dyDescent="0.25">
      <c r="A17" s="131" t="s">
        <v>185</v>
      </c>
      <c r="B17" s="107" t="s">
        <v>94</v>
      </c>
      <c r="C17" s="106">
        <v>9620</v>
      </c>
      <c r="D17" s="104">
        <v>11</v>
      </c>
      <c r="E17" s="104">
        <v>706</v>
      </c>
      <c r="F17" s="105">
        <f t="shared" si="0"/>
        <v>8903</v>
      </c>
    </row>
    <row r="18" spans="1:6" x14ac:dyDescent="0.25">
      <c r="A18" s="131" t="s">
        <v>183</v>
      </c>
      <c r="B18" s="107" t="s">
        <v>84</v>
      </c>
      <c r="C18" s="106">
        <v>35451</v>
      </c>
      <c r="D18" s="104">
        <v>3359</v>
      </c>
      <c r="E18" s="104">
        <v>4876</v>
      </c>
      <c r="F18" s="105">
        <f t="shared" si="0"/>
        <v>27216</v>
      </c>
    </row>
    <row r="19" spans="1:6" x14ac:dyDescent="0.25">
      <c r="A19" s="131" t="s">
        <v>186</v>
      </c>
      <c r="B19" s="107" t="s">
        <v>82</v>
      </c>
      <c r="C19" s="106">
        <v>10893</v>
      </c>
      <c r="D19" s="104">
        <v>34</v>
      </c>
      <c r="E19" s="104">
        <v>1099</v>
      </c>
      <c r="F19" s="105">
        <f t="shared" si="0"/>
        <v>9760</v>
      </c>
    </row>
    <row r="20" spans="1:6" x14ac:dyDescent="0.25">
      <c r="A20" s="131" t="s">
        <v>187</v>
      </c>
      <c r="B20" s="107" t="s">
        <v>81</v>
      </c>
      <c r="C20" s="106">
        <v>18652</v>
      </c>
      <c r="D20" s="104">
        <v>3020</v>
      </c>
      <c r="E20" s="104">
        <v>1070</v>
      </c>
      <c r="F20" s="105">
        <f t="shared" si="0"/>
        <v>14562</v>
      </c>
    </row>
    <row r="21" spans="1:6" x14ac:dyDescent="0.25">
      <c r="A21" s="131" t="s">
        <v>189</v>
      </c>
      <c r="B21" s="107" t="s">
        <v>90</v>
      </c>
      <c r="C21" s="106">
        <v>20276</v>
      </c>
      <c r="D21" s="104">
        <v>49</v>
      </c>
      <c r="E21" s="104">
        <v>3259</v>
      </c>
      <c r="F21" s="105">
        <f t="shared" si="0"/>
        <v>16968</v>
      </c>
    </row>
    <row r="22" spans="1:6" x14ac:dyDescent="0.25">
      <c r="A22" s="131" t="s">
        <v>182</v>
      </c>
      <c r="B22" s="107" t="s">
        <v>79</v>
      </c>
      <c r="C22" s="106">
        <v>18698</v>
      </c>
      <c r="D22" s="104">
        <v>42</v>
      </c>
      <c r="E22" s="104">
        <v>2552</v>
      </c>
      <c r="F22" s="105">
        <f t="shared" si="0"/>
        <v>16104</v>
      </c>
    </row>
    <row r="23" spans="1:6" x14ac:dyDescent="0.25">
      <c r="A23" s="131" t="s">
        <v>190</v>
      </c>
      <c r="B23" s="107" t="s">
        <v>78</v>
      </c>
      <c r="C23" s="106">
        <v>126230</v>
      </c>
      <c r="D23" s="104">
        <v>7367</v>
      </c>
      <c r="E23" s="104">
        <v>17424</v>
      </c>
      <c r="F23" s="105">
        <f t="shared" si="0"/>
        <v>101439</v>
      </c>
    </row>
    <row r="25" spans="1:6" x14ac:dyDescent="0.25">
      <c r="C25" s="102">
        <f>SUM(C5:C24)</f>
        <v>445704</v>
      </c>
      <c r="D25" s="102">
        <f t="shared" ref="D25:F25" si="1">SUM(D5:D24)</f>
        <v>21245</v>
      </c>
      <c r="E25" s="102">
        <f t="shared" si="1"/>
        <v>60491</v>
      </c>
      <c r="F25" s="102">
        <f t="shared" si="1"/>
        <v>363968</v>
      </c>
    </row>
  </sheetData>
  <pageMargins left="0.7" right="0.7" top="0.75" bottom="0.75" header="0.3" footer="0.3"/>
  <pageSetup orientation="portrait" r:id="rId1"/>
  <headerFooter>
    <oddFooter>&amp;L&amp;9&amp;Z&amp;F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5"/>
  <sheetViews>
    <sheetView workbookViewId="0">
      <selection activeCell="A34" sqref="A34"/>
    </sheetView>
  </sheetViews>
  <sheetFormatPr defaultRowHeight="13.8" x14ac:dyDescent="0.25"/>
  <sheetData>
    <row r="1" spans="1:1" x14ac:dyDescent="0.25">
      <c r="A1" s="110" t="s">
        <v>102</v>
      </c>
    </row>
    <row r="32" spans="1:2" x14ac:dyDescent="0.25">
      <c r="A32" s="110" t="s">
        <v>111</v>
      </c>
      <c r="B32" s="110" t="s">
        <v>103</v>
      </c>
    </row>
    <row r="65" spans="1:1" x14ac:dyDescent="0.25">
      <c r="A65" s="110" t="s">
        <v>112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1"/>
  <sheetViews>
    <sheetView zoomScale="90" zoomScaleNormal="90" workbookViewId="0">
      <pane xSplit="1" ySplit="2" topLeftCell="B30" activePane="bottomRight" state="frozen"/>
      <selection pane="topRight" activeCell="B1" sqref="B1"/>
      <selection pane="bottomLeft" activeCell="A9" sqref="A9"/>
      <selection pane="bottomRight" activeCell="B2" sqref="B2:AO32"/>
    </sheetView>
  </sheetViews>
  <sheetFormatPr defaultColWidth="9.109375" defaultRowHeight="14.4" x14ac:dyDescent="0.3"/>
  <cols>
    <col min="1" max="1" width="63.6640625" style="121" customWidth="1"/>
    <col min="2" max="16384" width="9.109375" style="121"/>
  </cols>
  <sheetData>
    <row r="1" spans="1:41" ht="50.25" customHeight="1" x14ac:dyDescent="0.3">
      <c r="A1" s="120" t="s">
        <v>130</v>
      </c>
    </row>
    <row r="2" spans="1:41" s="123" customFormat="1" ht="47.1" customHeight="1" x14ac:dyDescent="0.3">
      <c r="A2" s="122" t="s">
        <v>107</v>
      </c>
      <c r="B2" s="136" t="s">
        <v>131</v>
      </c>
      <c r="C2" s="136" t="s">
        <v>132</v>
      </c>
      <c r="D2" s="136" t="s">
        <v>133</v>
      </c>
      <c r="E2" s="136" t="s">
        <v>134</v>
      </c>
      <c r="F2" s="136" t="s">
        <v>135</v>
      </c>
      <c r="G2" s="136" t="s">
        <v>136</v>
      </c>
      <c r="H2" s="136" t="s">
        <v>137</v>
      </c>
      <c r="I2" s="136" t="s">
        <v>138</v>
      </c>
      <c r="J2" s="136" t="s">
        <v>139</v>
      </c>
      <c r="K2" s="136" t="s">
        <v>140</v>
      </c>
      <c r="L2" s="136" t="s">
        <v>141</v>
      </c>
      <c r="M2" s="136" t="s">
        <v>142</v>
      </c>
      <c r="N2" s="136" t="s">
        <v>143</v>
      </c>
      <c r="O2" s="136" t="s">
        <v>144</v>
      </c>
      <c r="P2" s="136" t="s">
        <v>145</v>
      </c>
      <c r="Q2" s="136" t="s">
        <v>146</v>
      </c>
      <c r="R2" s="136" t="s">
        <v>147</v>
      </c>
      <c r="S2" s="136" t="s">
        <v>148</v>
      </c>
      <c r="T2" s="136" t="s">
        <v>149</v>
      </c>
      <c r="U2" s="136" t="s">
        <v>150</v>
      </c>
      <c r="V2" s="136" t="s">
        <v>151</v>
      </c>
      <c r="W2" s="136" t="s">
        <v>152</v>
      </c>
      <c r="X2" s="136" t="s">
        <v>153</v>
      </c>
      <c r="Y2" s="136" t="s">
        <v>154</v>
      </c>
      <c r="Z2" s="136" t="s">
        <v>155</v>
      </c>
      <c r="AA2" s="136" t="s">
        <v>156</v>
      </c>
      <c r="AB2" s="136" t="s">
        <v>157</v>
      </c>
      <c r="AC2" s="136" t="s">
        <v>158</v>
      </c>
      <c r="AD2" s="136" t="s">
        <v>159</v>
      </c>
      <c r="AE2" s="136" t="s">
        <v>160</v>
      </c>
      <c r="AF2" s="136" t="s">
        <v>161</v>
      </c>
      <c r="AG2" s="136" t="s">
        <v>162</v>
      </c>
      <c r="AH2" s="136" t="s">
        <v>163</v>
      </c>
      <c r="AI2" s="136" t="s">
        <v>164</v>
      </c>
      <c r="AJ2" s="136" t="s">
        <v>165</v>
      </c>
      <c r="AK2" s="136" t="s">
        <v>166</v>
      </c>
      <c r="AL2" s="136" t="s">
        <v>196</v>
      </c>
      <c r="AM2" s="136" t="s">
        <v>197</v>
      </c>
      <c r="AN2" s="136" t="s">
        <v>198</v>
      </c>
      <c r="AO2" s="137" t="s">
        <v>199</v>
      </c>
    </row>
    <row r="3" spans="1:41" x14ac:dyDescent="0.3">
      <c r="A3" s="113" t="s">
        <v>119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9"/>
    </row>
    <row r="4" spans="1:41" x14ac:dyDescent="0.3">
      <c r="A4" s="124" t="s">
        <v>108</v>
      </c>
      <c r="B4" s="140">
        <v>1.159</v>
      </c>
      <c r="C4" s="140">
        <v>1.167</v>
      </c>
      <c r="D4" s="140">
        <v>1.175</v>
      </c>
      <c r="E4" s="140">
        <v>1.18</v>
      </c>
      <c r="F4" s="140">
        <v>1.1910000000000001</v>
      </c>
      <c r="G4" s="140">
        <v>1.198</v>
      </c>
      <c r="H4" s="140">
        <v>1.2070000000000001</v>
      </c>
      <c r="I4" s="140">
        <v>1.212</v>
      </c>
      <c r="J4" s="140">
        <v>1.2230000000000001</v>
      </c>
      <c r="K4" s="140">
        <v>1.2310000000000001</v>
      </c>
      <c r="L4" s="140">
        <v>1.24</v>
      </c>
      <c r="M4" s="140">
        <v>1.2450000000000001</v>
      </c>
      <c r="N4" s="140">
        <v>1.258</v>
      </c>
      <c r="O4" s="140">
        <v>1.2669999999999999</v>
      </c>
      <c r="P4" s="140">
        <v>1.2769999999999999</v>
      </c>
      <c r="Q4" s="140">
        <v>1.2829999999999999</v>
      </c>
      <c r="R4" s="140">
        <v>1.296</v>
      </c>
      <c r="S4" s="140">
        <v>1.3049999999999999</v>
      </c>
      <c r="T4" s="140">
        <v>1.3149999999999999</v>
      </c>
      <c r="U4" s="140">
        <v>1.321</v>
      </c>
      <c r="V4" s="140">
        <v>1.335</v>
      </c>
      <c r="W4" s="140">
        <v>1.3440000000000001</v>
      </c>
      <c r="X4" s="140">
        <v>1.355</v>
      </c>
      <c r="Y4" s="140">
        <v>1.3620000000000001</v>
      </c>
      <c r="Z4" s="140">
        <v>1.3759999999999999</v>
      </c>
      <c r="AA4" s="140">
        <v>1.385</v>
      </c>
      <c r="AB4" s="140">
        <v>1.397</v>
      </c>
      <c r="AC4" s="140">
        <v>1.4039999999999999</v>
      </c>
      <c r="AD4" s="140">
        <v>1.4179999999999999</v>
      </c>
      <c r="AE4" s="140">
        <v>1.4279999999999999</v>
      </c>
      <c r="AF4" s="140">
        <v>1.44</v>
      </c>
      <c r="AG4" s="140">
        <v>1.4470000000000001</v>
      </c>
      <c r="AH4" s="140">
        <v>1.462</v>
      </c>
      <c r="AI4" s="140">
        <v>1.472</v>
      </c>
      <c r="AJ4" s="140">
        <v>1.484</v>
      </c>
      <c r="AK4" s="140">
        <v>1.4910000000000001</v>
      </c>
      <c r="AL4" s="140">
        <v>1.506</v>
      </c>
      <c r="AM4" s="140">
        <v>1.516</v>
      </c>
      <c r="AN4" s="140">
        <v>1.5289999999999999</v>
      </c>
      <c r="AO4" s="141">
        <v>1.536</v>
      </c>
    </row>
    <row r="5" spans="1:41" x14ac:dyDescent="0.3">
      <c r="A5" s="124" t="s">
        <v>109</v>
      </c>
      <c r="B5" s="142">
        <v>2.1</v>
      </c>
      <c r="C5" s="142">
        <v>2.2999999999999998</v>
      </c>
      <c r="D5" s="142">
        <v>2.4</v>
      </c>
      <c r="E5" s="142">
        <v>2.6</v>
      </c>
      <c r="F5" s="142">
        <v>2.7</v>
      </c>
      <c r="G5" s="142">
        <v>2.7</v>
      </c>
      <c r="H5" s="142">
        <v>2.7</v>
      </c>
      <c r="I5" s="142">
        <v>2.7</v>
      </c>
      <c r="J5" s="142">
        <v>2.7</v>
      </c>
      <c r="K5" s="142">
        <v>2.7</v>
      </c>
      <c r="L5" s="142">
        <v>2.7</v>
      </c>
      <c r="M5" s="142">
        <v>2.8</v>
      </c>
      <c r="N5" s="142">
        <v>2.8</v>
      </c>
      <c r="O5" s="142">
        <v>2.8</v>
      </c>
      <c r="P5" s="142">
        <v>2.9</v>
      </c>
      <c r="Q5" s="142">
        <v>2.9</v>
      </c>
      <c r="R5" s="142">
        <v>3</v>
      </c>
      <c r="S5" s="142">
        <v>3</v>
      </c>
      <c r="T5" s="142">
        <v>3</v>
      </c>
      <c r="U5" s="142">
        <v>3</v>
      </c>
      <c r="V5" s="142">
        <v>3</v>
      </c>
      <c r="W5" s="142">
        <v>3</v>
      </c>
      <c r="X5" s="142">
        <v>3</v>
      </c>
      <c r="Y5" s="142">
        <v>3</v>
      </c>
      <c r="Z5" s="142">
        <v>3.1</v>
      </c>
      <c r="AA5" s="142">
        <v>3.1</v>
      </c>
      <c r="AB5" s="142">
        <v>3.1</v>
      </c>
      <c r="AC5" s="142">
        <v>3.1</v>
      </c>
      <c r="AD5" s="142">
        <v>3.1</v>
      </c>
      <c r="AE5" s="142">
        <v>3.1</v>
      </c>
      <c r="AF5" s="142">
        <v>3.1</v>
      </c>
      <c r="AG5" s="142">
        <v>3.1</v>
      </c>
      <c r="AH5" s="142">
        <v>3.1</v>
      </c>
      <c r="AI5" s="142">
        <v>3.1</v>
      </c>
      <c r="AJ5" s="142">
        <v>3.1</v>
      </c>
      <c r="AK5" s="142">
        <v>3.1</v>
      </c>
      <c r="AL5" s="142">
        <v>3</v>
      </c>
      <c r="AM5" s="142">
        <v>3</v>
      </c>
      <c r="AN5" s="142">
        <v>3</v>
      </c>
      <c r="AO5" s="143">
        <v>3</v>
      </c>
    </row>
    <row r="6" spans="1:41" x14ac:dyDescent="0.3">
      <c r="A6" s="113" t="s">
        <v>120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9"/>
    </row>
    <row r="7" spans="1:41" x14ac:dyDescent="0.3">
      <c r="A7" s="124" t="s">
        <v>108</v>
      </c>
      <c r="B7" s="140">
        <v>1.081</v>
      </c>
      <c r="C7" s="140">
        <v>1.0820000000000001</v>
      </c>
      <c r="D7" s="140">
        <v>1.0820000000000001</v>
      </c>
      <c r="E7" s="140">
        <v>1.0860000000000001</v>
      </c>
      <c r="F7" s="140">
        <v>1.091</v>
      </c>
      <c r="G7" s="140">
        <v>1.0920000000000001</v>
      </c>
      <c r="H7" s="140">
        <v>1.093</v>
      </c>
      <c r="I7" s="140">
        <v>1.0980000000000001</v>
      </c>
      <c r="J7" s="140">
        <v>1.103</v>
      </c>
      <c r="K7" s="140">
        <v>1.1040000000000001</v>
      </c>
      <c r="L7" s="140">
        <v>1.105</v>
      </c>
      <c r="M7" s="140">
        <v>1.1100000000000001</v>
      </c>
      <c r="N7" s="140">
        <v>1.1160000000000001</v>
      </c>
      <c r="O7" s="140">
        <v>1.1180000000000001</v>
      </c>
      <c r="P7" s="140">
        <v>1.119</v>
      </c>
      <c r="Q7" s="140">
        <v>1.1240000000000001</v>
      </c>
      <c r="R7" s="140">
        <v>1.1299999999999999</v>
      </c>
      <c r="S7" s="140">
        <v>1.1319999999999999</v>
      </c>
      <c r="T7" s="140">
        <v>1.1339999999999999</v>
      </c>
      <c r="U7" s="140">
        <v>1.1399999999999999</v>
      </c>
      <c r="V7" s="140">
        <v>1.1459999999999999</v>
      </c>
      <c r="W7" s="140">
        <v>1.1479999999999999</v>
      </c>
      <c r="X7" s="140">
        <v>1.1499999999999999</v>
      </c>
      <c r="Y7" s="140">
        <v>1.1559999999999999</v>
      </c>
      <c r="Z7" s="140">
        <v>1.1619999999999999</v>
      </c>
      <c r="AA7" s="140">
        <v>1.1639999999999999</v>
      </c>
      <c r="AB7" s="140">
        <v>1.167</v>
      </c>
      <c r="AC7" s="140">
        <v>1.173</v>
      </c>
      <c r="AD7" s="140">
        <v>1.179</v>
      </c>
      <c r="AE7" s="140">
        <v>1.1819999999999999</v>
      </c>
      <c r="AF7" s="140">
        <v>1.1850000000000001</v>
      </c>
      <c r="AG7" s="140">
        <v>1.1910000000000001</v>
      </c>
      <c r="AH7" s="140">
        <v>1.1970000000000001</v>
      </c>
      <c r="AI7" s="140">
        <v>1.2010000000000001</v>
      </c>
      <c r="AJ7" s="140">
        <v>1.204</v>
      </c>
      <c r="AK7" s="140">
        <v>1.21</v>
      </c>
      <c r="AL7" s="140">
        <v>1.2170000000000001</v>
      </c>
      <c r="AM7" s="140">
        <v>1.22</v>
      </c>
      <c r="AN7" s="140">
        <v>1.2230000000000001</v>
      </c>
      <c r="AO7" s="141">
        <v>1.23</v>
      </c>
    </row>
    <row r="8" spans="1:41" x14ac:dyDescent="0.3">
      <c r="A8" s="124" t="s">
        <v>109</v>
      </c>
      <c r="B8" s="142">
        <v>1</v>
      </c>
      <c r="C8" s="142">
        <v>0.9</v>
      </c>
      <c r="D8" s="142">
        <v>0.9</v>
      </c>
      <c r="E8" s="142">
        <v>0.8</v>
      </c>
      <c r="F8" s="142">
        <v>0.8</v>
      </c>
      <c r="G8" s="142">
        <v>0.9</v>
      </c>
      <c r="H8" s="142">
        <v>0.9</v>
      </c>
      <c r="I8" s="142">
        <v>1</v>
      </c>
      <c r="J8" s="142">
        <v>1</v>
      </c>
      <c r="K8" s="142">
        <v>1.1000000000000001</v>
      </c>
      <c r="L8" s="142">
        <v>1.1000000000000001</v>
      </c>
      <c r="M8" s="142">
        <v>1.1000000000000001</v>
      </c>
      <c r="N8" s="142">
        <v>1.1000000000000001</v>
      </c>
      <c r="O8" s="142">
        <v>1.2</v>
      </c>
      <c r="P8" s="142">
        <v>1.2</v>
      </c>
      <c r="Q8" s="142">
        <v>1.2</v>
      </c>
      <c r="R8" s="142">
        <v>1.3</v>
      </c>
      <c r="S8" s="142">
        <v>1.3</v>
      </c>
      <c r="T8" s="142">
        <v>1.3</v>
      </c>
      <c r="U8" s="142">
        <v>1.3</v>
      </c>
      <c r="V8" s="142">
        <v>1.3</v>
      </c>
      <c r="W8" s="142">
        <v>1.4</v>
      </c>
      <c r="X8" s="142">
        <v>1.4</v>
      </c>
      <c r="Y8" s="142">
        <v>1.4</v>
      </c>
      <c r="Z8" s="142">
        <v>1.4</v>
      </c>
      <c r="AA8" s="142">
        <v>1.4</v>
      </c>
      <c r="AB8" s="142">
        <v>1.4</v>
      </c>
      <c r="AC8" s="142">
        <v>1.4</v>
      </c>
      <c r="AD8" s="142">
        <v>1.5</v>
      </c>
      <c r="AE8" s="142">
        <v>1.5</v>
      </c>
      <c r="AF8" s="142">
        <v>1.5</v>
      </c>
      <c r="AG8" s="142">
        <v>1.5</v>
      </c>
      <c r="AH8" s="142">
        <v>1.5</v>
      </c>
      <c r="AI8" s="142">
        <v>1.6</v>
      </c>
      <c r="AJ8" s="142">
        <v>1.6</v>
      </c>
      <c r="AK8" s="142">
        <v>1.6</v>
      </c>
      <c r="AL8" s="142">
        <v>1.6</v>
      </c>
      <c r="AM8" s="142">
        <v>1.6</v>
      </c>
      <c r="AN8" s="142">
        <v>1.6</v>
      </c>
      <c r="AO8" s="143">
        <v>1.6</v>
      </c>
    </row>
    <row r="9" spans="1:41" x14ac:dyDescent="0.3">
      <c r="A9" s="113" t="s">
        <v>121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9"/>
    </row>
    <row r="10" spans="1:41" x14ac:dyDescent="0.3">
      <c r="A10" s="124" t="s">
        <v>108</v>
      </c>
      <c r="B10" s="140">
        <v>1.163</v>
      </c>
      <c r="C10" s="140">
        <v>1.17</v>
      </c>
      <c r="D10" s="140">
        <v>1.1759999999999999</v>
      </c>
      <c r="E10" s="140">
        <v>1.181</v>
      </c>
      <c r="F10" s="140">
        <v>1.19</v>
      </c>
      <c r="G10" s="140">
        <v>1.1970000000000001</v>
      </c>
      <c r="H10" s="140">
        <v>1.204</v>
      </c>
      <c r="I10" s="140">
        <v>1.2090000000000001</v>
      </c>
      <c r="J10" s="140">
        <v>1.2210000000000001</v>
      </c>
      <c r="K10" s="140">
        <v>1.2290000000000001</v>
      </c>
      <c r="L10" s="140">
        <v>1.2370000000000001</v>
      </c>
      <c r="M10" s="140">
        <v>1.242</v>
      </c>
      <c r="N10" s="140">
        <v>1.2529999999999999</v>
      </c>
      <c r="O10" s="140">
        <v>1.262</v>
      </c>
      <c r="P10" s="140">
        <v>1.2709999999999999</v>
      </c>
      <c r="Q10" s="140">
        <v>1.2769999999999999</v>
      </c>
      <c r="R10" s="140">
        <v>1.2889999999999999</v>
      </c>
      <c r="S10" s="140">
        <v>1.298</v>
      </c>
      <c r="T10" s="140">
        <v>1.3069999999999999</v>
      </c>
      <c r="U10" s="140">
        <v>1.3129999999999999</v>
      </c>
      <c r="V10" s="140">
        <v>1.3260000000000001</v>
      </c>
      <c r="W10" s="140">
        <v>1.3340000000000001</v>
      </c>
      <c r="X10" s="140">
        <v>1.3440000000000001</v>
      </c>
      <c r="Y10" s="140">
        <v>1.35</v>
      </c>
      <c r="Z10" s="140">
        <v>1.363</v>
      </c>
      <c r="AA10" s="140">
        <v>1.3720000000000001</v>
      </c>
      <c r="AB10" s="140">
        <v>1.3819999999999999</v>
      </c>
      <c r="AC10" s="140">
        <v>1.389</v>
      </c>
      <c r="AD10" s="140">
        <v>1.403</v>
      </c>
      <c r="AE10" s="140">
        <v>1.4119999999999999</v>
      </c>
      <c r="AF10" s="140">
        <v>1.4219999999999999</v>
      </c>
      <c r="AG10" s="140">
        <v>1.4279999999999999</v>
      </c>
      <c r="AH10" s="140">
        <v>1.4430000000000001</v>
      </c>
      <c r="AI10" s="140">
        <v>1.452</v>
      </c>
      <c r="AJ10" s="140">
        <v>1.462</v>
      </c>
      <c r="AK10" s="140">
        <v>1.4690000000000001</v>
      </c>
      <c r="AL10" s="140">
        <v>1.484</v>
      </c>
      <c r="AM10" s="140">
        <v>1.4930000000000001</v>
      </c>
      <c r="AN10" s="140">
        <v>1.504</v>
      </c>
      <c r="AO10" s="141">
        <v>1.5109999999999999</v>
      </c>
    </row>
    <row r="11" spans="1:41" x14ac:dyDescent="0.3">
      <c r="A11" s="124" t="s">
        <v>109</v>
      </c>
      <c r="B11" s="142">
        <v>2.1</v>
      </c>
      <c r="C11" s="142">
        <v>2.1</v>
      </c>
      <c r="D11" s="142">
        <v>2.2000000000000002</v>
      </c>
      <c r="E11" s="142">
        <v>2.2000000000000002</v>
      </c>
      <c r="F11" s="142">
        <v>2.2999999999999998</v>
      </c>
      <c r="G11" s="142">
        <v>2.2999999999999998</v>
      </c>
      <c r="H11" s="142">
        <v>2.2999999999999998</v>
      </c>
      <c r="I11" s="142">
        <v>2.4</v>
      </c>
      <c r="J11" s="142">
        <v>2.5</v>
      </c>
      <c r="K11" s="142">
        <v>2.5</v>
      </c>
      <c r="L11" s="142">
        <v>2.6</v>
      </c>
      <c r="M11" s="142">
        <v>2.7</v>
      </c>
      <c r="N11" s="142">
        <v>2.7</v>
      </c>
      <c r="O11" s="142">
        <v>2.7</v>
      </c>
      <c r="P11" s="142">
        <v>2.7</v>
      </c>
      <c r="Q11" s="142">
        <v>2.7</v>
      </c>
      <c r="R11" s="142">
        <v>2.8</v>
      </c>
      <c r="S11" s="142">
        <v>2.8</v>
      </c>
      <c r="T11" s="142">
        <v>2.9</v>
      </c>
      <c r="U11" s="142">
        <v>2.9</v>
      </c>
      <c r="V11" s="142">
        <v>2.9</v>
      </c>
      <c r="W11" s="142">
        <v>2.8</v>
      </c>
      <c r="X11" s="142">
        <v>2.8</v>
      </c>
      <c r="Y11" s="142">
        <v>2.8</v>
      </c>
      <c r="Z11" s="142">
        <v>2.8</v>
      </c>
      <c r="AA11" s="142">
        <v>2.8</v>
      </c>
      <c r="AB11" s="142">
        <v>2.8</v>
      </c>
      <c r="AC11" s="142">
        <v>2.8</v>
      </c>
      <c r="AD11" s="142">
        <v>2.9</v>
      </c>
      <c r="AE11" s="142">
        <v>2.9</v>
      </c>
      <c r="AF11" s="142">
        <v>2.9</v>
      </c>
      <c r="AG11" s="142">
        <v>2.9</v>
      </c>
      <c r="AH11" s="142">
        <v>2.9</v>
      </c>
      <c r="AI11" s="142">
        <v>2.9</v>
      </c>
      <c r="AJ11" s="142">
        <v>2.8</v>
      </c>
      <c r="AK11" s="142">
        <v>2.9</v>
      </c>
      <c r="AL11" s="142">
        <v>2.9</v>
      </c>
      <c r="AM11" s="142">
        <v>2.9</v>
      </c>
      <c r="AN11" s="142">
        <v>2.9</v>
      </c>
      <c r="AO11" s="143">
        <v>2.8</v>
      </c>
    </row>
    <row r="12" spans="1:41" x14ac:dyDescent="0.3">
      <c r="A12" s="113" t="s">
        <v>126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9"/>
    </row>
    <row r="13" spans="1:41" x14ac:dyDescent="0.3">
      <c r="A13" s="124" t="s">
        <v>108</v>
      </c>
      <c r="B13" s="140">
        <v>1.117</v>
      </c>
      <c r="C13" s="140">
        <v>1.123</v>
      </c>
      <c r="D13" s="140">
        <v>1.1299999999999999</v>
      </c>
      <c r="E13" s="140">
        <v>1.1359999999999999</v>
      </c>
      <c r="F13" s="140">
        <v>1.1439999999999999</v>
      </c>
      <c r="G13" s="140">
        <v>1.1519999999999999</v>
      </c>
      <c r="H13" s="140">
        <v>1.159</v>
      </c>
      <c r="I13" s="140">
        <v>1.165</v>
      </c>
      <c r="J13" s="140">
        <v>1.1739999999999999</v>
      </c>
      <c r="K13" s="140">
        <v>1.1819999999999999</v>
      </c>
      <c r="L13" s="140">
        <v>1.19</v>
      </c>
      <c r="M13" s="140">
        <v>1.196</v>
      </c>
      <c r="N13" s="140">
        <v>1.206</v>
      </c>
      <c r="O13" s="140">
        <v>1.2150000000000001</v>
      </c>
      <c r="P13" s="140">
        <v>1.224</v>
      </c>
      <c r="Q13" s="140">
        <v>1.2310000000000001</v>
      </c>
      <c r="R13" s="140">
        <v>1.2410000000000001</v>
      </c>
      <c r="S13" s="140">
        <v>1.2509999999999999</v>
      </c>
      <c r="T13" s="140">
        <v>1.2589999999999999</v>
      </c>
      <c r="U13" s="140">
        <v>1.266</v>
      </c>
      <c r="V13" s="140">
        <v>1.2769999999999999</v>
      </c>
      <c r="W13" s="140">
        <v>1.2869999999999999</v>
      </c>
      <c r="X13" s="140">
        <v>1.296</v>
      </c>
      <c r="Y13" s="140">
        <v>1.3029999999999999</v>
      </c>
      <c r="Z13" s="140">
        <v>1.3140000000000001</v>
      </c>
      <c r="AA13" s="140">
        <v>1.3240000000000001</v>
      </c>
      <c r="AB13" s="140">
        <v>1.333</v>
      </c>
      <c r="AC13" s="140">
        <v>1.341</v>
      </c>
      <c r="AD13" s="140">
        <v>1.3520000000000001</v>
      </c>
      <c r="AE13" s="140">
        <v>1.363</v>
      </c>
      <c r="AF13" s="140">
        <v>1.373</v>
      </c>
      <c r="AG13" s="140">
        <v>1.38</v>
      </c>
      <c r="AH13" s="140">
        <v>1.3919999999999999</v>
      </c>
      <c r="AI13" s="140">
        <v>1.4019999999999999</v>
      </c>
      <c r="AJ13" s="140">
        <v>1.4119999999999999</v>
      </c>
      <c r="AK13" s="140">
        <v>1.42</v>
      </c>
      <c r="AL13" s="140">
        <v>1.4319999999999999</v>
      </c>
      <c r="AM13" s="140">
        <v>1.4430000000000001</v>
      </c>
      <c r="AN13" s="140">
        <v>1.4530000000000001</v>
      </c>
      <c r="AO13" s="141">
        <v>1.4610000000000001</v>
      </c>
    </row>
    <row r="14" spans="1:41" x14ac:dyDescent="0.3">
      <c r="A14" s="124" t="s">
        <v>109</v>
      </c>
      <c r="B14" s="142">
        <v>2</v>
      </c>
      <c r="C14" s="142">
        <v>2.1</v>
      </c>
      <c r="D14" s="142">
        <v>2.2000000000000002</v>
      </c>
      <c r="E14" s="142">
        <v>2.2999999999999998</v>
      </c>
      <c r="F14" s="142">
        <v>2.4</v>
      </c>
      <c r="G14" s="142">
        <v>2.4</v>
      </c>
      <c r="H14" s="142">
        <v>2.5</v>
      </c>
      <c r="I14" s="142">
        <v>2.5</v>
      </c>
      <c r="J14" s="142">
        <v>2.6</v>
      </c>
      <c r="K14" s="142">
        <v>2.6</v>
      </c>
      <c r="L14" s="142">
        <v>2.6</v>
      </c>
      <c r="M14" s="142">
        <v>2.7</v>
      </c>
      <c r="N14" s="142">
        <v>2.7</v>
      </c>
      <c r="O14" s="142">
        <v>2.7</v>
      </c>
      <c r="P14" s="142">
        <v>2.8</v>
      </c>
      <c r="Q14" s="142">
        <v>2.8</v>
      </c>
      <c r="R14" s="142">
        <v>2.9</v>
      </c>
      <c r="S14" s="142">
        <v>2.9</v>
      </c>
      <c r="T14" s="142">
        <v>2.9</v>
      </c>
      <c r="U14" s="142">
        <v>2.9</v>
      </c>
      <c r="V14" s="142">
        <v>2.9</v>
      </c>
      <c r="W14" s="142">
        <v>2.9</v>
      </c>
      <c r="X14" s="142">
        <v>2.9</v>
      </c>
      <c r="Y14" s="142">
        <v>2.9</v>
      </c>
      <c r="Z14" s="142">
        <v>2.9</v>
      </c>
      <c r="AA14" s="142">
        <v>2.9</v>
      </c>
      <c r="AB14" s="142">
        <v>2.9</v>
      </c>
      <c r="AC14" s="142">
        <v>2.9</v>
      </c>
      <c r="AD14" s="142">
        <v>2.9</v>
      </c>
      <c r="AE14" s="142">
        <v>2.9</v>
      </c>
      <c r="AF14" s="142">
        <v>2.9</v>
      </c>
      <c r="AG14" s="142">
        <v>2.9</v>
      </c>
      <c r="AH14" s="142">
        <v>2.9</v>
      </c>
      <c r="AI14" s="142">
        <v>2.9</v>
      </c>
      <c r="AJ14" s="142">
        <v>2.9</v>
      </c>
      <c r="AK14" s="142">
        <v>2.9</v>
      </c>
      <c r="AL14" s="142">
        <v>2.9</v>
      </c>
      <c r="AM14" s="142">
        <v>2.9</v>
      </c>
      <c r="AN14" s="142">
        <v>2.9</v>
      </c>
      <c r="AO14" s="143">
        <v>2.9</v>
      </c>
    </row>
    <row r="15" spans="1:41" x14ac:dyDescent="0.3">
      <c r="A15" s="125" t="s">
        <v>167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9"/>
    </row>
    <row r="16" spans="1:41" x14ac:dyDescent="0.3">
      <c r="A16" s="124" t="s">
        <v>108</v>
      </c>
      <c r="B16" s="140">
        <v>1.117</v>
      </c>
      <c r="C16" s="140">
        <v>1.1240000000000001</v>
      </c>
      <c r="D16" s="140">
        <v>1.131</v>
      </c>
      <c r="E16" s="140">
        <v>1.1359999999999999</v>
      </c>
      <c r="F16" s="140">
        <v>1.1459999999999999</v>
      </c>
      <c r="G16" s="140">
        <v>1.153</v>
      </c>
      <c r="H16" s="140">
        <v>1.1599999999999999</v>
      </c>
      <c r="I16" s="140">
        <v>1.1659999999999999</v>
      </c>
      <c r="J16" s="140">
        <v>1.1759999999999999</v>
      </c>
      <c r="K16" s="140">
        <v>1.1830000000000001</v>
      </c>
      <c r="L16" s="140">
        <v>1.1919999999999999</v>
      </c>
      <c r="M16" s="140">
        <v>1.1970000000000001</v>
      </c>
      <c r="N16" s="140">
        <v>1.208</v>
      </c>
      <c r="O16" s="140">
        <v>1.216</v>
      </c>
      <c r="P16" s="140">
        <v>1.226</v>
      </c>
      <c r="Q16" s="140">
        <v>1.232</v>
      </c>
      <c r="R16" s="140">
        <v>1.2430000000000001</v>
      </c>
      <c r="S16" s="140">
        <v>1.2509999999999999</v>
      </c>
      <c r="T16" s="140">
        <v>1.2609999999999999</v>
      </c>
      <c r="U16" s="140">
        <v>1.268</v>
      </c>
      <c r="V16" s="140">
        <v>1.2789999999999999</v>
      </c>
      <c r="W16" s="140">
        <v>1.288</v>
      </c>
      <c r="X16" s="140">
        <v>1.298</v>
      </c>
      <c r="Y16" s="140">
        <v>1.3049999999999999</v>
      </c>
      <c r="Z16" s="140">
        <v>1.3169999999999999</v>
      </c>
      <c r="AA16" s="140">
        <v>1.3260000000000001</v>
      </c>
      <c r="AB16" s="140">
        <v>1.3360000000000001</v>
      </c>
      <c r="AC16" s="140">
        <v>1.343</v>
      </c>
      <c r="AD16" s="140">
        <v>1.3560000000000001</v>
      </c>
      <c r="AE16" s="140">
        <v>1.365</v>
      </c>
      <c r="AF16" s="140">
        <v>1.3759999999999999</v>
      </c>
      <c r="AG16" s="140">
        <v>1.383</v>
      </c>
      <c r="AH16" s="140">
        <v>1.3959999999999999</v>
      </c>
      <c r="AI16" s="140">
        <v>1.405</v>
      </c>
      <c r="AJ16" s="140">
        <v>1.4159999999999999</v>
      </c>
      <c r="AK16" s="140">
        <v>1.423</v>
      </c>
      <c r="AL16" s="140">
        <v>1.4370000000000001</v>
      </c>
      <c r="AM16" s="140">
        <v>1.446</v>
      </c>
      <c r="AN16" s="140">
        <v>1.458</v>
      </c>
      <c r="AO16" s="141">
        <v>1.4650000000000001</v>
      </c>
    </row>
    <row r="17" spans="1:41" x14ac:dyDescent="0.3">
      <c r="A17" s="124" t="s">
        <v>109</v>
      </c>
      <c r="B17" s="142">
        <v>2.1</v>
      </c>
      <c r="C17" s="142">
        <v>2.2000000000000002</v>
      </c>
      <c r="D17" s="142">
        <v>2.2999999999999998</v>
      </c>
      <c r="E17" s="142">
        <v>2.4</v>
      </c>
      <c r="F17" s="142">
        <v>2.5</v>
      </c>
      <c r="G17" s="142">
        <v>2.5</v>
      </c>
      <c r="H17" s="142">
        <v>2.5</v>
      </c>
      <c r="I17" s="142">
        <v>2.6</v>
      </c>
      <c r="J17" s="142">
        <v>2.6</v>
      </c>
      <c r="K17" s="142">
        <v>2.6</v>
      </c>
      <c r="L17" s="142">
        <v>2.7</v>
      </c>
      <c r="M17" s="142">
        <v>2.7</v>
      </c>
      <c r="N17" s="142">
        <v>2.7</v>
      </c>
      <c r="O17" s="142">
        <v>2.7</v>
      </c>
      <c r="P17" s="142">
        <v>2.8</v>
      </c>
      <c r="Q17" s="142">
        <v>2.8</v>
      </c>
      <c r="R17" s="142">
        <v>2.9</v>
      </c>
      <c r="S17" s="142">
        <v>2.9</v>
      </c>
      <c r="T17" s="142">
        <v>2.9</v>
      </c>
      <c r="U17" s="142">
        <v>2.9</v>
      </c>
      <c r="V17" s="142">
        <v>2.9</v>
      </c>
      <c r="W17" s="142">
        <v>2.9</v>
      </c>
      <c r="X17" s="142">
        <v>2.9</v>
      </c>
      <c r="Y17" s="142">
        <v>2.9</v>
      </c>
      <c r="Z17" s="142">
        <v>2.9</v>
      </c>
      <c r="AA17" s="142">
        <v>2.9</v>
      </c>
      <c r="AB17" s="142">
        <v>2.9</v>
      </c>
      <c r="AC17" s="142">
        <v>2.9</v>
      </c>
      <c r="AD17" s="142">
        <v>3</v>
      </c>
      <c r="AE17" s="142">
        <v>3</v>
      </c>
      <c r="AF17" s="142">
        <v>3</v>
      </c>
      <c r="AG17" s="142">
        <v>3</v>
      </c>
      <c r="AH17" s="142">
        <v>3</v>
      </c>
      <c r="AI17" s="142">
        <v>2.9</v>
      </c>
      <c r="AJ17" s="142">
        <v>2.9</v>
      </c>
      <c r="AK17" s="142">
        <v>2.9</v>
      </c>
      <c r="AL17" s="142">
        <v>2.9</v>
      </c>
      <c r="AM17" s="142">
        <v>2.9</v>
      </c>
      <c r="AN17" s="142">
        <v>2.9</v>
      </c>
      <c r="AO17" s="143">
        <v>2.9</v>
      </c>
    </row>
    <row r="18" spans="1:41" x14ac:dyDescent="0.3">
      <c r="A18" s="125" t="s">
        <v>168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9"/>
    </row>
    <row r="19" spans="1:41" x14ac:dyDescent="0.3">
      <c r="A19" s="124" t="s">
        <v>108</v>
      </c>
      <c r="B19" s="140">
        <v>1.121</v>
      </c>
      <c r="C19" s="140">
        <v>1.127</v>
      </c>
      <c r="D19" s="140">
        <v>1.1339999999999999</v>
      </c>
      <c r="E19" s="140">
        <v>1.139</v>
      </c>
      <c r="F19" s="140">
        <v>1.1479999999999999</v>
      </c>
      <c r="G19" s="140">
        <v>1.155</v>
      </c>
      <c r="H19" s="140">
        <v>1.163</v>
      </c>
      <c r="I19" s="140">
        <v>1.1679999999999999</v>
      </c>
      <c r="J19" s="140">
        <v>1.179</v>
      </c>
      <c r="K19" s="140">
        <v>1.1859999999999999</v>
      </c>
      <c r="L19" s="140">
        <v>1.194</v>
      </c>
      <c r="M19" s="140">
        <v>1.2</v>
      </c>
      <c r="N19" s="140">
        <v>1.2110000000000001</v>
      </c>
      <c r="O19" s="140">
        <v>1.2190000000000001</v>
      </c>
      <c r="P19" s="140">
        <v>1.228</v>
      </c>
      <c r="Q19" s="140">
        <v>1.234</v>
      </c>
      <c r="R19" s="140">
        <v>1.246</v>
      </c>
      <c r="S19" s="140">
        <v>1.2549999999999999</v>
      </c>
      <c r="T19" s="140">
        <v>1.264</v>
      </c>
      <c r="U19" s="140">
        <v>1.27</v>
      </c>
      <c r="V19" s="140">
        <v>1.2829999999999999</v>
      </c>
      <c r="W19" s="140">
        <v>1.292</v>
      </c>
      <c r="X19" s="140">
        <v>1.3009999999999999</v>
      </c>
      <c r="Y19" s="140">
        <v>1.3080000000000001</v>
      </c>
      <c r="Z19" s="140">
        <v>1.321</v>
      </c>
      <c r="AA19" s="140">
        <v>1.33</v>
      </c>
      <c r="AB19" s="140">
        <v>1.339</v>
      </c>
      <c r="AC19" s="140">
        <v>1.3460000000000001</v>
      </c>
      <c r="AD19" s="140">
        <v>1.36</v>
      </c>
      <c r="AE19" s="140">
        <v>1.369</v>
      </c>
      <c r="AF19" s="140">
        <v>1.38</v>
      </c>
      <c r="AG19" s="140">
        <v>1.387</v>
      </c>
      <c r="AH19" s="140">
        <v>1.4</v>
      </c>
      <c r="AI19" s="140">
        <v>1.41</v>
      </c>
      <c r="AJ19" s="140">
        <v>1.42</v>
      </c>
      <c r="AK19" s="140">
        <v>1.4279999999999999</v>
      </c>
      <c r="AL19" s="140">
        <v>1.4419999999999999</v>
      </c>
      <c r="AM19" s="140">
        <v>1.4510000000000001</v>
      </c>
      <c r="AN19" s="140">
        <v>1.462</v>
      </c>
      <c r="AO19" s="141">
        <v>1.47</v>
      </c>
    </row>
    <row r="20" spans="1:41" x14ac:dyDescent="0.3">
      <c r="A20" s="124" t="s">
        <v>109</v>
      </c>
      <c r="B20" s="142">
        <v>2</v>
      </c>
      <c r="C20" s="142">
        <v>2.1</v>
      </c>
      <c r="D20" s="142">
        <v>2.2000000000000002</v>
      </c>
      <c r="E20" s="142">
        <v>2.2999999999999998</v>
      </c>
      <c r="F20" s="142">
        <v>2.4</v>
      </c>
      <c r="G20" s="142">
        <v>2.4</v>
      </c>
      <c r="H20" s="142">
        <v>2.5</v>
      </c>
      <c r="I20" s="142">
        <v>2.5</v>
      </c>
      <c r="J20" s="142">
        <v>2.6</v>
      </c>
      <c r="K20" s="142">
        <v>2.6</v>
      </c>
      <c r="L20" s="142">
        <v>2.6</v>
      </c>
      <c r="M20" s="142">
        <v>2.7</v>
      </c>
      <c r="N20" s="142">
        <v>2.7</v>
      </c>
      <c r="O20" s="142">
        <v>2.7</v>
      </c>
      <c r="P20" s="142">
        <v>2.8</v>
      </c>
      <c r="Q20" s="142">
        <v>2.8</v>
      </c>
      <c r="R20" s="142">
        <v>2.9</v>
      </c>
      <c r="S20" s="142">
        <v>2.9</v>
      </c>
      <c r="T20" s="142">
        <v>2.9</v>
      </c>
      <c r="U20" s="142">
        <v>2.9</v>
      </c>
      <c r="V20" s="142">
        <v>2.9</v>
      </c>
      <c r="W20" s="142">
        <v>2.9</v>
      </c>
      <c r="X20" s="142">
        <v>2.9</v>
      </c>
      <c r="Y20" s="142">
        <v>2.9</v>
      </c>
      <c r="Z20" s="142">
        <v>2.9</v>
      </c>
      <c r="AA20" s="142">
        <v>2.9</v>
      </c>
      <c r="AB20" s="142">
        <v>2.9</v>
      </c>
      <c r="AC20" s="142">
        <v>2.9</v>
      </c>
      <c r="AD20" s="142">
        <v>2.9</v>
      </c>
      <c r="AE20" s="142">
        <v>3</v>
      </c>
      <c r="AF20" s="142">
        <v>3</v>
      </c>
      <c r="AG20" s="142">
        <v>3</v>
      </c>
      <c r="AH20" s="142">
        <v>3</v>
      </c>
      <c r="AI20" s="142">
        <v>3</v>
      </c>
      <c r="AJ20" s="142">
        <v>3</v>
      </c>
      <c r="AK20" s="142">
        <v>3</v>
      </c>
      <c r="AL20" s="142">
        <v>3</v>
      </c>
      <c r="AM20" s="142">
        <v>3</v>
      </c>
      <c r="AN20" s="142">
        <v>3</v>
      </c>
      <c r="AO20" s="143">
        <v>2.9</v>
      </c>
    </row>
    <row r="21" spans="1:41" x14ac:dyDescent="0.3">
      <c r="A21" s="113" t="s">
        <v>122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9"/>
    </row>
    <row r="22" spans="1:41" x14ac:dyDescent="0.3">
      <c r="A22" s="124" t="s">
        <v>108</v>
      </c>
      <c r="B22" s="140">
        <v>1.089</v>
      </c>
      <c r="C22" s="140">
        <v>1.0960000000000001</v>
      </c>
      <c r="D22" s="140">
        <v>1.1020000000000001</v>
      </c>
      <c r="E22" s="140">
        <v>1.107</v>
      </c>
      <c r="F22" s="140">
        <v>1.1160000000000001</v>
      </c>
      <c r="G22" s="140">
        <v>1.123</v>
      </c>
      <c r="H22" s="140">
        <v>1.131</v>
      </c>
      <c r="I22" s="140">
        <v>1.1359999999999999</v>
      </c>
      <c r="J22" s="140">
        <v>1.1459999999999999</v>
      </c>
      <c r="K22" s="140">
        <v>1.153</v>
      </c>
      <c r="L22" s="140">
        <v>1.161</v>
      </c>
      <c r="M22" s="140">
        <v>1.1659999999999999</v>
      </c>
      <c r="N22" s="140">
        <v>1.177</v>
      </c>
      <c r="O22" s="140">
        <v>1.1839999999999999</v>
      </c>
      <c r="P22" s="140">
        <v>1.1930000000000001</v>
      </c>
      <c r="Q22" s="140">
        <v>1.1990000000000001</v>
      </c>
      <c r="R22" s="140">
        <v>1.21</v>
      </c>
      <c r="S22" s="140">
        <v>1.218</v>
      </c>
      <c r="T22" s="140">
        <v>1.2270000000000001</v>
      </c>
      <c r="U22" s="140">
        <v>1.2330000000000001</v>
      </c>
      <c r="V22" s="140">
        <v>1.2450000000000001</v>
      </c>
      <c r="W22" s="140">
        <v>1.2529999999999999</v>
      </c>
      <c r="X22" s="140">
        <v>1.2629999999999999</v>
      </c>
      <c r="Y22" s="140">
        <v>1.2689999999999999</v>
      </c>
      <c r="Z22" s="140">
        <v>1.2809999999999999</v>
      </c>
      <c r="AA22" s="140">
        <v>1.2889999999999999</v>
      </c>
      <c r="AB22" s="140">
        <v>1.3</v>
      </c>
      <c r="AC22" s="140">
        <v>1.306</v>
      </c>
      <c r="AD22" s="140">
        <v>1.319</v>
      </c>
      <c r="AE22" s="140">
        <v>1.3280000000000001</v>
      </c>
      <c r="AF22" s="140">
        <v>1.3380000000000001</v>
      </c>
      <c r="AG22" s="140">
        <v>1.3440000000000001</v>
      </c>
      <c r="AH22" s="140">
        <v>1.357</v>
      </c>
      <c r="AI22" s="140">
        <v>1.367</v>
      </c>
      <c r="AJ22" s="140">
        <v>1.377</v>
      </c>
      <c r="AK22" s="140">
        <v>1.3839999999999999</v>
      </c>
      <c r="AL22" s="140">
        <v>1.397</v>
      </c>
      <c r="AM22" s="140">
        <v>1.407</v>
      </c>
      <c r="AN22" s="140">
        <v>1.4179999999999999</v>
      </c>
      <c r="AO22" s="141">
        <v>1.4239999999999999</v>
      </c>
    </row>
    <row r="23" spans="1:41" x14ac:dyDescent="0.3">
      <c r="A23" s="124" t="s">
        <v>109</v>
      </c>
      <c r="B23" s="142">
        <v>2</v>
      </c>
      <c r="C23" s="142">
        <v>2.1</v>
      </c>
      <c r="D23" s="142">
        <v>2.2000000000000002</v>
      </c>
      <c r="E23" s="142">
        <v>2.2999999999999998</v>
      </c>
      <c r="F23" s="142">
        <v>2.5</v>
      </c>
      <c r="G23" s="142">
        <v>2.5</v>
      </c>
      <c r="H23" s="142">
        <v>2.5</v>
      </c>
      <c r="I23" s="142">
        <v>2.5</v>
      </c>
      <c r="J23" s="142">
        <v>2.6</v>
      </c>
      <c r="K23" s="142">
        <v>2.6</v>
      </c>
      <c r="L23" s="142">
        <v>2.6</v>
      </c>
      <c r="M23" s="142">
        <v>2.7</v>
      </c>
      <c r="N23" s="142">
        <v>2.7</v>
      </c>
      <c r="O23" s="142">
        <v>2.7</v>
      </c>
      <c r="P23" s="142">
        <v>2.7</v>
      </c>
      <c r="Q23" s="142">
        <v>2.8</v>
      </c>
      <c r="R23" s="142">
        <v>2.8</v>
      </c>
      <c r="S23" s="142">
        <v>2.8</v>
      </c>
      <c r="T23" s="142">
        <v>2.8</v>
      </c>
      <c r="U23" s="142">
        <v>2.8</v>
      </c>
      <c r="V23" s="142">
        <v>2.9</v>
      </c>
      <c r="W23" s="142">
        <v>2.9</v>
      </c>
      <c r="X23" s="142">
        <v>2.9</v>
      </c>
      <c r="Y23" s="142">
        <v>2.9</v>
      </c>
      <c r="Z23" s="142">
        <v>2.9</v>
      </c>
      <c r="AA23" s="142">
        <v>2.9</v>
      </c>
      <c r="AB23" s="142">
        <v>2.9</v>
      </c>
      <c r="AC23" s="142">
        <v>2.9</v>
      </c>
      <c r="AD23" s="142">
        <v>2.9</v>
      </c>
      <c r="AE23" s="142">
        <v>2.9</v>
      </c>
      <c r="AF23" s="142">
        <v>3</v>
      </c>
      <c r="AG23" s="142">
        <v>3</v>
      </c>
      <c r="AH23" s="142">
        <v>2.9</v>
      </c>
      <c r="AI23" s="142">
        <v>2.9</v>
      </c>
      <c r="AJ23" s="142">
        <v>2.9</v>
      </c>
      <c r="AK23" s="142">
        <v>2.9</v>
      </c>
      <c r="AL23" s="142">
        <v>2.9</v>
      </c>
      <c r="AM23" s="142">
        <v>2.9</v>
      </c>
      <c r="AN23" s="142">
        <v>2.9</v>
      </c>
      <c r="AO23" s="143">
        <v>2.9</v>
      </c>
    </row>
    <row r="24" spans="1:41" x14ac:dyDescent="0.3">
      <c r="A24" s="125" t="s">
        <v>127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9"/>
    </row>
    <row r="25" spans="1:41" x14ac:dyDescent="0.3">
      <c r="A25" s="124" t="s">
        <v>108</v>
      </c>
      <c r="B25" s="140">
        <v>1.091</v>
      </c>
      <c r="C25" s="140">
        <v>1.095</v>
      </c>
      <c r="D25" s="140">
        <v>1.1000000000000001</v>
      </c>
      <c r="E25" s="140">
        <v>1.1040000000000001</v>
      </c>
      <c r="F25" s="140">
        <v>1.1100000000000001</v>
      </c>
      <c r="G25" s="140">
        <v>1.1140000000000001</v>
      </c>
      <c r="H25" s="140">
        <v>1.1200000000000001</v>
      </c>
      <c r="I25" s="140">
        <v>1.125</v>
      </c>
      <c r="J25" s="140">
        <v>1.1319999999999999</v>
      </c>
      <c r="K25" s="140">
        <v>1.1379999999999999</v>
      </c>
      <c r="L25" s="140">
        <v>1.1439999999999999</v>
      </c>
      <c r="M25" s="140">
        <v>1.149</v>
      </c>
      <c r="N25" s="140">
        <v>1.157</v>
      </c>
      <c r="O25" s="140">
        <v>1.163</v>
      </c>
      <c r="P25" s="140">
        <v>1.17</v>
      </c>
      <c r="Q25" s="140">
        <v>1.1759999999999999</v>
      </c>
      <c r="R25" s="140">
        <v>1.1839999999999999</v>
      </c>
      <c r="S25" s="140">
        <v>1.19</v>
      </c>
      <c r="T25" s="140">
        <v>1.1970000000000001</v>
      </c>
      <c r="U25" s="140">
        <v>1.2030000000000001</v>
      </c>
      <c r="V25" s="140">
        <v>1.2110000000000001</v>
      </c>
      <c r="W25" s="140">
        <v>1.218</v>
      </c>
      <c r="X25" s="140">
        <v>1.2250000000000001</v>
      </c>
      <c r="Y25" s="140">
        <v>1.2310000000000001</v>
      </c>
      <c r="Z25" s="140">
        <v>1.24</v>
      </c>
      <c r="AA25" s="140">
        <v>1.2470000000000001</v>
      </c>
      <c r="AB25" s="140">
        <v>1.254</v>
      </c>
      <c r="AC25" s="140">
        <v>1.26</v>
      </c>
      <c r="AD25" s="140">
        <v>1.2689999999999999</v>
      </c>
      <c r="AE25" s="140">
        <v>1.276</v>
      </c>
      <c r="AF25" s="140">
        <v>1.284</v>
      </c>
      <c r="AG25" s="140">
        <v>1.29</v>
      </c>
      <c r="AH25" s="140">
        <v>1.2989999999999999</v>
      </c>
      <c r="AI25" s="140">
        <v>1.306</v>
      </c>
      <c r="AJ25" s="140">
        <v>1.3140000000000001</v>
      </c>
      <c r="AK25" s="140">
        <v>1.321</v>
      </c>
      <c r="AL25" s="140">
        <v>1.33</v>
      </c>
      <c r="AM25" s="140">
        <v>1.337</v>
      </c>
      <c r="AN25" s="140">
        <v>1.3460000000000001</v>
      </c>
      <c r="AO25" s="141">
        <v>1.3520000000000001</v>
      </c>
    </row>
    <row r="26" spans="1:41" x14ac:dyDescent="0.3">
      <c r="A26" s="124" t="s">
        <v>109</v>
      </c>
      <c r="B26" s="142">
        <v>2</v>
      </c>
      <c r="C26" s="142">
        <v>2.1</v>
      </c>
      <c r="D26" s="142">
        <v>2</v>
      </c>
      <c r="E26" s="142">
        <v>1.9</v>
      </c>
      <c r="F26" s="142">
        <v>1.8</v>
      </c>
      <c r="G26" s="142">
        <v>1.7</v>
      </c>
      <c r="H26" s="142">
        <v>1.7</v>
      </c>
      <c r="I26" s="142">
        <v>1.8</v>
      </c>
      <c r="J26" s="142">
        <v>1.9</v>
      </c>
      <c r="K26" s="142">
        <v>2</v>
      </c>
      <c r="L26" s="142">
        <v>2.1</v>
      </c>
      <c r="M26" s="142">
        <v>2.1</v>
      </c>
      <c r="N26" s="142">
        <v>2.2000000000000002</v>
      </c>
      <c r="O26" s="142">
        <v>2.2000000000000002</v>
      </c>
      <c r="P26" s="142">
        <v>2.2000000000000002</v>
      </c>
      <c r="Q26" s="142">
        <v>2.2999999999999998</v>
      </c>
      <c r="R26" s="142">
        <v>2.2999999999999998</v>
      </c>
      <c r="S26" s="142">
        <v>2.2999999999999998</v>
      </c>
      <c r="T26" s="142">
        <v>2.2999999999999998</v>
      </c>
      <c r="U26" s="142">
        <v>2.2999999999999998</v>
      </c>
      <c r="V26" s="142">
        <v>2.2999999999999998</v>
      </c>
      <c r="W26" s="142">
        <v>2.2999999999999998</v>
      </c>
      <c r="X26" s="142">
        <v>2.2999999999999998</v>
      </c>
      <c r="Y26" s="142">
        <v>2.2999999999999998</v>
      </c>
      <c r="Z26" s="142">
        <v>2.2999999999999998</v>
      </c>
      <c r="AA26" s="142">
        <v>2.4</v>
      </c>
      <c r="AB26" s="142">
        <v>2.4</v>
      </c>
      <c r="AC26" s="142">
        <v>2.4</v>
      </c>
      <c r="AD26" s="142">
        <v>2.4</v>
      </c>
      <c r="AE26" s="142">
        <v>2.4</v>
      </c>
      <c r="AF26" s="142">
        <v>2.4</v>
      </c>
      <c r="AG26" s="142">
        <v>2.4</v>
      </c>
      <c r="AH26" s="142">
        <v>2.4</v>
      </c>
      <c r="AI26" s="142">
        <v>2.4</v>
      </c>
      <c r="AJ26" s="142">
        <v>2.4</v>
      </c>
      <c r="AK26" s="142">
        <v>2.4</v>
      </c>
      <c r="AL26" s="142">
        <v>2.4</v>
      </c>
      <c r="AM26" s="142">
        <v>2.4</v>
      </c>
      <c r="AN26" s="142">
        <v>2.4</v>
      </c>
      <c r="AO26" s="143">
        <v>2.4</v>
      </c>
    </row>
    <row r="27" spans="1:41" x14ac:dyDescent="0.3">
      <c r="A27" s="113" t="s">
        <v>128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9"/>
    </row>
    <row r="28" spans="1:41" x14ac:dyDescent="0.3">
      <c r="A28" s="124" t="s">
        <v>108</v>
      </c>
      <c r="B28" s="140">
        <v>1.089</v>
      </c>
      <c r="C28" s="140">
        <v>1.093</v>
      </c>
      <c r="D28" s="140">
        <v>1.0980000000000001</v>
      </c>
      <c r="E28" s="140">
        <v>1.1020000000000001</v>
      </c>
      <c r="F28" s="140">
        <v>1.111</v>
      </c>
      <c r="G28" s="140">
        <v>1.1160000000000001</v>
      </c>
      <c r="H28" s="140">
        <v>1.123</v>
      </c>
      <c r="I28" s="140">
        <v>1.1279999999999999</v>
      </c>
      <c r="J28" s="140">
        <v>1.137</v>
      </c>
      <c r="K28" s="140">
        <v>1.1439999999999999</v>
      </c>
      <c r="L28" s="140">
        <v>1.151</v>
      </c>
      <c r="M28" s="140">
        <v>1.1559999999999999</v>
      </c>
      <c r="N28" s="140">
        <v>1.167</v>
      </c>
      <c r="O28" s="140">
        <v>1.175</v>
      </c>
      <c r="P28" s="140">
        <v>1.1819999999999999</v>
      </c>
      <c r="Q28" s="140">
        <v>1.1879999999999999</v>
      </c>
      <c r="R28" s="140">
        <v>1.1990000000000001</v>
      </c>
      <c r="S28" s="140">
        <v>1.208</v>
      </c>
      <c r="T28" s="140">
        <v>1.216</v>
      </c>
      <c r="U28" s="140">
        <v>1.2210000000000001</v>
      </c>
      <c r="V28" s="140">
        <v>1.2330000000000001</v>
      </c>
      <c r="W28" s="140">
        <v>1.242</v>
      </c>
      <c r="X28" s="140">
        <v>1.25</v>
      </c>
      <c r="Y28" s="140">
        <v>1.256</v>
      </c>
      <c r="Z28" s="140">
        <v>1.268</v>
      </c>
      <c r="AA28" s="140">
        <v>1.2769999999999999</v>
      </c>
      <c r="AB28" s="140">
        <v>1.286</v>
      </c>
      <c r="AC28" s="140">
        <v>1.292</v>
      </c>
      <c r="AD28" s="140">
        <v>1.3049999999999999</v>
      </c>
      <c r="AE28" s="140">
        <v>1.3140000000000001</v>
      </c>
      <c r="AF28" s="140">
        <v>1.3240000000000001</v>
      </c>
      <c r="AG28" s="140">
        <v>1.33</v>
      </c>
      <c r="AH28" s="140">
        <v>1.343</v>
      </c>
      <c r="AI28" s="140">
        <v>1.353</v>
      </c>
      <c r="AJ28" s="140">
        <v>1.3620000000000001</v>
      </c>
      <c r="AK28" s="140">
        <v>1.369</v>
      </c>
      <c r="AL28" s="140">
        <v>1.3819999999999999</v>
      </c>
      <c r="AM28" s="140">
        <v>1.3919999999999999</v>
      </c>
      <c r="AN28" s="140">
        <v>1.401</v>
      </c>
      <c r="AO28" s="141">
        <v>1.4079999999999999</v>
      </c>
    </row>
    <row r="29" spans="1:41" x14ac:dyDescent="0.3">
      <c r="A29" s="124" t="s">
        <v>109</v>
      </c>
      <c r="B29" s="142">
        <v>2</v>
      </c>
      <c r="C29" s="142">
        <v>2</v>
      </c>
      <c r="D29" s="142">
        <v>1.9</v>
      </c>
      <c r="E29" s="142">
        <v>1.8</v>
      </c>
      <c r="F29" s="142">
        <v>1.9</v>
      </c>
      <c r="G29" s="142">
        <v>1.9</v>
      </c>
      <c r="H29" s="142">
        <v>2</v>
      </c>
      <c r="I29" s="142">
        <v>2.2000000000000002</v>
      </c>
      <c r="J29" s="142">
        <v>2.2999999999999998</v>
      </c>
      <c r="K29" s="142">
        <v>2.4</v>
      </c>
      <c r="L29" s="142">
        <v>2.4</v>
      </c>
      <c r="M29" s="142">
        <v>2.5</v>
      </c>
      <c r="N29" s="142">
        <v>2.5</v>
      </c>
      <c r="O29" s="142">
        <v>2.5</v>
      </c>
      <c r="P29" s="142">
        <v>2.6</v>
      </c>
      <c r="Q29" s="142">
        <v>2.7</v>
      </c>
      <c r="R29" s="142">
        <v>2.7</v>
      </c>
      <c r="S29" s="142">
        <v>2.8</v>
      </c>
      <c r="T29" s="142">
        <v>2.8</v>
      </c>
      <c r="U29" s="142">
        <v>2.8</v>
      </c>
      <c r="V29" s="142">
        <v>2.8</v>
      </c>
      <c r="W29" s="142">
        <v>2.8</v>
      </c>
      <c r="X29" s="142">
        <v>2.8</v>
      </c>
      <c r="Y29" s="142">
        <v>2.8</v>
      </c>
      <c r="Z29" s="142">
        <v>2.8</v>
      </c>
      <c r="AA29" s="142">
        <v>2.8</v>
      </c>
      <c r="AB29" s="142">
        <v>2.9</v>
      </c>
      <c r="AC29" s="142">
        <v>2.9</v>
      </c>
      <c r="AD29" s="142">
        <v>2.9</v>
      </c>
      <c r="AE29" s="142">
        <v>2.9</v>
      </c>
      <c r="AF29" s="142">
        <v>2.9</v>
      </c>
      <c r="AG29" s="142">
        <v>2.9</v>
      </c>
      <c r="AH29" s="142">
        <v>2.9</v>
      </c>
      <c r="AI29" s="142">
        <v>2.9</v>
      </c>
      <c r="AJ29" s="142">
        <v>2.9</v>
      </c>
      <c r="AK29" s="142">
        <v>2.9</v>
      </c>
      <c r="AL29" s="142">
        <v>2.9</v>
      </c>
      <c r="AM29" s="142">
        <v>2.9</v>
      </c>
      <c r="AN29" s="142">
        <v>2.9</v>
      </c>
      <c r="AO29" s="143">
        <v>2.9</v>
      </c>
    </row>
    <row r="30" spans="1:41" x14ac:dyDescent="0.3">
      <c r="A30" s="125" t="s">
        <v>110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9"/>
    </row>
    <row r="31" spans="1:41" x14ac:dyDescent="0.3">
      <c r="A31" s="124" t="s">
        <v>108</v>
      </c>
      <c r="B31" s="140">
        <v>1.32</v>
      </c>
      <c r="C31" s="140">
        <v>1.325</v>
      </c>
      <c r="D31" s="140">
        <v>1.331</v>
      </c>
      <c r="E31" s="140">
        <v>1.335</v>
      </c>
      <c r="F31" s="140">
        <v>1.343</v>
      </c>
      <c r="G31" s="140">
        <v>1.35</v>
      </c>
      <c r="H31" s="140">
        <v>1.3580000000000001</v>
      </c>
      <c r="I31" s="140">
        <v>1.363</v>
      </c>
      <c r="J31" s="140">
        <v>1.3720000000000001</v>
      </c>
      <c r="K31" s="140">
        <v>1.381</v>
      </c>
      <c r="L31" s="140">
        <v>1.3879999999999999</v>
      </c>
      <c r="M31" s="140">
        <v>1.393</v>
      </c>
      <c r="N31" s="140">
        <v>1.4039999999999999</v>
      </c>
      <c r="O31" s="140">
        <v>1.4139999999999999</v>
      </c>
      <c r="P31" s="140">
        <v>1.423</v>
      </c>
      <c r="Q31" s="140">
        <v>1.4279999999999999</v>
      </c>
      <c r="R31" s="140">
        <v>1.44</v>
      </c>
      <c r="S31" s="140">
        <v>1.45</v>
      </c>
      <c r="T31" s="140">
        <v>1.4590000000000001</v>
      </c>
      <c r="U31" s="140">
        <v>1.4650000000000001</v>
      </c>
      <c r="V31" s="140">
        <v>1.4770000000000001</v>
      </c>
      <c r="W31" s="140">
        <v>1.488</v>
      </c>
      <c r="X31" s="140">
        <v>1.4970000000000001</v>
      </c>
      <c r="Y31" s="140">
        <v>1.5029999999999999</v>
      </c>
      <c r="Z31" s="140">
        <v>1.5149999999999999</v>
      </c>
      <c r="AA31" s="140">
        <v>1.5269999999999999</v>
      </c>
      <c r="AB31" s="140">
        <v>1.5369999999999999</v>
      </c>
      <c r="AC31" s="140">
        <v>1.5429999999999999</v>
      </c>
      <c r="AD31" s="140">
        <v>1.556</v>
      </c>
      <c r="AE31" s="140">
        <v>1.569</v>
      </c>
      <c r="AF31" s="140">
        <v>1.579</v>
      </c>
      <c r="AG31" s="140">
        <v>1.5860000000000001</v>
      </c>
      <c r="AH31" s="140">
        <v>1.599</v>
      </c>
      <c r="AI31" s="140">
        <v>1.611</v>
      </c>
      <c r="AJ31" s="140">
        <v>1.6220000000000001</v>
      </c>
      <c r="AK31" s="140">
        <v>1.629</v>
      </c>
      <c r="AL31" s="140">
        <v>1.643</v>
      </c>
      <c r="AM31" s="140">
        <v>1.655</v>
      </c>
      <c r="AN31" s="140">
        <v>1.6659999999999999</v>
      </c>
      <c r="AO31" s="141">
        <v>1.673</v>
      </c>
    </row>
    <row r="32" spans="1:41" x14ac:dyDescent="0.3">
      <c r="A32" s="126" t="s">
        <v>169</v>
      </c>
      <c r="B32" s="144">
        <v>1.4</v>
      </c>
      <c r="C32" s="144">
        <v>1.5</v>
      </c>
      <c r="D32" s="144">
        <v>1.4</v>
      </c>
      <c r="E32" s="144">
        <v>1.4000000000000001</v>
      </c>
      <c r="F32" s="144">
        <v>1.5</v>
      </c>
      <c r="G32" s="144">
        <v>1.4</v>
      </c>
      <c r="H32" s="144">
        <v>1.5</v>
      </c>
      <c r="I32" s="144">
        <v>1.5999999999999999</v>
      </c>
      <c r="J32" s="144">
        <v>1.7</v>
      </c>
      <c r="K32" s="144">
        <v>1.8</v>
      </c>
      <c r="L32" s="144">
        <v>1.9000000000000001</v>
      </c>
      <c r="M32" s="144">
        <v>1.8000000000000003</v>
      </c>
      <c r="N32" s="144">
        <v>1.9</v>
      </c>
      <c r="O32" s="144">
        <v>1.9</v>
      </c>
      <c r="P32" s="144">
        <v>1.9</v>
      </c>
      <c r="Q32" s="144">
        <v>1.9</v>
      </c>
      <c r="R32" s="144">
        <v>2</v>
      </c>
      <c r="S32" s="144">
        <v>2</v>
      </c>
      <c r="T32" s="144">
        <v>2.1</v>
      </c>
      <c r="U32" s="144">
        <v>2.1</v>
      </c>
      <c r="V32" s="144">
        <v>2.1</v>
      </c>
      <c r="W32" s="144">
        <v>2.1</v>
      </c>
      <c r="X32" s="144">
        <v>2.1</v>
      </c>
      <c r="Y32" s="144">
        <v>2</v>
      </c>
      <c r="Z32" s="144">
        <v>2</v>
      </c>
      <c r="AA32" s="144">
        <v>1.9000000000000001</v>
      </c>
      <c r="AB32" s="144">
        <v>1.9000000000000001</v>
      </c>
      <c r="AC32" s="144">
        <v>1.9000000000000001</v>
      </c>
      <c r="AD32" s="144">
        <v>2</v>
      </c>
      <c r="AE32" s="144">
        <v>2</v>
      </c>
      <c r="AF32" s="144">
        <v>2</v>
      </c>
      <c r="AG32" s="144">
        <v>2</v>
      </c>
      <c r="AH32" s="144">
        <v>2</v>
      </c>
      <c r="AI32" s="144">
        <v>2</v>
      </c>
      <c r="AJ32" s="144">
        <v>2</v>
      </c>
      <c r="AK32" s="144">
        <v>2</v>
      </c>
      <c r="AL32" s="144">
        <v>2</v>
      </c>
      <c r="AM32" s="144">
        <v>1.9000000000000001</v>
      </c>
      <c r="AN32" s="144">
        <v>1.8000000000000003</v>
      </c>
      <c r="AO32" s="145">
        <v>1.8000000000000003</v>
      </c>
    </row>
    <row r="33" spans="1:5" x14ac:dyDescent="0.3">
      <c r="A33" s="127" t="s">
        <v>123</v>
      </c>
    </row>
    <row r="34" spans="1:5" x14ac:dyDescent="0.3">
      <c r="A34" s="127" t="s">
        <v>124</v>
      </c>
    </row>
    <row r="35" spans="1:5" ht="31.5" customHeight="1" x14ac:dyDescent="0.3">
      <c r="A35" s="121" t="s">
        <v>170</v>
      </c>
    </row>
    <row r="36" spans="1:5" x14ac:dyDescent="0.3">
      <c r="A36" s="121" t="s">
        <v>171</v>
      </c>
    </row>
    <row r="37" spans="1:5" x14ac:dyDescent="0.3">
      <c r="A37" s="121" t="s">
        <v>125</v>
      </c>
    </row>
    <row r="38" spans="1:5" x14ac:dyDescent="0.3">
      <c r="A38" s="128">
        <v>43808</v>
      </c>
    </row>
    <row r="40" spans="1:5" x14ac:dyDescent="0.3">
      <c r="A40" s="127"/>
    </row>
    <row r="41" spans="1:5" x14ac:dyDescent="0.3">
      <c r="C41" s="129">
        <f>+B5/100</f>
        <v>2.1000000000000001E-2</v>
      </c>
      <c r="D41" s="130">
        <f>+F5/100</f>
        <v>2.7000000000000003E-2</v>
      </c>
      <c r="E41" s="130">
        <f>(1+C41)*(1+D41)</f>
        <v>1.0485669999999998</v>
      </c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SFY22_GMEsummary</vt:lpstr>
      <vt:lpstr>SFY22_GME</vt:lpstr>
      <vt:lpstr>Days_22GME</vt:lpstr>
      <vt:lpstr>Queries 22</vt:lpstr>
      <vt:lpstr>CMS Market Basket</vt:lpstr>
      <vt:lpstr>SFY22_GME!Print_Area</vt:lpstr>
      <vt:lpstr>SFY22_GMEsummary!Print_Area</vt:lpstr>
      <vt:lpstr>'CMS Market Basket'!Print_Titles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PCS</cp:lastModifiedBy>
  <cp:lastPrinted>2020-09-09T13:48:58Z</cp:lastPrinted>
  <dcterms:created xsi:type="dcterms:W3CDTF">2015-09-21T13:32:29Z</dcterms:created>
  <dcterms:modified xsi:type="dcterms:W3CDTF">2021-08-16T18:04:28Z</dcterms:modified>
</cp:coreProperties>
</file>