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8192" windowHeight="11052"/>
  </bookViews>
  <sheets>
    <sheet name="$100,000DSH" sheetId="9" r:id="rId1"/>
    <sheet name="SFY16_GMEsummary" sheetId="1" r:id="rId2"/>
    <sheet name="SFY16_GME" sheetId="3" r:id="rId3"/>
    <sheet name="Days_16GME" sheetId="4" r:id="rId4"/>
    <sheet name="SFY15 GME Summary" sheetId="5" r:id="rId5"/>
    <sheet name="Orig GME SFY15" sheetId="6" r:id="rId6"/>
    <sheet name="Corrected GME SFY15" sheetId="7" r:id="rId7"/>
    <sheet name="Days_15GME" sheetId="8" r:id="rId8"/>
  </sheets>
  <definedNames>
    <definedName name="\p" localSheetId="0">#REF!</definedName>
    <definedName name="\p" localSheetId="6">#REF!</definedName>
    <definedName name="\p" localSheetId="7">#REF!</definedName>
    <definedName name="\p" localSheetId="3">#REF!</definedName>
    <definedName name="\p" localSheetId="1">#REF!</definedName>
    <definedName name="\p">#REF!</definedName>
    <definedName name="\s" localSheetId="0">#REF!</definedName>
    <definedName name="\s" localSheetId="6">#REF!</definedName>
    <definedName name="\s" localSheetId="7">#REF!</definedName>
    <definedName name="\s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hidden="1">#REF!</definedName>
    <definedName name="A" localSheetId="6">#REF!</definedName>
    <definedName name="A" localSheetId="7">#REF!</definedName>
    <definedName name="A">#REF!</definedName>
    <definedName name="codes" localSheetId="0">#REF!</definedName>
    <definedName name="codes" localSheetId="6">#REF!</definedName>
    <definedName name="codes" localSheetId="7">#REF!</definedName>
    <definedName name="codes">#REF!</definedName>
    <definedName name="COPIES" localSheetId="6">#REF!</definedName>
    <definedName name="COPIES" localSheetId="7">#REF!</definedName>
    <definedName name="COPIES" localSheetId="3">#REF!</definedName>
    <definedName name="COPIES" localSheetId="1">#REF!</definedName>
    <definedName name="COPIES">#REF!</definedName>
    <definedName name="COUNTER" localSheetId="6">#REF!</definedName>
    <definedName name="COUNTER" localSheetId="7">#REF!</definedName>
    <definedName name="COUNTER" localSheetId="1">#REF!</definedName>
    <definedName name="COUNTER">#REF!</definedName>
    <definedName name="FFY05_DSH_Query" localSheetId="6">#REF!</definedName>
    <definedName name="FFY05_DSH_Query" localSheetId="7">#REF!</definedName>
    <definedName name="FFY05_DSH_Query" localSheetId="1">#REF!</definedName>
    <definedName name="FFY05_DSH_Query">#REF!</definedName>
    <definedName name="FFY05_DSH_QUERY_1" localSheetId="6">#REF!</definedName>
    <definedName name="FFY05_DSH_QUERY_1" localSheetId="7">#REF!</definedName>
    <definedName name="FFY05_DSH_QUERY_1" localSheetId="1">#REF!</definedName>
    <definedName name="FFY05_DSH_QUERY_1">#REF!</definedName>
    <definedName name="hart." localSheetId="0" hidden="1">#REF!</definedName>
    <definedName name="hart." localSheetId="6" hidden="1">#REF!</definedName>
    <definedName name="hart." localSheetId="7" hidden="1">#REF!</definedName>
    <definedName name="hart." localSheetId="1" hidden="1">#REF!</definedName>
    <definedName name="hart." hidden="1">#REF!</definedName>
    <definedName name="main_content" localSheetId="0">'$100,000DSH'!$A$81</definedName>
    <definedName name="PRINT" localSheetId="0">#REF!</definedName>
    <definedName name="PRINT" localSheetId="6">#REF!</definedName>
    <definedName name="PRINT" localSheetId="7">#REF!</definedName>
    <definedName name="PRINT" localSheetId="5">#REF!</definedName>
    <definedName name="PRINT" localSheetId="1">#REF!</definedName>
    <definedName name="PRINT">#REF!</definedName>
    <definedName name="_xlnm.Print_Area" localSheetId="0">'$100,000DSH'!$A$1:$J$43</definedName>
    <definedName name="_xlnm.Print_Area" localSheetId="6">'Corrected GME SFY15'!$A$1:$K$55</definedName>
    <definedName name="_xlnm.Print_Area" localSheetId="5">'Orig GME SFY15'!$A$1:$K$55</definedName>
    <definedName name="_xlnm.Print_Area" localSheetId="4">'SFY15 GME Summary'!$A$1:$H$26</definedName>
    <definedName name="_xlnm.Print_Area" localSheetId="2">SFY16_GME!$A$1:$I$75</definedName>
    <definedName name="_xlnm.Print_Area" localSheetId="1">SFY16_GMEsummary!$B$1:$I$42</definedName>
    <definedName name="_xlnm.Print_Area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3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6">#REF!</definedName>
    <definedName name="PRINT_TITLES_MI" localSheetId="7">#REF!</definedName>
    <definedName name="PRINT_TITLES_MI" localSheetId="1">#REF!</definedName>
    <definedName name="PRINT_TITLES_MI">#REF!</definedName>
    <definedName name="rate" localSheetId="0">#REF!</definedName>
    <definedName name="rate" localSheetId="6">#REF!</definedName>
    <definedName name="rate" localSheetId="7">#REF!</definedName>
    <definedName name="rate">#REF!</definedName>
    <definedName name="TblStep_1" localSheetId="6">#REF!</definedName>
    <definedName name="TblStep_1" localSheetId="7">#REF!</definedName>
    <definedName name="TblStep_1" localSheetId="1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E33" i="9" l="1"/>
  <c r="E31" i="9"/>
  <c r="D31" i="9"/>
  <c r="F31" i="9" s="1"/>
  <c r="E30" i="9"/>
  <c r="E29" i="9"/>
  <c r="E28" i="9"/>
  <c r="E27" i="9"/>
  <c r="E26" i="9"/>
  <c r="E24" i="9"/>
  <c r="E21" i="9"/>
  <c r="E20" i="9"/>
  <c r="E19" i="9"/>
  <c r="E18" i="9"/>
  <c r="D18" i="9"/>
  <c r="F18" i="9" s="1"/>
  <c r="E17" i="9"/>
  <c r="E16" i="9"/>
  <c r="E15" i="9"/>
  <c r="E14" i="9"/>
  <c r="D14" i="9"/>
  <c r="F14" i="9" s="1"/>
  <c r="E13" i="9"/>
  <c r="E12" i="9"/>
  <c r="E11" i="9"/>
  <c r="E10" i="9"/>
  <c r="E9" i="9"/>
  <c r="E8" i="9"/>
  <c r="E7" i="9"/>
  <c r="E6" i="9"/>
  <c r="D6" i="9"/>
  <c r="F6" i="9" s="1"/>
  <c r="D28" i="9" l="1"/>
  <c r="F28" i="9" s="1"/>
  <c r="D12" i="9"/>
  <c r="F12" i="9" s="1"/>
  <c r="D11" i="9"/>
  <c r="F11" i="9" s="1"/>
  <c r="D16" i="9"/>
  <c r="F16" i="9" s="1"/>
  <c r="D29" i="9"/>
  <c r="F29" i="9" s="1"/>
  <c r="D26" i="9"/>
  <c r="F26" i="9" s="1"/>
  <c r="D30" i="9"/>
  <c r="F30" i="9" s="1"/>
  <c r="D17" i="9"/>
  <c r="F17" i="9" s="1"/>
  <c r="D20" i="9"/>
  <c r="F20" i="9" s="1"/>
  <c r="D23" i="9"/>
  <c r="F23" i="9" s="1"/>
  <c r="D33" i="9"/>
  <c r="F33" i="9" s="1"/>
  <c r="D27" i="9"/>
  <c r="F27" i="9" s="1"/>
  <c r="D9" i="9"/>
  <c r="F9" i="9" s="1"/>
  <c r="D15" i="9"/>
  <c r="F15" i="9" s="1"/>
  <c r="D19" i="9"/>
  <c r="F19" i="9" s="1"/>
  <c r="D25" i="9"/>
  <c r="F25" i="9" s="1"/>
  <c r="D32" i="9"/>
  <c r="F32" i="9" s="1"/>
  <c r="E35" i="9"/>
  <c r="D21" i="9"/>
  <c r="F21" i="9" s="1"/>
  <c r="B35" i="9"/>
  <c r="D8" i="9"/>
  <c r="F8" i="9" s="1"/>
  <c r="C35" i="9"/>
  <c r="D7" i="9"/>
  <c r="F7" i="9" s="1"/>
  <c r="D10" i="9"/>
  <c r="F10" i="9" s="1"/>
  <c r="D13" i="9"/>
  <c r="F13" i="9" s="1"/>
  <c r="D22" i="9"/>
  <c r="F22" i="9" s="1"/>
  <c r="D24" i="9"/>
  <c r="F24" i="9" s="1"/>
  <c r="F38" i="9" l="1"/>
  <c r="H33" i="9" s="1"/>
  <c r="D35" i="9"/>
  <c r="F37" i="9"/>
  <c r="H27" i="9" l="1"/>
  <c r="H7" i="9"/>
  <c r="F39" i="9"/>
  <c r="H11" i="9"/>
  <c r="H37" i="9" l="1"/>
  <c r="I7" i="9" s="1"/>
  <c r="J7" i="9" s="1"/>
  <c r="I33" i="9" l="1"/>
  <c r="J33" i="9" s="1"/>
  <c r="I27" i="9"/>
  <c r="J27" i="9" s="1"/>
  <c r="I11" i="9"/>
  <c r="J11" i="9" s="1"/>
  <c r="J37" i="9" l="1"/>
  <c r="I37" i="9"/>
  <c r="D38" i="1" l="1"/>
  <c r="B4" i="8" l="1"/>
  <c r="C4" i="8"/>
  <c r="G4" i="8"/>
  <c r="H4" i="8"/>
  <c r="B5" i="8"/>
  <c r="C5" i="8"/>
  <c r="I5" i="8"/>
  <c r="B6" i="8"/>
  <c r="D6" i="8" s="1"/>
  <c r="E13" i="7" s="1"/>
  <c r="E15" i="7" s="1"/>
  <c r="C6" i="8"/>
  <c r="G6" i="8"/>
  <c r="H6" i="8"/>
  <c r="I6" i="8" s="1"/>
  <c r="K6" i="8" s="1"/>
  <c r="B7" i="8"/>
  <c r="C7" i="8"/>
  <c r="D7" i="8" s="1"/>
  <c r="G13" i="7" s="1"/>
  <c r="G7" i="8"/>
  <c r="H7" i="8"/>
  <c r="I7" i="8"/>
  <c r="K7" i="8" s="1"/>
  <c r="B8" i="8"/>
  <c r="C8" i="8"/>
  <c r="D8" i="8"/>
  <c r="G8" i="8"/>
  <c r="I8" i="8" s="1"/>
  <c r="H8" i="8"/>
  <c r="K8" i="8"/>
  <c r="B9" i="8"/>
  <c r="D9" i="8" s="1"/>
  <c r="I13" i="7" s="1"/>
  <c r="I15" i="7" s="1"/>
  <c r="C9" i="8"/>
  <c r="G9" i="8"/>
  <c r="I9" i="8" s="1"/>
  <c r="H9" i="8"/>
  <c r="B10" i="8"/>
  <c r="D10" i="8" s="1"/>
  <c r="K13" i="7" s="1"/>
  <c r="C10" i="8"/>
  <c r="G10" i="8"/>
  <c r="H10" i="8"/>
  <c r="I10" i="8" s="1"/>
  <c r="K10" i="8" s="1"/>
  <c r="B11" i="8"/>
  <c r="C11" i="8"/>
  <c r="D11" i="8" s="1"/>
  <c r="C39" i="7" s="1"/>
  <c r="C41" i="7" s="1"/>
  <c r="C49" i="7" s="1"/>
  <c r="C50" i="7" s="1"/>
  <c r="C52" i="7" s="1"/>
  <c r="E16" i="5" s="1"/>
  <c r="H16" i="5" s="1"/>
  <c r="G11" i="8"/>
  <c r="H11" i="8"/>
  <c r="I11" i="8"/>
  <c r="K11" i="8" s="1"/>
  <c r="B12" i="8"/>
  <c r="C12" i="8"/>
  <c r="D12" i="8"/>
  <c r="D39" i="7" s="1"/>
  <c r="D41" i="7" s="1"/>
  <c r="D49" i="7" s="1"/>
  <c r="D50" i="7" s="1"/>
  <c r="D52" i="7" s="1"/>
  <c r="E17" i="5" s="1"/>
  <c r="G12" i="8"/>
  <c r="I12" i="8" s="1"/>
  <c r="H12" i="8"/>
  <c r="B13" i="8"/>
  <c r="D13" i="8" s="1"/>
  <c r="E39" i="7" s="1"/>
  <c r="E41" i="7" s="1"/>
  <c r="E49" i="7" s="1"/>
  <c r="E50" i="7" s="1"/>
  <c r="E52" i="7" s="1"/>
  <c r="E18" i="5" s="1"/>
  <c r="C13" i="8"/>
  <c r="G13" i="8"/>
  <c r="I13" i="8" s="1"/>
  <c r="H13" i="8"/>
  <c r="B14" i="8"/>
  <c r="D14" i="8" s="1"/>
  <c r="F39" i="7" s="1"/>
  <c r="C14" i="8"/>
  <c r="G14" i="8"/>
  <c r="H14" i="8"/>
  <c r="I14" i="8" s="1"/>
  <c r="B15" i="8"/>
  <c r="C15" i="8"/>
  <c r="D15" i="8" s="1"/>
  <c r="G39" i="7" s="1"/>
  <c r="G41" i="7" s="1"/>
  <c r="G49" i="7" s="1"/>
  <c r="G50" i="7" s="1"/>
  <c r="G52" i="7" s="1"/>
  <c r="E20" i="5" s="1"/>
  <c r="H20" i="5" s="1"/>
  <c r="G15" i="8"/>
  <c r="H15" i="8"/>
  <c r="I15" i="8"/>
  <c r="K15" i="8" s="1"/>
  <c r="B16" i="8"/>
  <c r="C16" i="8"/>
  <c r="D16" i="8"/>
  <c r="H39" i="7" s="1"/>
  <c r="H41" i="7" s="1"/>
  <c r="H49" i="7" s="1"/>
  <c r="H50" i="7" s="1"/>
  <c r="H52" i="7" s="1"/>
  <c r="G16" i="8"/>
  <c r="I16" i="8" s="1"/>
  <c r="K16" i="8" s="1"/>
  <c r="H16" i="8"/>
  <c r="B17" i="8"/>
  <c r="D17" i="8" s="1"/>
  <c r="F13" i="7" s="1"/>
  <c r="F15" i="7" s="1"/>
  <c r="F23" i="7" s="1"/>
  <c r="C17" i="8"/>
  <c r="G17" i="8"/>
  <c r="I17" i="8" s="1"/>
  <c r="K17" i="8" s="1"/>
  <c r="H17" i="8"/>
  <c r="B18" i="8"/>
  <c r="D18" i="8" s="1"/>
  <c r="J13" i="7" s="1"/>
  <c r="J15" i="7" s="1"/>
  <c r="J23" i="7" s="1"/>
  <c r="C18" i="8"/>
  <c r="G18" i="8"/>
  <c r="H18" i="8"/>
  <c r="I18" i="8" s="1"/>
  <c r="B19" i="8"/>
  <c r="C19" i="8"/>
  <c r="D19" i="8" s="1"/>
  <c r="I39" i="7" s="1"/>
  <c r="I41" i="7" s="1"/>
  <c r="I49" i="7" s="1"/>
  <c r="I50" i="7" s="1"/>
  <c r="I52" i="7" s="1"/>
  <c r="E22" i="5" s="1"/>
  <c r="G19" i="8"/>
  <c r="H19" i="8"/>
  <c r="I19" i="8"/>
  <c r="B20" i="8"/>
  <c r="C20" i="8"/>
  <c r="D20" i="8"/>
  <c r="G20" i="8"/>
  <c r="I20" i="8" s="1"/>
  <c r="K20" i="8" s="1"/>
  <c r="H20" i="8"/>
  <c r="H13" i="7"/>
  <c r="H15" i="7" s="1"/>
  <c r="H23" i="7" s="1"/>
  <c r="C14" i="7"/>
  <c r="E14" i="7"/>
  <c r="F14" i="7"/>
  <c r="G14" i="7"/>
  <c r="H14" i="7"/>
  <c r="I14" i="7"/>
  <c r="J14" i="7"/>
  <c r="K14" i="7"/>
  <c r="G15" i="7"/>
  <c r="G23" i="7" s="1"/>
  <c r="G24" i="7" s="1"/>
  <c r="K15" i="7"/>
  <c r="K23" i="7" s="1"/>
  <c r="K24" i="7" s="1"/>
  <c r="C20" i="7"/>
  <c r="D20" i="7"/>
  <c r="E20" i="7"/>
  <c r="F20" i="7"/>
  <c r="F24" i="7" s="1"/>
  <c r="F26" i="7" s="1"/>
  <c r="E11" i="5" s="1"/>
  <c r="G20" i="7"/>
  <c r="H20" i="7"/>
  <c r="I20" i="7"/>
  <c r="J20" i="7"/>
  <c r="J24" i="7" s="1"/>
  <c r="J26" i="7" s="1"/>
  <c r="E14" i="5" s="1"/>
  <c r="K20" i="7"/>
  <c r="E23" i="7"/>
  <c r="E24" i="7" s="1"/>
  <c r="E26" i="7" s="1"/>
  <c r="E10" i="5" s="1"/>
  <c r="I23" i="7"/>
  <c r="I24" i="7" s="1"/>
  <c r="I26" i="7" s="1"/>
  <c r="E7" i="5" s="1"/>
  <c r="H24" i="7"/>
  <c r="H26" i="7" s="1"/>
  <c r="E13" i="5" s="1"/>
  <c r="G26" i="7"/>
  <c r="K26" i="7"/>
  <c r="E15" i="5" s="1"/>
  <c r="F49" i="7"/>
  <c r="J49" i="7"/>
  <c r="J50" i="7" s="1"/>
  <c r="J52" i="7" s="1"/>
  <c r="E23" i="5" s="1"/>
  <c r="J39" i="7"/>
  <c r="C40" i="7"/>
  <c r="D40" i="7"/>
  <c r="E40" i="7"/>
  <c r="F40" i="7"/>
  <c r="G40" i="7"/>
  <c r="H40" i="7"/>
  <c r="I40" i="7"/>
  <c r="J40" i="7"/>
  <c r="F41" i="7"/>
  <c r="J41" i="7"/>
  <c r="C46" i="7"/>
  <c r="D46" i="7"/>
  <c r="E46" i="7"/>
  <c r="F46" i="7"/>
  <c r="G46" i="7"/>
  <c r="H46" i="7"/>
  <c r="I46" i="7"/>
  <c r="J46" i="7"/>
  <c r="F50" i="7"/>
  <c r="F52" i="7" s="1"/>
  <c r="E19" i="5" s="1"/>
  <c r="G19" i="5" s="1"/>
  <c r="C72" i="7"/>
  <c r="C74" i="7" s="1"/>
  <c r="D72" i="7"/>
  <c r="C13" i="6"/>
  <c r="D13" i="6"/>
  <c r="E13" i="6"/>
  <c r="F13" i="6"/>
  <c r="G13" i="6"/>
  <c r="H13" i="6"/>
  <c r="I13" i="6"/>
  <c r="J13" i="6"/>
  <c r="K13" i="6"/>
  <c r="C14" i="6"/>
  <c r="E14" i="6"/>
  <c r="F14" i="6"/>
  <c r="G14" i="6"/>
  <c r="H14" i="6"/>
  <c r="H15" i="6" s="1"/>
  <c r="H23" i="6" s="1"/>
  <c r="I14" i="6"/>
  <c r="J14" i="6"/>
  <c r="K14" i="6"/>
  <c r="C15" i="6"/>
  <c r="D15" i="6"/>
  <c r="E15" i="6"/>
  <c r="E23" i="6" s="1"/>
  <c r="E24" i="6" s="1"/>
  <c r="G15" i="6"/>
  <c r="I15" i="6"/>
  <c r="I23" i="6" s="1"/>
  <c r="I24" i="6" s="1"/>
  <c r="I26" i="6" s="1"/>
  <c r="C7" i="5" s="1"/>
  <c r="K15" i="6"/>
  <c r="C20" i="6"/>
  <c r="D20" i="6"/>
  <c r="D24" i="6" s="1"/>
  <c r="D26" i="6" s="1"/>
  <c r="E20" i="6"/>
  <c r="F20" i="6"/>
  <c r="G20" i="6"/>
  <c r="H20" i="6"/>
  <c r="I20" i="6"/>
  <c r="J20" i="6"/>
  <c r="K20" i="6"/>
  <c r="C23" i="6"/>
  <c r="C24" i="6" s="1"/>
  <c r="C26" i="6" s="1"/>
  <c r="C8" i="5" s="1"/>
  <c r="O8" i="5" s="1"/>
  <c r="D23" i="6"/>
  <c r="G23" i="6"/>
  <c r="G24" i="6" s="1"/>
  <c r="G26" i="6" s="1"/>
  <c r="C12" i="5" s="1"/>
  <c r="O12" i="5" s="1"/>
  <c r="K23" i="6"/>
  <c r="K24" i="6" s="1"/>
  <c r="K26" i="6" s="1"/>
  <c r="C15" i="5" s="1"/>
  <c r="E26" i="6"/>
  <c r="C10" i="5" s="1"/>
  <c r="O10" i="5" s="1"/>
  <c r="C39" i="6"/>
  <c r="D39" i="6"/>
  <c r="E39" i="6"/>
  <c r="F39" i="6"/>
  <c r="G39" i="6"/>
  <c r="H39" i="6"/>
  <c r="I39" i="6"/>
  <c r="J39" i="6"/>
  <c r="C40" i="6"/>
  <c r="D40" i="6"/>
  <c r="E40" i="6"/>
  <c r="F40" i="6"/>
  <c r="G40" i="6"/>
  <c r="H40" i="6"/>
  <c r="I40" i="6"/>
  <c r="J40" i="6"/>
  <c r="C41" i="6"/>
  <c r="D41" i="6"/>
  <c r="E41" i="6"/>
  <c r="F41" i="6"/>
  <c r="G41" i="6"/>
  <c r="H41" i="6"/>
  <c r="I41" i="6"/>
  <c r="J41" i="6"/>
  <c r="C46" i="6"/>
  <c r="D46" i="6"/>
  <c r="E46" i="6"/>
  <c r="F46" i="6"/>
  <c r="G46" i="6"/>
  <c r="H46" i="6"/>
  <c r="I46" i="6"/>
  <c r="J46" i="6"/>
  <c r="C49" i="6"/>
  <c r="D49" i="6"/>
  <c r="E49" i="6"/>
  <c r="F49" i="6"/>
  <c r="G49" i="6"/>
  <c r="H49" i="6"/>
  <c r="I49" i="6"/>
  <c r="J49" i="6"/>
  <c r="C50" i="6"/>
  <c r="D50" i="6"/>
  <c r="E50" i="6"/>
  <c r="F50" i="6"/>
  <c r="G50" i="6"/>
  <c r="H50" i="6"/>
  <c r="I50" i="6"/>
  <c r="J50" i="6"/>
  <c r="C52" i="6"/>
  <c r="D52" i="6"/>
  <c r="C17" i="5" s="1"/>
  <c r="O17" i="5" s="1"/>
  <c r="E52" i="6"/>
  <c r="F52" i="6"/>
  <c r="G52" i="6"/>
  <c r="H52" i="6"/>
  <c r="C21" i="5" s="1"/>
  <c r="O21" i="5" s="1"/>
  <c r="I52" i="6"/>
  <c r="J52" i="6"/>
  <c r="C72" i="6"/>
  <c r="D72" i="6"/>
  <c r="C74" i="6"/>
  <c r="C9" i="5"/>
  <c r="O9" i="5" s="1"/>
  <c r="E12" i="5"/>
  <c r="G15" i="5"/>
  <c r="C16" i="5"/>
  <c r="G16" i="5"/>
  <c r="O16" i="5"/>
  <c r="C18" i="5"/>
  <c r="O18" i="5" s="1"/>
  <c r="C19" i="5"/>
  <c r="O19" i="5"/>
  <c r="C20" i="5"/>
  <c r="G20" i="5"/>
  <c r="O20" i="5"/>
  <c r="E21" i="5"/>
  <c r="C22" i="5"/>
  <c r="O22" i="5" s="1"/>
  <c r="C23" i="5"/>
  <c r="O23" i="5"/>
  <c r="B4" i="4"/>
  <c r="D4" i="4"/>
  <c r="B5" i="4"/>
  <c r="D5" i="4" s="1"/>
  <c r="C5" i="4"/>
  <c r="B6" i="4"/>
  <c r="C6" i="4"/>
  <c r="B7" i="4"/>
  <c r="C7" i="4"/>
  <c r="B8" i="4"/>
  <c r="C8" i="4"/>
  <c r="D8" i="4"/>
  <c r="B9" i="4"/>
  <c r="D9" i="4"/>
  <c r="B10" i="4"/>
  <c r="C10" i="4"/>
  <c r="D10" i="4" s="1"/>
  <c r="H13" i="3" s="1"/>
  <c r="B11" i="4"/>
  <c r="C11" i="4"/>
  <c r="D11" i="4"/>
  <c r="I13" i="3" s="1"/>
  <c r="B12" i="4"/>
  <c r="D12" i="4"/>
  <c r="B13" i="4"/>
  <c r="C13" i="4"/>
  <c r="D13" i="4" s="1"/>
  <c r="D37" i="3" s="1"/>
  <c r="D39" i="3" s="1"/>
  <c r="B14" i="4"/>
  <c r="C14" i="4"/>
  <c r="D14" i="4"/>
  <c r="E37" i="3" s="1"/>
  <c r="E39" i="3" s="1"/>
  <c r="B15" i="4"/>
  <c r="D15" i="4" s="1"/>
  <c r="F37" i="3" s="1"/>
  <c r="F39" i="3" s="1"/>
  <c r="C15" i="4"/>
  <c r="B16" i="4"/>
  <c r="D16" i="4" s="1"/>
  <c r="B17" i="4"/>
  <c r="C17" i="4"/>
  <c r="D17" i="4"/>
  <c r="B18" i="4"/>
  <c r="D18" i="4"/>
  <c r="B19" i="4"/>
  <c r="C19" i="4"/>
  <c r="D19" i="4" s="1"/>
  <c r="G37" i="3" s="1"/>
  <c r="B20" i="4"/>
  <c r="D20" i="4" s="1"/>
  <c r="H37" i="3" s="1"/>
  <c r="H39" i="3" s="1"/>
  <c r="B21" i="4"/>
  <c r="D21" i="4" s="1"/>
  <c r="C21" i="4"/>
  <c r="B22" i="4"/>
  <c r="C22" i="4"/>
  <c r="D22" i="4" s="1"/>
  <c r="I37" i="3" s="1"/>
  <c r="B23" i="4"/>
  <c r="C23" i="4"/>
  <c r="D23" i="4"/>
  <c r="B24" i="4"/>
  <c r="D24" i="4" s="1"/>
  <c r="C24" i="4"/>
  <c r="B25" i="4"/>
  <c r="D25" i="4" s="1"/>
  <c r="B26" i="4"/>
  <c r="C26" i="4"/>
  <c r="D26" i="4"/>
  <c r="F13" i="3" s="1"/>
  <c r="F15" i="3" s="1"/>
  <c r="B27" i="4"/>
  <c r="D27" i="4"/>
  <c r="B28" i="4"/>
  <c r="C28" i="4"/>
  <c r="D28" i="4" s="1"/>
  <c r="C37" i="3" s="1"/>
  <c r="C39" i="3" s="1"/>
  <c r="B29" i="4"/>
  <c r="C29" i="4"/>
  <c r="D29" i="4"/>
  <c r="B30" i="4"/>
  <c r="D30" i="4" s="1"/>
  <c r="F62" i="3" s="1"/>
  <c r="F64" i="3" s="1"/>
  <c r="C30" i="4"/>
  <c r="B31" i="4"/>
  <c r="D31" i="4" s="1"/>
  <c r="C31" i="4"/>
  <c r="B32" i="4"/>
  <c r="C32" i="4"/>
  <c r="D32" i="4" s="1"/>
  <c r="G23" i="3"/>
  <c r="G24" i="3" s="1"/>
  <c r="C13" i="3"/>
  <c r="C15" i="3" s="1"/>
  <c r="G13" i="3"/>
  <c r="G15" i="3" s="1"/>
  <c r="C14" i="3"/>
  <c r="D14" i="3"/>
  <c r="E14" i="3"/>
  <c r="F14" i="3"/>
  <c r="G14" i="3"/>
  <c r="H14" i="3"/>
  <c r="I14" i="3"/>
  <c r="I15" i="3"/>
  <c r="I23" i="3" s="1"/>
  <c r="I24" i="3" s="1"/>
  <c r="C20" i="3"/>
  <c r="D20" i="3"/>
  <c r="E20" i="3"/>
  <c r="F20" i="3"/>
  <c r="G20" i="3"/>
  <c r="H20" i="3"/>
  <c r="I20" i="3"/>
  <c r="C23" i="3"/>
  <c r="C24" i="3" s="1"/>
  <c r="E47" i="3"/>
  <c r="E48" i="3" s="1"/>
  <c r="I47" i="3"/>
  <c r="I48" i="3" s="1"/>
  <c r="C38" i="3"/>
  <c r="D38" i="3"/>
  <c r="E38" i="3"/>
  <c r="F38" i="3"/>
  <c r="G38" i="3"/>
  <c r="I38" i="3"/>
  <c r="I39" i="3"/>
  <c r="C44" i="3"/>
  <c r="D44" i="3"/>
  <c r="E44" i="3"/>
  <c r="F44" i="3"/>
  <c r="G44" i="3"/>
  <c r="H44" i="3"/>
  <c r="I44" i="3"/>
  <c r="C72" i="3"/>
  <c r="E72" i="3"/>
  <c r="E73" i="3" s="1"/>
  <c r="G72" i="3"/>
  <c r="C62" i="3"/>
  <c r="C64" i="3" s="1"/>
  <c r="D62" i="3"/>
  <c r="E62" i="3"/>
  <c r="G62" i="3"/>
  <c r="G64" i="3" s="1"/>
  <c r="C63" i="3"/>
  <c r="D63" i="3"/>
  <c r="E63" i="3"/>
  <c r="F63" i="3"/>
  <c r="G63" i="3"/>
  <c r="D64" i="3"/>
  <c r="D72" i="3" s="1"/>
  <c r="E64" i="3"/>
  <c r="C69" i="3"/>
  <c r="D69" i="3"/>
  <c r="E69" i="3"/>
  <c r="F69" i="3"/>
  <c r="G69" i="3"/>
  <c r="F47" i="3" l="1"/>
  <c r="F48" i="3" s="1"/>
  <c r="D47" i="3"/>
  <c r="D48" i="3" s="1"/>
  <c r="F72" i="3"/>
  <c r="F73" i="3" s="1"/>
  <c r="C47" i="3"/>
  <c r="C48" i="3" s="1"/>
  <c r="H47" i="3"/>
  <c r="H48" i="3" s="1"/>
  <c r="G17" i="5"/>
  <c r="H17" i="5"/>
  <c r="D73" i="3"/>
  <c r="G73" i="3"/>
  <c r="C73" i="3"/>
  <c r="H19" i="5"/>
  <c r="G12" i="5"/>
  <c r="H12" i="5"/>
  <c r="G22" i="5"/>
  <c r="H22" i="5"/>
  <c r="O7" i="5"/>
  <c r="H7" i="5"/>
  <c r="G7" i="5"/>
  <c r="K12" i="8"/>
  <c r="G23" i="5"/>
  <c r="H23" i="5"/>
  <c r="D5" i="8"/>
  <c r="D13" i="7" s="1"/>
  <c r="D15" i="7" s="1"/>
  <c r="D23" i="7" s="1"/>
  <c r="D24" i="7" s="1"/>
  <c r="D26" i="7" s="1"/>
  <c r="E9" i="5" s="1"/>
  <c r="C21" i="8"/>
  <c r="D6" i="4"/>
  <c r="D13" i="3" s="1"/>
  <c r="D15" i="3" s="1"/>
  <c r="D23" i="3" s="1"/>
  <c r="D24" i="3" s="1"/>
  <c r="B33" i="4"/>
  <c r="G18" i="5"/>
  <c r="H18" i="5"/>
  <c r="F23" i="3"/>
  <c r="F24" i="3" s="1"/>
  <c r="G39" i="3"/>
  <c r="G47" i="3" s="1"/>
  <c r="G48" i="3" s="1"/>
  <c r="H15" i="3"/>
  <c r="H23" i="3" s="1"/>
  <c r="H24" i="3" s="1"/>
  <c r="H10" i="5"/>
  <c r="J15" i="6"/>
  <c r="J23" i="6" s="1"/>
  <c r="J24" i="6" s="1"/>
  <c r="J26" i="6" s="1"/>
  <c r="C14" i="5" s="1"/>
  <c r="G14" i="5" s="1"/>
  <c r="F15" i="6"/>
  <c r="F23" i="6" s="1"/>
  <c r="F24" i="6" s="1"/>
  <c r="F26" i="6" s="1"/>
  <c r="C11" i="5" s="1"/>
  <c r="H13" i="5"/>
  <c r="G21" i="8"/>
  <c r="I21" i="8" s="1"/>
  <c r="K18" i="8"/>
  <c r="K13" i="8"/>
  <c r="I4" i="8"/>
  <c r="H21" i="8"/>
  <c r="G21" i="5"/>
  <c r="H21" i="5"/>
  <c r="H15" i="5"/>
  <c r="H11" i="5"/>
  <c r="K5" i="8"/>
  <c r="D7" i="4"/>
  <c r="E13" i="3" s="1"/>
  <c r="E15" i="3" s="1"/>
  <c r="E23" i="3" s="1"/>
  <c r="E24" i="3" s="1"/>
  <c r="C33" i="4"/>
  <c r="H24" i="6"/>
  <c r="H26" i="6" s="1"/>
  <c r="C13" i="5" s="1"/>
  <c r="O13" i="5" s="1"/>
  <c r="G10" i="5"/>
  <c r="K19" i="8"/>
  <c r="K14" i="8"/>
  <c r="K9" i="8"/>
  <c r="B21" i="8"/>
  <c r="D4" i="8"/>
  <c r="C13" i="7" s="1"/>
  <c r="C15" i="7" s="1"/>
  <c r="C23" i="7" s="1"/>
  <c r="C24" i="7" s="1"/>
  <c r="C26" i="7" s="1"/>
  <c r="E8" i="5" s="1"/>
  <c r="E25" i="5" s="1"/>
  <c r="K4" i="8" l="1"/>
  <c r="K21" i="8" s="1"/>
  <c r="G9" i="5"/>
  <c r="H9" i="5"/>
  <c r="G25" i="5"/>
  <c r="D33" i="4"/>
  <c r="D21" i="8"/>
  <c r="I23" i="8" s="1"/>
  <c r="I24" i="8" s="1"/>
  <c r="G13" i="5"/>
  <c r="O14" i="5"/>
  <c r="H14" i="5"/>
  <c r="C25" i="5"/>
  <c r="G8" i="5"/>
  <c r="H8" i="5"/>
  <c r="O11" i="5"/>
  <c r="O24" i="5" s="1"/>
  <c r="G11" i="5"/>
  <c r="H25" i="5" l="1"/>
  <c r="F11" i="1" l="1"/>
  <c r="F18" i="1"/>
  <c r="G18" i="1" s="1"/>
  <c r="F23" i="1"/>
  <c r="F26" i="1"/>
  <c r="G26" i="1" s="1"/>
  <c r="F27" i="1"/>
  <c r="F30" i="1"/>
  <c r="F36" i="1"/>
  <c r="E36" i="1" s="1"/>
  <c r="F9" i="1"/>
  <c r="E9" i="1" s="1"/>
  <c r="F33" i="1"/>
  <c r="F29" i="1"/>
  <c r="F24" i="1"/>
  <c r="G24" i="1" s="1"/>
  <c r="F21" i="1"/>
  <c r="F20" i="1"/>
  <c r="K38" i="1"/>
  <c r="F12" i="1"/>
  <c r="G12" i="1" s="1"/>
  <c r="G30" i="1" l="1"/>
  <c r="E30" i="1"/>
  <c r="G29" i="1"/>
  <c r="H29" i="1" s="1"/>
  <c r="E29" i="1"/>
  <c r="G21" i="1"/>
  <c r="H21" i="1" s="1"/>
  <c r="E21" i="1"/>
  <c r="G11" i="1"/>
  <c r="E11" i="1"/>
  <c r="E24" i="1"/>
  <c r="E26" i="1"/>
  <c r="F15" i="1"/>
  <c r="G23" i="1"/>
  <c r="E23" i="1"/>
  <c r="F25" i="1"/>
  <c r="H26" i="1"/>
  <c r="I26" i="1" s="1"/>
  <c r="J26" i="1" s="1"/>
  <c r="I29" i="1"/>
  <c r="H30" i="1"/>
  <c r="F34" i="1"/>
  <c r="F10" i="1"/>
  <c r="H12" i="1"/>
  <c r="F14" i="1"/>
  <c r="G20" i="1"/>
  <c r="E20" i="1"/>
  <c r="F22" i="1"/>
  <c r="F32" i="1"/>
  <c r="E12" i="1"/>
  <c r="F13" i="1"/>
  <c r="H18" i="1"/>
  <c r="I18" i="1" s="1"/>
  <c r="F35" i="1"/>
  <c r="F37" i="1"/>
  <c r="H11" i="1"/>
  <c r="I11" i="1" s="1"/>
  <c r="I12" i="1"/>
  <c r="J12" i="1" s="1"/>
  <c r="F17" i="1"/>
  <c r="E18" i="1"/>
  <c r="F19" i="1"/>
  <c r="H24" i="1"/>
  <c r="I24" i="1" s="1"/>
  <c r="F28" i="1"/>
  <c r="G33" i="1"/>
  <c r="E33" i="1"/>
  <c r="G27" i="1"/>
  <c r="G9" i="1"/>
  <c r="F31" i="1"/>
  <c r="G36" i="1"/>
  <c r="E27" i="1"/>
  <c r="J24" i="1" l="1"/>
  <c r="I30" i="1"/>
  <c r="J30" i="1" s="1"/>
  <c r="J11" i="1"/>
  <c r="J29" i="1"/>
  <c r="H36" i="1"/>
  <c r="I36" i="1" s="1"/>
  <c r="H27" i="1"/>
  <c r="H33" i="1"/>
  <c r="F16" i="1"/>
  <c r="F38" i="1" s="1"/>
  <c r="E35" i="1"/>
  <c r="G35" i="1"/>
  <c r="G14" i="1"/>
  <c r="E14" i="1"/>
  <c r="G10" i="1"/>
  <c r="E10" i="1"/>
  <c r="G34" i="1"/>
  <c r="E34" i="1"/>
  <c r="G22" i="1"/>
  <c r="E22" i="1"/>
  <c r="H23" i="1"/>
  <c r="I23" i="1" s="1"/>
  <c r="G15" i="1"/>
  <c r="E15" i="1"/>
  <c r="G31" i="1"/>
  <c r="E31" i="1"/>
  <c r="E28" i="1"/>
  <c r="G28" i="1"/>
  <c r="E17" i="1"/>
  <c r="G17" i="1"/>
  <c r="E37" i="1"/>
  <c r="G37" i="1"/>
  <c r="I21" i="1"/>
  <c r="J21" i="1" s="1"/>
  <c r="H9" i="1"/>
  <c r="I9" i="1" s="1"/>
  <c r="J9" i="1" s="1"/>
  <c r="G19" i="1"/>
  <c r="E19" i="1"/>
  <c r="J18" i="1"/>
  <c r="G13" i="1"/>
  <c r="E13" i="1"/>
  <c r="E32" i="1"/>
  <c r="G32" i="1"/>
  <c r="H20" i="1"/>
  <c r="I20" i="1" s="1"/>
  <c r="G25" i="1"/>
  <c r="E25" i="1"/>
  <c r="J36" i="1" l="1"/>
  <c r="J23" i="1"/>
  <c r="H28" i="1"/>
  <c r="I28" i="1" s="1"/>
  <c r="H34" i="1"/>
  <c r="I34" i="1" s="1"/>
  <c r="H14" i="1"/>
  <c r="H15" i="1"/>
  <c r="I15" i="1" s="1"/>
  <c r="H35" i="1"/>
  <c r="I35" i="1" s="1"/>
  <c r="I33" i="1"/>
  <c r="J33" i="1" s="1"/>
  <c r="H10" i="1"/>
  <c r="I10" i="1" s="1"/>
  <c r="H37" i="1"/>
  <c r="I37" i="1" s="1"/>
  <c r="E16" i="1"/>
  <c r="E38" i="1" s="1"/>
  <c r="G16" i="1"/>
  <c r="G38" i="1" s="1"/>
  <c r="J20" i="1"/>
  <c r="H13" i="1"/>
  <c r="I13" i="1" s="1"/>
  <c r="J13" i="1" s="1"/>
  <c r="H19" i="1"/>
  <c r="H17" i="1"/>
  <c r="I17" i="1" s="1"/>
  <c r="J17" i="1" s="1"/>
  <c r="H25" i="1"/>
  <c r="I25" i="1" s="1"/>
  <c r="J25" i="1" s="1"/>
  <c r="H32" i="1"/>
  <c r="I32" i="1" s="1"/>
  <c r="J32" i="1" s="1"/>
  <c r="I27" i="1"/>
  <c r="J27" i="1" s="1"/>
  <c r="H31" i="1"/>
  <c r="I31" i="1" s="1"/>
  <c r="J31" i="1" s="1"/>
  <c r="H22" i="1"/>
  <c r="I22" i="1" s="1"/>
  <c r="J22" i="1" s="1"/>
  <c r="J35" i="1" l="1"/>
  <c r="E39" i="1"/>
  <c r="J34" i="1"/>
  <c r="J15" i="1"/>
  <c r="J28" i="1"/>
  <c r="J10" i="1"/>
  <c r="J37" i="1"/>
  <c r="I19" i="1"/>
  <c r="J19" i="1" s="1"/>
  <c r="H16" i="1"/>
  <c r="I16" i="1" s="1"/>
  <c r="I14" i="1"/>
  <c r="J14" i="1" s="1"/>
  <c r="I38" i="1" l="1"/>
  <c r="J16" i="1"/>
  <c r="H38" i="1"/>
  <c r="J38" i="1" l="1"/>
</calcChain>
</file>

<file path=xl/sharedStrings.xml><?xml version="1.0" encoding="utf-8"?>
<sst xmlns="http://schemas.openxmlformats.org/spreadsheetml/2006/main" count="516" uniqueCount="188">
  <si>
    <t>SFY 2016 GME Hospital Payment</t>
  </si>
  <si>
    <t>SPA 15-003</t>
  </si>
  <si>
    <t>Main Inpatient Medicaid ID</t>
  </si>
  <si>
    <t>GME Payment</t>
  </si>
  <si>
    <t>QE 9/30/15 LESS SFY15 ADJUSTMENT</t>
  </si>
  <si>
    <t>QE 9/30/15</t>
  </si>
  <si>
    <t>QE 12/31/15</t>
  </si>
  <si>
    <t>QE 3/31/16</t>
  </si>
  <si>
    <t>QE 6/30/16</t>
  </si>
  <si>
    <t>CALCULATE CORRECTED GME FOR SFY15 AND ADD AS ADJUSTER TO THIS QUARTER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</si>
  <si>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</si>
  <si>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</si>
  <si>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</si>
  <si>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</si>
  <si>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</si>
  <si>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</si>
  <si>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</si>
  <si>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</si>
  <si>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>A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</si>
  <si>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</si>
  <si>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</si>
  <si>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</si>
  <si>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</si>
  <si>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</si>
  <si>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</si>
  <si>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</si>
  <si>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</si>
  <si>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</si>
  <si>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</si>
  <si>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</si>
  <si>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</si>
  <si>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</si>
  <si>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</si>
  <si>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</si>
  <si>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</si>
  <si>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</si>
  <si>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</si>
  <si>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</si>
  <si>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</si>
  <si>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</si>
  <si>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004041885 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</si>
  <si>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</si>
  <si>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</si>
  <si>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</si>
  <si>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</si>
  <si>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</si>
  <si>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004041794 </t>
  </si>
  <si>
    <t xml:space="preserve">NEW MILFORD </t>
  </si>
  <si>
    <t xml:space="preserve">NORWALK </t>
  </si>
  <si>
    <t xml:space="preserve">004041943 </t>
  </si>
  <si>
    <t>ROCKVILLE</t>
  </si>
  <si>
    <t xml:space="preserve">004041729 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</si>
  <si>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</si>
  <si>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</si>
  <si>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</si>
  <si>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</si>
  <si>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</si>
  <si>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</si>
  <si>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</si>
  <si>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004221800 </t>
  </si>
  <si>
    <t xml:space="preserve">STAMFORD </t>
  </si>
  <si>
    <t xml:space="preserve">004041661 </t>
  </si>
  <si>
    <t xml:space="preserve">WATERBURY </t>
  </si>
  <si>
    <t xml:space="preserve">004041653 </t>
  </si>
  <si>
    <t>WINDHAM</t>
  </si>
  <si>
    <t xml:space="preserve">004041828 </t>
  </si>
  <si>
    <t>YALE incl. ST RAPHAEL</t>
  </si>
  <si>
    <t xml:space="preserve">004041836 </t>
  </si>
  <si>
    <t>TOTAL</t>
  </si>
  <si>
    <t>New Milford's payment will be made to Danbury due to the merger.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</si>
  <si>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</si>
  <si>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</si>
  <si>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</si>
  <si>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</si>
  <si>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</si>
  <si>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</si>
  <si>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</si>
  <si>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</si>
  <si>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</si>
  <si>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</si>
  <si>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</si>
  <si>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</si>
  <si>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</si>
  <si>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</si>
  <si>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</si>
  <si>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</si>
  <si>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</si>
  <si>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Total Medicaid Inpatient Days minus Nursery days [MAR68C FY]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</si>
  <si>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</si>
  <si>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</si>
  <si>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</si>
  <si>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</si>
  <si>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Updated Per Resident Amount for all other [ MCR, wkst. E-4]</t>
  </si>
  <si>
    <t>Line 2a</t>
  </si>
  <si>
    <t>Updated Per Resident Amount for OB\GYN &amp; Primary Care [MCR, wkst. E-4]</t>
  </si>
  <si>
    <t>Line 2</t>
  </si>
  <si>
    <t>Number of FTE Residents for all other [MCR, wkst. E-4]</t>
  </si>
  <si>
    <t>Line 1a</t>
  </si>
  <si>
    <t>Number of FTE Residents for OB\GYN &amp; Primary Care [MCR, wkst. E-4]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</si>
  <si>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</si>
  <si>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</si>
  <si>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</si>
  <si>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</si>
  <si>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</si>
  <si>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</si>
  <si>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</si>
  <si>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</si>
  <si>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</si>
  <si>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</si>
  <si>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</si>
  <si>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</si>
  <si>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</si>
  <si>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</si>
  <si>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</si>
  <si>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</si>
  <si>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</si>
  <si>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</si>
  <si>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</si>
  <si>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</si>
  <si>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</si>
  <si>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</si>
  <si>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SFY 2016 Direct Graduate Medical Education (GME) based on FFY 2014 cost reports in accordance with SPA 15-003</t>
  </si>
  <si>
    <t>Grand Total</t>
  </si>
  <si>
    <t>Windham Community Memorial Hospital</t>
  </si>
  <si>
    <t>William W. Backus Hospital</t>
  </si>
  <si>
    <t>Hungerford Hospital</t>
  </si>
  <si>
    <t>SHARON HOSPITAL</t>
  </si>
  <si>
    <t>Rockville Hospital</t>
  </si>
  <si>
    <t>NEW MILFORD HOSPITAL</t>
  </si>
  <si>
    <t>Milford Hospital</t>
  </si>
  <si>
    <t>MIDSTATE MEDICAL CENTER</t>
  </si>
  <si>
    <t>JOHNSON MEMORIAL HOSPITAL</t>
  </si>
  <si>
    <t>DAY KIMBALL HOSPITAL</t>
  </si>
  <si>
    <t>BRISTOL HOSPITAL</t>
  </si>
  <si>
    <t>GME Days</t>
  </si>
  <si>
    <t xml:space="preserve">Nursery </t>
  </si>
  <si>
    <t>Total</t>
  </si>
  <si>
    <t>Hospital Names</t>
  </si>
  <si>
    <t>Medicaid</t>
  </si>
  <si>
    <t>Days</t>
  </si>
  <si>
    <t>Using Fiscal Year data from FFY 14 MAR68C for SFY 16 GME calculation</t>
  </si>
  <si>
    <t>* Quarterly Distribution</t>
  </si>
  <si>
    <t>GME Calc</t>
  </si>
  <si>
    <t>Adjustment to SFY16 (2 Qtrs)</t>
  </si>
  <si>
    <t>Quarterly Difference</t>
  </si>
  <si>
    <t>Quarterly Distribution</t>
  </si>
  <si>
    <t>Hospital</t>
  </si>
  <si>
    <t>Original</t>
  </si>
  <si>
    <t>Corrected</t>
  </si>
  <si>
    <t>Subtract Difference from 1st Qtr Payment for SFY16</t>
  </si>
  <si>
    <t>Use FFY 13 data - Correct Days to agree with State Plan - Delete Child BH Days</t>
  </si>
  <si>
    <t>GME for SFY15</t>
  </si>
  <si>
    <t>Quarterly Payments</t>
  </si>
  <si>
    <t>Inpatient Medicaid GME Payment [line 9 x line 10]</t>
  </si>
  <si>
    <t>Total Medicaid Inpatient Days minus Nursery days [MAR68C+Child Psych]</t>
  </si>
  <si>
    <t>SFY 2015 Direct Graduate Medical Education (GME) based on FFY 2013 cost reports - Quarterly Payments effective January 1, 2015 - Original</t>
  </si>
  <si>
    <t>Total Medicaid Inpatient Days minus Nursery days [MAR68C]</t>
  </si>
  <si>
    <t>SFY 2015 Direct Graduate Medical Education (GME) based on FFY 2013 cost reports - Quarterly Payments effective January 1, 2015 - Corrected</t>
  </si>
  <si>
    <t>FY&amp;Follow up</t>
  </si>
  <si>
    <t>FY&amp;FU</t>
  </si>
  <si>
    <t>SFY 15 GME calculation - MAR68C - FY data only</t>
  </si>
  <si>
    <t>FFY 2014 Data:</t>
  </si>
  <si>
    <t>FFS Medicaid Days (MAR68C, FY data)</t>
  </si>
  <si>
    <t>Child Psych Days</t>
  </si>
  <si>
    <t>S-3 Total Days - Medicare Cost Report</t>
  </si>
  <si>
    <t>Utilization Rate</t>
  </si>
  <si>
    <t>Utilization Less Mean</t>
  </si>
  <si>
    <t>% of Total</t>
  </si>
  <si>
    <t>Allocation of Appropr.</t>
  </si>
  <si>
    <t>Backus</t>
  </si>
  <si>
    <t>Bristol</t>
  </si>
  <si>
    <t>Central CT</t>
  </si>
  <si>
    <t>Day Kimball</t>
  </si>
  <si>
    <t>Hungerford</t>
  </si>
  <si>
    <t>Johnson</t>
  </si>
  <si>
    <t>Lawrence &amp; Mem.</t>
  </si>
  <si>
    <t>Midstate</t>
  </si>
  <si>
    <t>Milford</t>
  </si>
  <si>
    <t>New Milford</t>
  </si>
  <si>
    <t>St. Mary's</t>
  </si>
  <si>
    <t>St. Vincent</t>
  </si>
  <si>
    <t>Sharon</t>
  </si>
  <si>
    <t>Windham</t>
  </si>
  <si>
    <t>Standard Deviation</t>
  </si>
  <si>
    <t>Mean (Avg.)</t>
  </si>
  <si>
    <t>Qualifying</t>
  </si>
  <si>
    <t>Total Medicaid I/P Days</t>
  </si>
  <si>
    <t xml:space="preserve">Disproportionate Share Hospital - 2016 DSH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</si>
</sst>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00000_);\(#,##0.000000\)"/>
    <numFmt numFmtId="167" formatCode="_(* #,##0.000000_);_(* \(#,##0.000000\);_(* &quot;-&quot;??_);_(@_)"/>
    <numFmt numFmtId="168" formatCode="_(&quot;$&quot;* #,##0_);_(&quot;$&quot;* \(#,##0\);_(&quot;$&quot;* &quot;-&quot;??_);_(@_)"/>
    <numFmt numFmtId="169" formatCode="0.0%"/>
    <numFmt numFmtId="170" formatCode="0.0000%"/>
    <numFmt numFmtId="171" formatCode="0.0000"/>
  </numFmts>
  <fonts count="25" x14ac:knownFonts="1">
    <font>
      <sz val="11"/>
      <name val="Times New Rom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6"/>
      <name val="Arial"/>
      <family val="2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98">
    <xf numFmtId="38" fontId="0" fillId="0" borderId="0"/>
    <xf numFmtId="5" fontId="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6" fillId="0" borderId="0"/>
    <xf numFmtId="38" fontId="5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3" fillId="0" borderId="0" applyNumberFormat="0" applyFont="0" applyBorder="0">
      <alignment horizontal="centerContinuous"/>
    </xf>
    <xf numFmtId="37" fontId="5" fillId="0" borderId="0" applyFont="0" applyFill="0" applyBorder="0" applyAlignment="0" applyProtection="0"/>
    <xf numFmtId="0" fontId="3" fillId="0" borderId="0"/>
    <xf numFmtId="5" fontId="3" fillId="0" borderId="13">
      <alignment horizontal="right" vertical="top"/>
    </xf>
  </cellStyleXfs>
  <cellXfs count="266">
    <xf numFmtId="38" fontId="0" fillId="0" borderId="0" xfId="0"/>
    <xf numFmtId="0" fontId="3" fillId="0" borderId="0" xfId="2"/>
    <xf numFmtId="0" fontId="4" fillId="0" borderId="0" xfId="2" applyFont="1" applyFill="1" applyBorder="1" applyAlignment="1">
      <alignment horizontal="left" indent="1"/>
    </xf>
    <xf numFmtId="0" fontId="3" fillId="0" borderId="0" xfId="2" applyFont="1" applyFill="1" applyBorder="1"/>
    <xf numFmtId="7" fontId="3" fillId="0" borderId="0" xfId="1" applyNumberFormat="1" applyFont="1" applyFill="1" applyBorder="1"/>
    <xf numFmtId="5" fontId="3" fillId="0" borderId="0" xfId="1" applyFont="1" applyFill="1" applyBorder="1"/>
    <xf numFmtId="7" fontId="6" fillId="0" borderId="0" xfId="1" applyNumberFormat="1" applyFont="1" applyFill="1" applyBorder="1"/>
    <xf numFmtId="0" fontId="3" fillId="0" borderId="0" xfId="2" applyBorder="1"/>
    <xf numFmtId="0" fontId="7" fillId="0" borderId="0" xfId="2" applyFont="1" applyFill="1" applyBorder="1"/>
    <xf numFmtId="0" fontId="8" fillId="0" borderId="0" xfId="2" applyFont="1" applyFill="1" applyBorder="1"/>
    <xf numFmtId="7" fontId="3" fillId="0" borderId="0" xfId="1" applyNumberFormat="1" applyFont="1" applyBorder="1"/>
    <xf numFmtId="5" fontId="3" fillId="0" borderId="0" xfId="1" applyFont="1" applyBorder="1"/>
    <xf numFmtId="164" fontId="11" fillId="0" borderId="0" xfId="3" applyNumberFormat="1" applyFont="1" applyFill="1" applyBorder="1" applyAlignment="1">
      <alignment horizontal="center"/>
    </xf>
    <xf numFmtId="7" fontId="3" fillId="0" borderId="0" xfId="1" applyNumberFormat="1" applyFont="1"/>
    <xf numFmtId="7" fontId="11" fillId="0" borderId="0" xfId="1" applyNumberFormat="1" applyFont="1" applyFill="1" applyBorder="1" applyAlignment="1">
      <alignment horizontal="center"/>
    </xf>
    <xf numFmtId="5" fontId="3" fillId="0" borderId="0" xfId="1" applyFont="1"/>
    <xf numFmtId="0" fontId="3" fillId="0" borderId="0" xfId="2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7" fontId="3" fillId="0" borderId="0" xfId="1" applyNumberFormat="1" applyFont="1" applyAlignment="1">
      <alignment horizontal="center"/>
    </xf>
    <xf numFmtId="7" fontId="11" fillId="0" borderId="0" xfId="1" applyNumberFormat="1" applyFont="1" applyAlignment="1">
      <alignment horizontal="center"/>
    </xf>
    <xf numFmtId="7" fontId="3" fillId="0" borderId="0" xfId="1" applyNumberFormat="1" applyFont="1" applyBorder="1" applyAlignment="1">
      <alignment horizontal="center"/>
    </xf>
    <xf numFmtId="5" fontId="3" fillId="0" borderId="0" xfId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7" fontId="3" fillId="0" borderId="1" xfId="1" applyNumberFormat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3" fillId="0" borderId="2" xfId="2" applyFont="1" applyFill="1" applyBorder="1"/>
    <xf numFmtId="0" fontId="3" fillId="0" borderId="2" xfId="2" applyFont="1" applyFill="1" applyBorder="1" applyAlignment="1">
      <alignment horizontal="center"/>
    </xf>
    <xf numFmtId="5" fontId="3" fillId="0" borderId="2" xfId="1" applyNumberFormat="1" applyFont="1" applyBorder="1"/>
    <xf numFmtId="5" fontId="3" fillId="0" borderId="1" xfId="1" applyNumberFormat="1" applyFont="1" applyFill="1" applyBorder="1"/>
    <xf numFmtId="5" fontId="3" fillId="0" borderId="1" xfId="1" applyNumberFormat="1" applyFont="1" applyBorder="1"/>
    <xf numFmtId="7" fontId="5" fillId="0" borderId="1" xfId="1" applyNumberFormat="1" applyFont="1" applyBorder="1" applyAlignment="1">
      <alignment horizontal="center"/>
    </xf>
    <xf numFmtId="5" fontId="5" fillId="0" borderId="1" xfId="1" applyFont="1" applyBorder="1"/>
    <xf numFmtId="37" fontId="3" fillId="0" borderId="0" xfId="2" applyNumberFormat="1" applyFont="1"/>
    <xf numFmtId="0" fontId="3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0" fontId="11" fillId="0" borderId="0" xfId="2" applyFont="1"/>
    <xf numFmtId="0" fontId="3" fillId="0" borderId="3" xfId="2" applyBorder="1"/>
    <xf numFmtId="37" fontId="3" fillId="0" borderId="0" xfId="2" applyNumberFormat="1" applyFont="1" applyBorder="1"/>
    <xf numFmtId="0" fontId="11" fillId="0" borderId="1" xfId="2" applyFont="1" applyFill="1" applyBorder="1"/>
    <xf numFmtId="7" fontId="5" fillId="0" borderId="0" xfId="1" applyNumberFormat="1" applyFont="1" applyBorder="1" applyAlignment="1">
      <alignment horizontal="center"/>
    </xf>
    <xf numFmtId="5" fontId="0" fillId="0" borderId="0" xfId="1" applyFont="1" applyBorder="1"/>
    <xf numFmtId="7" fontId="3" fillId="0" borderId="0" xfId="1" applyNumberFormat="1" applyFont="1" applyFill="1" applyBorder="1" applyAlignment="1">
      <alignment horizontal="right" vertical="top"/>
    </xf>
    <xf numFmtId="5" fontId="3" fillId="0" borderId="0" xfId="1" applyNumberFormat="1" applyFont="1" applyFill="1" applyBorder="1" applyAlignment="1">
      <alignment horizontal="right" vertical="top"/>
    </xf>
    <xf numFmtId="37" fontId="3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3" fillId="0" borderId="0" xfId="2" applyNumberFormat="1" applyFont="1" applyFill="1" applyBorder="1" applyAlignment="1">
      <alignment horizontal="left"/>
    </xf>
    <xf numFmtId="7" fontId="11" fillId="0" borderId="0" xfId="1" applyNumberFormat="1" applyFont="1"/>
    <xf numFmtId="165" fontId="11" fillId="0" borderId="0" xfId="2" applyNumberFormat="1" applyFont="1"/>
    <xf numFmtId="0" fontId="3" fillId="0" borderId="0" xfId="2" applyFont="1" applyAlignment="1">
      <alignment horizontal="left"/>
    </xf>
    <xf numFmtId="165" fontId="3" fillId="0" borderId="0" xfId="2" applyNumberFormat="1" applyFont="1"/>
    <xf numFmtId="0" fontId="13" fillId="0" borderId="0" xfId="2" applyFont="1" applyFill="1" applyBorder="1"/>
    <xf numFmtId="165" fontId="3" fillId="0" borderId="0" xfId="1" applyNumberFormat="1" applyFont="1"/>
    <xf numFmtId="0" fontId="14" fillId="0" borderId="0" xfId="2" applyFont="1" applyFill="1" applyBorder="1"/>
    <xf numFmtId="0" fontId="1" fillId="0" borderId="0" xfId="72"/>
    <xf numFmtId="0" fontId="1" fillId="0" borderId="0" xfId="72" applyAlignment="1">
      <alignment vertical="center"/>
    </xf>
    <xf numFmtId="0" fontId="2" fillId="0" borderId="0" xfId="72" applyFont="1"/>
    <xf numFmtId="0" fontId="1" fillId="0" borderId="0" xfId="72" applyFill="1"/>
    <xf numFmtId="5" fontId="19" fillId="2" borderId="4" xfId="72" applyNumberFormat="1" applyFont="1" applyFill="1" applyBorder="1" applyAlignment="1" applyProtection="1">
      <alignment vertical="center"/>
    </xf>
    <xf numFmtId="0" fontId="11" fillId="2" borderId="5" xfId="72" applyFont="1" applyFill="1" applyBorder="1" applyAlignment="1" applyProtection="1">
      <alignment horizontal="left"/>
    </xf>
    <xf numFmtId="0" fontId="3" fillId="0" borderId="0" xfId="72" applyFont="1" applyAlignment="1">
      <alignment horizontal="right"/>
    </xf>
    <xf numFmtId="5" fontId="13" fillId="0" borderId="4" xfId="72" applyNumberFormat="1" applyFont="1" applyFill="1" applyBorder="1" applyAlignment="1" applyProtection="1">
      <alignment vertical="center"/>
    </xf>
    <xf numFmtId="0" fontId="3" fillId="0" borderId="6" xfId="72" applyFont="1" applyBorder="1" applyAlignment="1" applyProtection="1">
      <alignment horizontal="left"/>
    </xf>
    <xf numFmtId="0" fontId="3" fillId="0" borderId="0" xfId="72" applyFont="1" applyAlignment="1" applyProtection="1">
      <alignment horizontal="right"/>
      <protection locked="0"/>
    </xf>
    <xf numFmtId="0" fontId="13" fillId="0" borderId="0" xfId="72" applyFont="1" applyFill="1" applyAlignment="1">
      <alignment vertical="center"/>
    </xf>
    <xf numFmtId="0" fontId="11" fillId="0" borderId="0" xfId="72" applyFont="1" applyBorder="1" applyAlignment="1" applyProtection="1">
      <alignment horizontal="left"/>
    </xf>
    <xf numFmtId="0" fontId="3" fillId="0" borderId="0" xfId="72" applyFont="1"/>
    <xf numFmtId="166" fontId="13" fillId="0" borderId="7" xfId="72" applyNumberFormat="1" applyFont="1" applyFill="1" applyBorder="1" applyAlignment="1">
      <alignment vertical="center"/>
    </xf>
    <xf numFmtId="0" fontId="3" fillId="0" borderId="8" xfId="72" applyFont="1" applyBorder="1" applyAlignment="1" applyProtection="1">
      <alignment horizontal="left"/>
    </xf>
    <xf numFmtId="0" fontId="3" fillId="0" borderId="9" xfId="72" quotePrefix="1" applyFont="1" applyBorder="1" applyAlignment="1" applyProtection="1">
      <alignment horizontal="left"/>
    </xf>
    <xf numFmtId="0" fontId="1" fillId="0" borderId="0" xfId="72" applyFill="1" applyAlignment="1">
      <alignment vertical="center"/>
    </xf>
    <xf numFmtId="0" fontId="11" fillId="0" borderId="0" xfId="72" applyFont="1" applyAlignment="1" applyProtection="1">
      <alignment horizontal="left"/>
    </xf>
    <xf numFmtId="0" fontId="3" fillId="0" borderId="0" xfId="72" applyFont="1" applyBorder="1"/>
    <xf numFmtId="167" fontId="13" fillId="0" borderId="4" xfId="22" applyNumberFormat="1" applyFont="1" applyFill="1" applyBorder="1" applyAlignment="1" applyProtection="1">
      <alignment vertical="center"/>
    </xf>
    <xf numFmtId="0" fontId="3" fillId="0" borderId="7" xfId="72" applyFont="1" applyBorder="1" applyAlignment="1" applyProtection="1">
      <alignment horizontal="left"/>
    </xf>
    <xf numFmtId="165" fontId="13" fillId="0" borderId="4" xfId="22" applyNumberFormat="1" applyFont="1" applyFill="1" applyBorder="1" applyAlignment="1" applyProtection="1">
      <alignment vertical="center"/>
    </xf>
    <xf numFmtId="0" fontId="20" fillId="0" borderId="0" xfId="72" applyFont="1" applyProtection="1">
      <protection locked="0"/>
    </xf>
    <xf numFmtId="0" fontId="3" fillId="0" borderId="10" xfId="72" applyFont="1" applyBorder="1" applyAlignment="1" applyProtection="1">
      <alignment horizontal="left"/>
    </xf>
    <xf numFmtId="7" fontId="13" fillId="0" borderId="4" xfId="72" applyNumberFormat="1" applyFont="1" applyFill="1" applyBorder="1" applyAlignment="1" applyProtection="1">
      <alignment vertical="center"/>
    </xf>
    <xf numFmtId="7" fontId="1" fillId="0" borderId="0" xfId="72" applyNumberFormat="1" applyAlignment="1">
      <alignment vertical="center"/>
    </xf>
    <xf numFmtId="43" fontId="13" fillId="0" borderId="4" xfId="22" applyFont="1" applyFill="1" applyBorder="1" applyAlignment="1" applyProtection="1">
      <alignment vertical="center"/>
    </xf>
    <xf numFmtId="0" fontId="3" fillId="0" borderId="0" xfId="72" applyFont="1" applyBorder="1" applyProtection="1"/>
    <xf numFmtId="0" fontId="21" fillId="0" borderId="0" xfId="72" applyFont="1"/>
    <xf numFmtId="0" fontId="22" fillId="2" borderId="7" xfId="72" applyFont="1" applyFill="1" applyBorder="1" applyAlignment="1">
      <alignment horizontal="center" vertical="center"/>
    </xf>
    <xf numFmtId="0" fontId="22" fillId="2" borderId="7" xfId="72" applyFont="1" applyFill="1" applyBorder="1"/>
    <xf numFmtId="0" fontId="22" fillId="0" borderId="0" xfId="72" applyFont="1"/>
    <xf numFmtId="0" fontId="1" fillId="0" borderId="11" xfId="72" applyBorder="1"/>
    <xf numFmtId="0" fontId="1" fillId="0" borderId="11" xfId="72" applyFill="1" applyBorder="1"/>
    <xf numFmtId="0" fontId="1" fillId="0" borderId="11" xfId="72" applyFill="1" applyBorder="1" applyAlignment="1">
      <alignment vertical="center"/>
    </xf>
    <xf numFmtId="165" fontId="1" fillId="0" borderId="11" xfId="72" applyNumberFormat="1" applyFill="1" applyBorder="1" applyAlignment="1">
      <alignment vertical="center"/>
    </xf>
    <xf numFmtId="0" fontId="1" fillId="0" borderId="11" xfId="72" applyBorder="1" applyAlignment="1">
      <alignment vertical="center"/>
    </xf>
    <xf numFmtId="0" fontId="2" fillId="0" borderId="11" xfId="72" applyFont="1" applyBorder="1"/>
    <xf numFmtId="5" fontId="19" fillId="0" borderId="0" xfId="72" applyNumberFormat="1" applyFont="1" applyFill="1" applyBorder="1" applyAlignment="1" applyProtection="1">
      <alignment vertical="center"/>
    </xf>
    <xf numFmtId="0" fontId="11" fillId="0" borderId="0" xfId="72" applyFont="1" applyFill="1" applyBorder="1" applyAlignment="1" applyProtection="1">
      <alignment horizontal="left"/>
    </xf>
    <xf numFmtId="0" fontId="3" fillId="0" borderId="0" xfId="72" applyFont="1" applyFill="1" applyAlignment="1">
      <alignment horizontal="right"/>
    </xf>
    <xf numFmtId="0" fontId="1" fillId="0" borderId="0" xfId="72" applyFill="1" applyBorder="1"/>
    <xf numFmtId="165" fontId="1" fillId="0" borderId="0" xfId="72" applyNumberFormat="1" applyFill="1" applyBorder="1"/>
    <xf numFmtId="165" fontId="13" fillId="0" borderId="0" xfId="22" applyNumberFormat="1" applyFont="1" applyFill="1" applyBorder="1" applyAlignment="1" applyProtection="1">
      <alignment vertical="center"/>
    </xf>
    <xf numFmtId="165" fontId="21" fillId="0" borderId="0" xfId="22" applyNumberFormat="1" applyFont="1" applyFill="1" applyBorder="1"/>
    <xf numFmtId="165" fontId="1" fillId="0" borderId="0" xfId="72" applyNumberFormat="1" applyFill="1" applyAlignment="1">
      <alignment vertical="center"/>
    </xf>
    <xf numFmtId="0" fontId="20" fillId="0" borderId="0" xfId="72" applyFont="1" applyFill="1" applyBorder="1" applyAlignment="1" applyProtection="1">
      <alignment vertical="center"/>
      <protection locked="0"/>
    </xf>
    <xf numFmtId="0" fontId="20" fillId="0" borderId="0" xfId="72" applyFont="1" applyBorder="1" applyAlignment="1" applyProtection="1">
      <alignment vertical="center"/>
      <protection locked="0"/>
    </xf>
    <xf numFmtId="0" fontId="2" fillId="0" borderId="0" xfId="72" applyFont="1" applyFill="1"/>
    <xf numFmtId="0" fontId="2" fillId="0" borderId="0" xfId="72" applyFont="1" applyFill="1" applyBorder="1"/>
    <xf numFmtId="0" fontId="22" fillId="2" borderId="7" xfId="72" applyFont="1" applyFill="1" applyBorder="1" applyAlignment="1">
      <alignment horizontal="center" vertical="center" wrapText="1"/>
    </xf>
    <xf numFmtId="165" fontId="1" fillId="0" borderId="0" xfId="72" applyNumberFormat="1"/>
    <xf numFmtId="5" fontId="13" fillId="0" borderId="0" xfId="72" applyNumberFormat="1" applyFont="1" applyFill="1" applyBorder="1" applyAlignment="1" applyProtection="1">
      <alignment vertical="center"/>
    </xf>
    <xf numFmtId="165" fontId="1" fillId="0" borderId="0" xfId="72" applyNumberFormat="1" applyFill="1"/>
    <xf numFmtId="165" fontId="21" fillId="0" borderId="0" xfId="72" applyNumberFormat="1" applyFont="1" applyFill="1" applyBorder="1"/>
    <xf numFmtId="165" fontId="0" fillId="0" borderId="0" xfId="22" applyNumberFormat="1" applyFont="1" applyFill="1" applyAlignment="1">
      <alignment vertical="center"/>
    </xf>
    <xf numFmtId="43" fontId="1" fillId="0" borderId="0" xfId="72" applyNumberFormat="1"/>
    <xf numFmtId="167" fontId="21" fillId="0" borderId="0" xfId="72" applyNumberFormat="1" applyFont="1" applyFill="1" applyBorder="1"/>
    <xf numFmtId="1" fontId="1" fillId="0" borderId="0" xfId="72" applyNumberFormat="1" applyFill="1"/>
    <xf numFmtId="1" fontId="13" fillId="0" borderId="0" xfId="22" applyNumberFormat="1" applyFont="1" applyFill="1" applyBorder="1" applyAlignment="1" applyProtection="1">
      <alignment vertical="center"/>
    </xf>
    <xf numFmtId="1" fontId="1" fillId="0" borderId="0" xfId="72" applyNumberFormat="1"/>
    <xf numFmtId="165" fontId="0" fillId="0" borderId="0" xfId="22" applyNumberFormat="1" applyFont="1" applyBorder="1"/>
    <xf numFmtId="0" fontId="2" fillId="0" borderId="0" xfId="72" applyFont="1" applyAlignment="1">
      <alignment vertical="center" wrapText="1"/>
    </xf>
    <xf numFmtId="0" fontId="4" fillId="0" borderId="0" xfId="72" applyFont="1" applyAlignment="1" applyProtection="1">
      <alignment horizontal="left"/>
    </xf>
    <xf numFmtId="0" fontId="1" fillId="0" borderId="0" xfId="43"/>
    <xf numFmtId="37" fontId="1" fillId="0" borderId="0" xfId="95" applyFont="1"/>
    <xf numFmtId="0" fontId="1" fillId="0" borderId="0" xfId="43" applyFont="1"/>
    <xf numFmtId="37" fontId="1" fillId="0" borderId="0" xfId="43" applyNumberFormat="1" applyFont="1"/>
    <xf numFmtId="0" fontId="1" fillId="0" borderId="0" xfId="43" applyFont="1" applyAlignment="1">
      <alignment horizontal="left"/>
    </xf>
    <xf numFmtId="0" fontId="1" fillId="0" borderId="3" xfId="43" applyBorder="1"/>
    <xf numFmtId="37" fontId="1" fillId="0" borderId="3" xfId="43" applyNumberFormat="1" applyBorder="1"/>
    <xf numFmtId="37" fontId="1" fillId="0" borderId="3" xfId="95" applyFont="1" applyBorder="1"/>
    <xf numFmtId="0" fontId="1" fillId="0" borderId="3" xfId="43" applyBorder="1" applyAlignment="1">
      <alignment horizontal="left"/>
    </xf>
    <xf numFmtId="37" fontId="1" fillId="0" borderId="0" xfId="43" applyNumberFormat="1"/>
    <xf numFmtId="0" fontId="1" fillId="0" borderId="0" xfId="43" applyAlignment="1">
      <alignment horizontal="left"/>
    </xf>
    <xf numFmtId="0" fontId="1" fillId="0" borderId="0" xfId="46"/>
    <xf numFmtId="5" fontId="1" fillId="0" borderId="1" xfId="46" applyNumberFormat="1" applyBorder="1"/>
    <xf numFmtId="5" fontId="1" fillId="0" borderId="0" xfId="46" applyNumberFormat="1"/>
    <xf numFmtId="0" fontId="1" fillId="0" borderId="1" xfId="46" applyBorder="1"/>
    <xf numFmtId="0" fontId="1" fillId="0" borderId="1" xfId="46" applyBorder="1" applyAlignment="1">
      <alignment horizontal="center" wrapText="1"/>
    </xf>
    <xf numFmtId="0" fontId="1" fillId="0" borderId="1" xfId="46" applyFont="1" applyBorder="1" applyAlignment="1">
      <alignment horizontal="center" wrapText="1"/>
    </xf>
    <xf numFmtId="0" fontId="1" fillId="0" borderId="0" xfId="46" applyAlignment="1">
      <alignment horizontal="center" wrapText="1"/>
    </xf>
    <xf numFmtId="0" fontId="1" fillId="0" borderId="12" xfId="46" applyBorder="1" applyAlignment="1">
      <alignment vertical="center"/>
    </xf>
    <xf numFmtId="0" fontId="1" fillId="0" borderId="0" xfId="46" applyFont="1"/>
    <xf numFmtId="0" fontId="1" fillId="0" borderId="0" xfId="46" applyFont="1" applyAlignment="1">
      <alignment horizontal="center"/>
    </xf>
    <xf numFmtId="0" fontId="1" fillId="0" borderId="0" xfId="46" applyAlignment="1">
      <alignment horizontal="center"/>
    </xf>
    <xf numFmtId="0" fontId="1" fillId="0" borderId="0" xfId="73"/>
    <xf numFmtId="0" fontId="1" fillId="0" borderId="0" xfId="73" applyAlignment="1">
      <alignment vertical="center"/>
    </xf>
    <xf numFmtId="44" fontId="1" fillId="0" borderId="0" xfId="73" applyNumberFormat="1" applyAlignment="1">
      <alignment vertical="center"/>
    </xf>
    <xf numFmtId="5" fontId="1" fillId="0" borderId="0" xfId="73" applyNumberFormat="1" applyAlignment="1">
      <alignment vertical="center"/>
    </xf>
    <xf numFmtId="0" fontId="1" fillId="0" borderId="0" xfId="73" applyFill="1"/>
    <xf numFmtId="0" fontId="1" fillId="0" borderId="0" xfId="73" applyFill="1" applyAlignment="1">
      <alignment vertical="center"/>
    </xf>
    <xf numFmtId="165" fontId="1" fillId="0" borderId="0" xfId="73" applyNumberFormat="1" applyFill="1" applyAlignment="1">
      <alignment vertical="center"/>
    </xf>
    <xf numFmtId="0" fontId="2" fillId="0" borderId="0" xfId="73" applyFont="1"/>
    <xf numFmtId="168" fontId="1" fillId="0" borderId="0" xfId="73" applyNumberFormat="1" applyFill="1"/>
    <xf numFmtId="0" fontId="2" fillId="0" borderId="0" xfId="73" applyFont="1" applyFill="1"/>
    <xf numFmtId="168" fontId="2" fillId="0" borderId="0" xfId="73" applyNumberFormat="1" applyFont="1" applyFill="1"/>
    <xf numFmtId="168" fontId="22" fillId="2" borderId="1" xfId="38" applyNumberFormat="1" applyFont="1" applyFill="1" applyBorder="1" applyAlignment="1">
      <alignment vertical="center"/>
    </xf>
    <xf numFmtId="0" fontId="22" fillId="2" borderId="1" xfId="73" applyFont="1" applyFill="1" applyBorder="1"/>
    <xf numFmtId="0" fontId="22" fillId="0" borderId="0" xfId="73" applyFont="1"/>
    <xf numFmtId="0" fontId="21" fillId="0" borderId="0" xfId="73" applyFont="1"/>
    <xf numFmtId="5" fontId="13" fillId="0" borderId="4" xfId="73" applyNumberFormat="1" applyFont="1" applyFill="1" applyBorder="1" applyAlignment="1" applyProtection="1">
      <alignment vertical="center"/>
    </xf>
    <xf numFmtId="0" fontId="3" fillId="0" borderId="5" xfId="73" applyFont="1" applyBorder="1" applyAlignment="1" applyProtection="1">
      <alignment horizontal="left"/>
    </xf>
    <xf numFmtId="0" fontId="3" fillId="0" borderId="0" xfId="73" applyFont="1" applyAlignment="1">
      <alignment horizontal="right"/>
    </xf>
    <xf numFmtId="0" fontId="3" fillId="0" borderId="6" xfId="73" applyFont="1" applyBorder="1" applyAlignment="1" applyProtection="1">
      <alignment horizontal="left"/>
    </xf>
    <xf numFmtId="0" fontId="3" fillId="0" borderId="0" xfId="73" applyFont="1" applyAlignment="1" applyProtection="1">
      <alignment horizontal="right"/>
      <protection locked="0"/>
    </xf>
    <xf numFmtId="0" fontId="13" fillId="0" borderId="0" xfId="73" applyFont="1" applyFill="1" applyAlignment="1">
      <alignment vertical="center"/>
    </xf>
    <xf numFmtId="0" fontId="11" fillId="0" borderId="0" xfId="73" applyFont="1" applyBorder="1" applyAlignment="1" applyProtection="1">
      <alignment horizontal="left"/>
    </xf>
    <xf numFmtId="0" fontId="3" fillId="0" borderId="0" xfId="73" applyFont="1"/>
    <xf numFmtId="0" fontId="1" fillId="0" borderId="0" xfId="73" applyFill="1" applyBorder="1"/>
    <xf numFmtId="166" fontId="13" fillId="0" borderId="7" xfId="73" applyNumberFormat="1" applyFont="1" applyFill="1" applyBorder="1" applyAlignment="1">
      <alignment vertical="center"/>
    </xf>
    <xf numFmtId="0" fontId="3" fillId="0" borderId="8" xfId="73" applyFont="1" applyBorder="1" applyAlignment="1" applyProtection="1">
      <alignment horizontal="left"/>
    </xf>
    <xf numFmtId="165" fontId="1" fillId="0" borderId="0" xfId="73" applyNumberFormat="1" applyFill="1" applyBorder="1"/>
    <xf numFmtId="0" fontId="3" fillId="0" borderId="9" xfId="73" quotePrefix="1" applyFont="1" applyBorder="1" applyAlignment="1" applyProtection="1">
      <alignment horizontal="left"/>
    </xf>
    <xf numFmtId="165" fontId="13" fillId="0" borderId="0" xfId="23" applyNumberFormat="1" applyFont="1" applyFill="1" applyBorder="1" applyAlignment="1" applyProtection="1">
      <alignment vertical="center"/>
    </xf>
    <xf numFmtId="0" fontId="11" fillId="0" borderId="0" xfId="73" applyFont="1" applyAlignment="1" applyProtection="1">
      <alignment horizontal="left"/>
    </xf>
    <xf numFmtId="0" fontId="3" fillId="0" borderId="0" xfId="73" applyFont="1" applyBorder="1"/>
    <xf numFmtId="165" fontId="21" fillId="0" borderId="0" xfId="23" applyNumberFormat="1" applyFont="1" applyFill="1" applyBorder="1"/>
    <xf numFmtId="167" fontId="13" fillId="0" borderId="4" xfId="23" applyNumberFormat="1" applyFont="1" applyFill="1" applyBorder="1" applyAlignment="1" applyProtection="1">
      <alignment vertical="center"/>
    </xf>
    <xf numFmtId="0" fontId="3" fillId="0" borderId="7" xfId="73" applyFont="1" applyBorder="1" applyAlignment="1" applyProtection="1">
      <alignment horizontal="left"/>
    </xf>
    <xf numFmtId="165" fontId="13" fillId="0" borderId="4" xfId="23" applyNumberFormat="1" applyFont="1" applyFill="1" applyBorder="1" applyAlignment="1" applyProtection="1">
      <alignment vertical="center"/>
    </xf>
    <xf numFmtId="0" fontId="20" fillId="0" borderId="0" xfId="73" applyFont="1" applyProtection="1">
      <protection locked="0"/>
    </xf>
    <xf numFmtId="0" fontId="3" fillId="0" borderId="10" xfId="73" applyFont="1" applyBorder="1" applyAlignment="1" applyProtection="1">
      <alignment horizontal="left"/>
    </xf>
    <xf numFmtId="7" fontId="13" fillId="0" borderId="4" xfId="73" applyNumberFormat="1" applyFont="1" applyFill="1" applyBorder="1" applyAlignment="1" applyProtection="1">
      <alignment vertical="center"/>
    </xf>
    <xf numFmtId="43" fontId="13" fillId="0" borderId="4" xfId="23" applyFont="1" applyFill="1" applyBorder="1" applyAlignment="1" applyProtection="1">
      <alignment vertical="center"/>
    </xf>
    <xf numFmtId="0" fontId="20" fillId="0" borderId="0" xfId="73" applyFont="1" applyFill="1" applyBorder="1" applyAlignment="1" applyProtection="1">
      <alignment vertical="center"/>
      <protection locked="0"/>
    </xf>
    <xf numFmtId="0" fontId="3" fillId="0" borderId="0" xfId="73" applyFont="1" applyBorder="1" applyProtection="1"/>
    <xf numFmtId="0" fontId="2" fillId="0" borderId="0" xfId="73" applyFont="1" applyFill="1" applyBorder="1"/>
    <xf numFmtId="0" fontId="22" fillId="2" borderId="7" xfId="73" applyFont="1" applyFill="1" applyBorder="1" applyAlignment="1">
      <alignment horizontal="center" vertical="center"/>
    </xf>
    <xf numFmtId="0" fontId="22" fillId="2" borderId="7" xfId="73" applyFont="1" applyFill="1" applyBorder="1" applyAlignment="1">
      <alignment horizontal="center" vertical="center" wrapText="1"/>
    </xf>
    <xf numFmtId="0" fontId="22" fillId="2" borderId="7" xfId="73" applyFont="1" applyFill="1" applyBorder="1"/>
    <xf numFmtId="0" fontId="1" fillId="0" borderId="11" xfId="73" applyBorder="1"/>
    <xf numFmtId="0" fontId="1" fillId="0" borderId="11" xfId="73" applyFill="1" applyBorder="1"/>
    <xf numFmtId="0" fontId="1" fillId="0" borderId="11" xfId="73" applyFill="1" applyBorder="1" applyAlignment="1">
      <alignment vertical="center"/>
    </xf>
    <xf numFmtId="168" fontId="22" fillId="2" borderId="7" xfId="38" applyNumberFormat="1" applyFont="1" applyFill="1" applyBorder="1" applyAlignment="1">
      <alignment vertical="center"/>
    </xf>
    <xf numFmtId="165" fontId="1" fillId="0" borderId="0" xfId="73" applyNumberFormat="1"/>
    <xf numFmtId="5" fontId="13" fillId="0" borderId="0" xfId="73" applyNumberFormat="1" applyFont="1" applyFill="1" applyBorder="1" applyAlignment="1" applyProtection="1">
      <alignment vertical="center"/>
    </xf>
    <xf numFmtId="165" fontId="1" fillId="0" borderId="0" xfId="73" applyNumberFormat="1" applyFill="1"/>
    <xf numFmtId="165" fontId="21" fillId="0" borderId="0" xfId="73" applyNumberFormat="1" applyFont="1" applyFill="1" applyBorder="1"/>
    <xf numFmtId="165" fontId="0" fillId="0" borderId="0" xfId="23" applyNumberFormat="1" applyFont="1" applyFill="1" applyAlignment="1">
      <alignment vertical="center"/>
    </xf>
    <xf numFmtId="10" fontId="1" fillId="0" borderId="0" xfId="78" applyNumberFormat="1" applyFont="1" applyFill="1" applyAlignment="1">
      <alignment vertical="center"/>
    </xf>
    <xf numFmtId="7" fontId="1" fillId="0" borderId="0" xfId="73" applyNumberFormat="1" applyFill="1" applyAlignment="1">
      <alignment vertical="center"/>
    </xf>
    <xf numFmtId="43" fontId="1" fillId="0" borderId="0" xfId="73" applyNumberFormat="1"/>
    <xf numFmtId="167" fontId="21" fillId="0" borderId="0" xfId="73" applyNumberFormat="1" applyFont="1" applyFill="1" applyBorder="1"/>
    <xf numFmtId="1" fontId="1" fillId="0" borderId="0" xfId="73" applyNumberFormat="1" applyFill="1"/>
    <xf numFmtId="1" fontId="13" fillId="0" borderId="0" xfId="23" applyNumberFormat="1" applyFont="1" applyFill="1" applyBorder="1" applyAlignment="1" applyProtection="1">
      <alignment vertical="center"/>
    </xf>
    <xf numFmtId="1" fontId="1" fillId="0" borderId="0" xfId="73" applyNumberFormat="1"/>
    <xf numFmtId="165" fontId="0" fillId="0" borderId="0" xfId="23" applyNumberFormat="1" applyFont="1" applyBorder="1"/>
    <xf numFmtId="0" fontId="20" fillId="0" borderId="0" xfId="73" applyFont="1" applyBorder="1" applyAlignment="1" applyProtection="1">
      <alignment vertical="center"/>
      <protection locked="0"/>
    </xf>
    <xf numFmtId="0" fontId="2" fillId="0" borderId="0" xfId="73" applyFont="1" applyAlignment="1">
      <alignment vertical="center" wrapText="1"/>
    </xf>
    <xf numFmtId="0" fontId="4" fillId="0" borderId="0" xfId="73" applyFont="1" applyAlignment="1" applyProtection="1">
      <alignment horizontal="left"/>
    </xf>
    <xf numFmtId="0" fontId="2" fillId="0" borderId="0" xfId="43" applyFont="1"/>
    <xf numFmtId="169" fontId="1" fillId="0" borderId="0" xfId="78" applyNumberFormat="1" applyFont="1"/>
    <xf numFmtId="37" fontId="1" fillId="0" borderId="3" xfId="43" applyNumberFormat="1" applyFont="1" applyBorder="1"/>
    <xf numFmtId="0" fontId="1" fillId="0" borderId="3" xfId="43" applyFill="1" applyBorder="1" applyAlignment="1">
      <alignment horizontal="left"/>
    </xf>
    <xf numFmtId="0" fontId="1" fillId="0" borderId="0" xfId="43" applyFill="1" applyAlignment="1">
      <alignment horizontal="left"/>
    </xf>
    <xf numFmtId="0" fontId="23" fillId="0" borderId="0" xfId="96" applyFont="1"/>
    <xf numFmtId="0" fontId="24" fillId="0" borderId="0" xfId="96" applyFont="1"/>
    <xf numFmtId="165" fontId="23" fillId="0" borderId="0" xfId="5" applyNumberFormat="1" applyFont="1" applyFill="1" applyAlignment="1">
      <alignment horizontal="center"/>
    </xf>
    <xf numFmtId="0" fontId="23" fillId="0" borderId="0" xfId="96" applyFont="1" applyFill="1"/>
    <xf numFmtId="0" fontId="23" fillId="0" borderId="0" xfId="96" applyFont="1" applyFill="1" applyAlignment="1">
      <alignment horizontal="right"/>
    </xf>
    <xf numFmtId="0" fontId="24" fillId="0" borderId="0" xfId="45" applyFont="1"/>
    <xf numFmtId="0" fontId="23" fillId="0" borderId="0" xfId="45" applyFont="1"/>
    <xf numFmtId="0" fontId="23" fillId="0" borderId="0" xfId="96" applyFont="1" applyFill="1" applyAlignment="1">
      <alignment horizontal="center"/>
    </xf>
    <xf numFmtId="0" fontId="24" fillId="0" borderId="0" xfId="96" applyFont="1" applyFill="1"/>
    <xf numFmtId="0" fontId="24" fillId="0" borderId="0" xfId="45" applyFont="1" applyBorder="1"/>
    <xf numFmtId="0" fontId="23" fillId="0" borderId="0" xfId="45" applyFont="1" applyBorder="1"/>
    <xf numFmtId="0" fontId="23" fillId="2" borderId="0" xfId="96" applyFont="1" applyFill="1" applyAlignment="1">
      <alignment horizontal="center"/>
    </xf>
    <xf numFmtId="0" fontId="24" fillId="0" borderId="0" xfId="96" applyFont="1" applyAlignment="1">
      <alignment horizontal="center"/>
    </xf>
    <xf numFmtId="0" fontId="24" fillId="0" borderId="0" xfId="96" applyFont="1" applyFill="1" applyAlignment="1">
      <alignment horizontal="center"/>
    </xf>
    <xf numFmtId="165" fontId="24" fillId="0" borderId="0" xfId="5" applyNumberFormat="1" applyFont="1" applyFill="1" applyAlignment="1">
      <alignment horizontal="center"/>
    </xf>
    <xf numFmtId="5" fontId="23" fillId="0" borderId="0" xfId="96" applyNumberFormat="1" applyFont="1" applyAlignment="1">
      <alignment horizontal="center"/>
    </xf>
    <xf numFmtId="0" fontId="24" fillId="0" borderId="0" xfId="96" applyFont="1" applyAlignment="1">
      <alignment horizontal="left"/>
    </xf>
    <xf numFmtId="0" fontId="24" fillId="0" borderId="0" xfId="96" applyFont="1" applyAlignment="1">
      <alignment horizontal="center" wrapText="1"/>
    </xf>
    <xf numFmtId="165" fontId="24" fillId="0" borderId="0" xfId="5" applyNumberFormat="1" applyFont="1" applyFill="1" applyAlignment="1">
      <alignment horizontal="center" wrapText="1"/>
    </xf>
    <xf numFmtId="0" fontId="24" fillId="0" borderId="0" xfId="96" applyFont="1" applyAlignment="1">
      <alignment wrapText="1"/>
    </xf>
    <xf numFmtId="0" fontId="23" fillId="0" borderId="0" xfId="96" applyFont="1" applyAlignment="1">
      <alignment wrapText="1"/>
    </xf>
    <xf numFmtId="165" fontId="24" fillId="0" borderId="0" xfId="5" applyNumberFormat="1" applyFont="1" applyFill="1"/>
    <xf numFmtId="3" fontId="24" fillId="0" borderId="0" xfId="96" applyNumberFormat="1" applyFont="1" applyFill="1"/>
    <xf numFmtId="3" fontId="24" fillId="0" borderId="0" xfId="96" applyNumberFormat="1" applyFont="1"/>
    <xf numFmtId="170" fontId="24" fillId="0" borderId="0" xfId="96" applyNumberFormat="1" applyFont="1"/>
    <xf numFmtId="170" fontId="24" fillId="0" borderId="0" xfId="45" applyNumberFormat="1" applyFont="1"/>
    <xf numFmtId="0" fontId="24" fillId="0" borderId="0" xfId="96" applyFont="1" applyBorder="1"/>
    <xf numFmtId="165" fontId="24" fillId="0" borderId="0" xfId="4" applyNumberFormat="1" applyFont="1"/>
    <xf numFmtId="10" fontId="24" fillId="0" borderId="0" xfId="92" applyNumberFormat="1" applyFont="1" applyBorder="1"/>
    <xf numFmtId="5" fontId="23" fillId="0" borderId="0" xfId="96" applyNumberFormat="1" applyFont="1"/>
    <xf numFmtId="5" fontId="23" fillId="0" borderId="0" xfId="96" applyNumberFormat="1" applyFont="1" applyFill="1"/>
    <xf numFmtId="0" fontId="23" fillId="0" borderId="0" xfId="96" applyFont="1" applyBorder="1"/>
    <xf numFmtId="3" fontId="23" fillId="0" borderId="0" xfId="96" applyNumberFormat="1" applyFont="1" applyFill="1"/>
    <xf numFmtId="3" fontId="23" fillId="0" borderId="0" xfId="96" applyNumberFormat="1" applyFont="1"/>
    <xf numFmtId="165" fontId="23" fillId="0" borderId="0" xfId="5" applyNumberFormat="1" applyFont="1" applyFill="1"/>
    <xf numFmtId="170" fontId="23" fillId="0" borderId="0" xfId="96" applyNumberFormat="1" applyFont="1"/>
    <xf numFmtId="0" fontId="24" fillId="2" borderId="0" xfId="45" applyFont="1" applyFill="1"/>
    <xf numFmtId="10" fontId="23" fillId="0" borderId="0" xfId="92" applyNumberFormat="1" applyFont="1"/>
    <xf numFmtId="10" fontId="23" fillId="0" borderId="0" xfId="92" applyNumberFormat="1" applyFont="1" applyBorder="1"/>
    <xf numFmtId="168" fontId="23" fillId="0" borderId="0" xfId="27" applyNumberFormat="1" applyFont="1" applyBorder="1"/>
    <xf numFmtId="0" fontId="24" fillId="0" borderId="0" xfId="96" applyFont="1" applyFill="1" applyAlignment="1">
      <alignment horizontal="right"/>
    </xf>
    <xf numFmtId="3" fontId="24" fillId="0" borderId="0" xfId="96" applyNumberFormat="1" applyFont="1" applyBorder="1"/>
    <xf numFmtId="170" fontId="23" fillId="0" borderId="0" xfId="96" applyNumberFormat="1" applyFont="1" applyFill="1"/>
    <xf numFmtId="0" fontId="23" fillId="0" borderId="0" xfId="96" applyFont="1" applyFill="1" applyBorder="1"/>
    <xf numFmtId="0" fontId="24" fillId="0" borderId="0" xfId="45" applyFont="1" applyFill="1" applyBorder="1"/>
    <xf numFmtId="44" fontId="24" fillId="0" borderId="0" xfId="27" applyFont="1" applyFill="1" applyBorder="1"/>
    <xf numFmtId="171" fontId="24" fillId="0" borderId="0" xfId="96" applyNumberFormat="1" applyFont="1" applyBorder="1"/>
    <xf numFmtId="44" fontId="24" fillId="0" borderId="0" xfId="96" applyNumberFormat="1" applyFont="1" applyBorder="1"/>
    <xf numFmtId="165" fontId="24" fillId="0" borderId="0" xfId="5" applyNumberFormat="1" applyFont="1" applyBorder="1"/>
    <xf numFmtId="0" fontId="3" fillId="0" borderId="0" xfId="2" applyFont="1" applyFill="1" applyBorder="1" applyAlignment="1">
      <alignment horizontal="left"/>
    </xf>
    <xf numFmtId="0" fontId="3" fillId="0" borderId="0" xfId="2" applyBorder="1" applyAlignment="1"/>
    <xf numFmtId="0" fontId="9" fillId="0" borderId="0" xfId="2" applyFont="1" applyFill="1" applyBorder="1" applyAlignment="1">
      <alignment horizontal="left"/>
    </xf>
    <xf numFmtId="0" fontId="9" fillId="0" borderId="0" xfId="2" applyFont="1" applyBorder="1" applyAlignment="1"/>
    <xf numFmtId="0" fontId="10" fillId="0" borderId="0" xfId="2" applyFont="1" applyFill="1" applyBorder="1" applyAlignment="1">
      <alignment horizontal="left"/>
    </xf>
    <xf numFmtId="0" fontId="10" fillId="0" borderId="0" xfId="2" applyFont="1" applyBorder="1" applyAlignment="1"/>
  </cellXfs>
  <cellStyles count="98">
    <cellStyle name="Comma 10" xfId="4"/>
    <cellStyle name="Comma 11" xfId="95"/>
    <cellStyle name="Comma 2" xfId="5"/>
    <cellStyle name="Comma 2 2" xfId="6"/>
    <cellStyle name="Comma 2 3" xfId="7"/>
    <cellStyle name="Comma 2 4" xfId="8"/>
    <cellStyle name="Comma 2 5" xfId="9"/>
    <cellStyle name="Comma 3" xfId="10"/>
    <cellStyle name="Comma 3 2" xfId="11"/>
    <cellStyle name="Comma 3 3" xfId="12"/>
    <cellStyle name="Comma 4" xfId="13"/>
    <cellStyle name="Comma 4 2" xfId="14"/>
    <cellStyle name="Comma 4 3" xfId="15"/>
    <cellStyle name="Comma 5" xfId="16"/>
    <cellStyle name="Comma 5 2" xfId="17"/>
    <cellStyle name="Comma 6" xfId="18"/>
    <cellStyle name="Comma 7" xfId="19"/>
    <cellStyle name="Comma 7 2" xfId="20"/>
    <cellStyle name="Comma 8" xfId="21"/>
    <cellStyle name="Comma 9" xfId="22"/>
    <cellStyle name="Comma 9 2" xfId="23"/>
    <cellStyle name="Currency" xfId="1" builtinId="4"/>
    <cellStyle name="Currency 2" xfId="24"/>
    <cellStyle name="Currency 2 2" xfId="25"/>
    <cellStyle name="Currency 2 3" xfId="26"/>
    <cellStyle name="Currency 2 4" xfId="27"/>
    <cellStyle name="Currency 2 5" xfId="28"/>
    <cellStyle name="Currency 3" xfId="29"/>
    <cellStyle name="Currency 3 2" xfId="30"/>
    <cellStyle name="Currency 3 3" xfId="31"/>
    <cellStyle name="Currency 4" xfId="32"/>
    <cellStyle name="Currency 4 2" xfId="33"/>
    <cellStyle name="Currency 4 3" xfId="34"/>
    <cellStyle name="Currency 5" xfId="35"/>
    <cellStyle name="Currency 6" xfId="36"/>
    <cellStyle name="Currency 7" xfId="37"/>
    <cellStyle name="Currency 7 2" xfId="38"/>
    <cellStyle name="Currency 8" xfId="39"/>
    <cellStyle name="Currency 9" xfId="40"/>
    <cellStyle name="Normal" xfId="0" builtinId="0"/>
    <cellStyle name="Normal 10" xfId="41"/>
    <cellStyle name="Normal 10 10" xfId="42"/>
    <cellStyle name="Normal 10 2" xfId="43"/>
    <cellStyle name="Normal 11" xfId="44"/>
    <cellStyle name="Normal 12" xfId="45"/>
    <cellStyle name="Normal 13" xfId="46"/>
    <cellStyle name="Normal 15" xfId="47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54"/>
    <cellStyle name="Normal 4 2" xfId="2"/>
    <cellStyle name="Normal 4 2 2" xfId="55"/>
    <cellStyle name="Normal 4 2_Sheet2" xfId="56"/>
    <cellStyle name="Normal 4 3" xfId="57"/>
    <cellStyle name="Normal 4 4" xfId="58"/>
    <cellStyle name="Normal 4_Sheet2" xfId="59"/>
    <cellStyle name="Normal 5" xfId="60"/>
    <cellStyle name="Normal 5 2" xfId="61"/>
    <cellStyle name="Normal 5 3" xfId="62"/>
    <cellStyle name="Normal 5 4" xfId="63"/>
    <cellStyle name="Normal 5 5" xfId="64"/>
    <cellStyle name="Normal 5_Sheet2" xfId="65"/>
    <cellStyle name="Normal 6" xfId="66"/>
    <cellStyle name="Normal 6 2" xfId="67"/>
    <cellStyle name="Normal 65" xfId="68"/>
    <cellStyle name="Normal 7" xfId="69"/>
    <cellStyle name="Normal 7 2" xfId="70"/>
    <cellStyle name="Normal 8" xfId="71"/>
    <cellStyle name="Normal 9" xfId="72"/>
    <cellStyle name="Normal 9 2" xfId="73"/>
    <cellStyle name="Normal 94" xfId="74"/>
    <cellStyle name="Normal_IP Disproport share 08_09 rates" xfId="96"/>
    <cellStyle name="Normal_UCC DSH 12-31-07 Qt Payments" xfId="3"/>
    <cellStyle name="Percent 2" xfId="75"/>
    <cellStyle name="Percent 2 2" xfId="76"/>
    <cellStyle name="Percent 2 3" xfId="77"/>
    <cellStyle name="Percent 3" xfId="78"/>
    <cellStyle name="Percent 3 2" xfId="79"/>
    <cellStyle name="Percent 3 3" xfId="80"/>
    <cellStyle name="Percent 4" xfId="81"/>
    <cellStyle name="Percent 4 2" xfId="82"/>
    <cellStyle name="Percent 4 3" xfId="83"/>
    <cellStyle name="Percent 5" xfId="84"/>
    <cellStyle name="Percent 5 2" xfId="85"/>
    <cellStyle name="Percent 5 3" xfId="86"/>
    <cellStyle name="Percent 5 4" xfId="87"/>
    <cellStyle name="Percent 5 5" xfId="88"/>
    <cellStyle name="Percent 6" xfId="89"/>
    <cellStyle name="Percent 6 2" xfId="90"/>
    <cellStyle name="Percent 7" xfId="91"/>
    <cellStyle name="Percent 8" xfId="92"/>
    <cellStyle name="rowhead_tbls1_13_a" xfId="93"/>
    <cellStyle name="Style 1" xfId="97"/>
    <cellStyle name="tablename" xfId="94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zoomScaleNormal="100" zoomScaleSheetLayoutView="100" workbookViewId="0"/>
  </sheetViews>
  <sheetFormatPr defaultColWidth="9.109375" defaultRowHeight="14.4" x14ac:dyDescent="0.3"/>
  <cols>
    <col min="1" max="1" width="16.44140625" style="216" customWidth="1"/>
    <col min="2" max="2" width="14.5546875" style="216" customWidth="1"/>
    <col min="3" max="3" width="11.109375" style="216" bestFit="1" customWidth="1"/>
    <col min="4" max="4" width="10" style="216" customWidth="1"/>
    <col min="5" max="5" width="14.109375" style="216" customWidth="1"/>
    <col min="6" max="6" width="11.6640625" style="216" customWidth="1"/>
    <col min="7" max="7" width="1.6640625" style="216" customWidth="1"/>
    <col min="8" max="8" width="10.5546875" style="216" bestFit="1" customWidth="1"/>
    <col min="9" max="9" width="9.109375" style="216" customWidth="1"/>
    <col min="10" max="10" width="11.6640625" style="217" customWidth="1"/>
    <col min="11" max="11" width="10.109375" style="216" customWidth="1"/>
    <col min="12" max="13" width="9.109375" style="216"/>
    <col min="14" max="14" width="9.5546875" style="216" bestFit="1" customWidth="1"/>
    <col min="15" max="16384" width="9.109375" style="216"/>
  </cols>
  <sheetData>
    <row r="1" spans="1:14" ht="19.5" customHeight="1" x14ac:dyDescent="0.3">
      <c r="A1" s="211" t="s">
        <v>187</v>
      </c>
      <c r="B1" s="212"/>
      <c r="C1" s="212"/>
      <c r="D1" s="212"/>
      <c r="E1" s="213"/>
      <c r="F1" s="214"/>
      <c r="G1" s="215"/>
      <c r="H1" s="212"/>
    </row>
    <row r="2" spans="1:14" ht="7.5" customHeight="1" x14ac:dyDescent="0.3">
      <c r="A2" s="214"/>
      <c r="B2" s="218"/>
      <c r="C2" s="218"/>
      <c r="D2" s="218"/>
      <c r="E2" s="213"/>
      <c r="F2" s="219"/>
      <c r="G2" s="218"/>
      <c r="H2" s="212"/>
      <c r="I2" s="220"/>
      <c r="J2" s="221"/>
    </row>
    <row r="3" spans="1:14" x14ac:dyDescent="0.3">
      <c r="A3" s="211" t="s">
        <v>161</v>
      </c>
      <c r="B3" s="223"/>
      <c r="C3" s="224"/>
      <c r="D3" s="223"/>
      <c r="E3" s="225"/>
      <c r="F3" s="223"/>
      <c r="G3" s="222"/>
      <c r="H3" s="223"/>
      <c r="I3" s="223"/>
      <c r="J3" s="226">
        <v>100000</v>
      </c>
    </row>
    <row r="4" spans="1:14" ht="43.2" x14ac:dyDescent="0.3">
      <c r="A4" s="227" t="s">
        <v>146</v>
      </c>
      <c r="B4" s="228" t="s">
        <v>162</v>
      </c>
      <c r="C4" s="228" t="s">
        <v>163</v>
      </c>
      <c r="D4" s="228" t="s">
        <v>186</v>
      </c>
      <c r="E4" s="229" t="s">
        <v>164</v>
      </c>
      <c r="F4" s="228" t="s">
        <v>165</v>
      </c>
      <c r="G4" s="222"/>
      <c r="H4" s="230" t="s">
        <v>166</v>
      </c>
      <c r="I4" s="230" t="s">
        <v>167</v>
      </c>
      <c r="J4" s="231" t="s">
        <v>168</v>
      </c>
    </row>
    <row r="5" spans="1:14" x14ac:dyDescent="0.3">
      <c r="A5" s="212"/>
      <c r="B5" s="212"/>
      <c r="C5" s="212"/>
      <c r="D5" s="212"/>
      <c r="E5" s="232"/>
      <c r="F5" s="212"/>
      <c r="G5" s="222"/>
      <c r="H5" s="212"/>
      <c r="I5" s="220"/>
      <c r="J5" s="221"/>
    </row>
    <row r="6" spans="1:14" x14ac:dyDescent="0.3">
      <c r="A6" s="212" t="s">
        <v>169</v>
      </c>
      <c r="B6" s="233">
        <v>9853</v>
      </c>
      <c r="C6" s="233">
        <v>0</v>
      </c>
      <c r="D6" s="234">
        <f t="shared" ref="D6:D33" si="0">SUM(B6:C6)</f>
        <v>9853</v>
      </c>
      <c r="E6" s="232">
        <f>44143+4697</f>
        <v>48840</v>
      </c>
      <c r="F6" s="235">
        <f>D6/E6</f>
        <v>0.20174037674037673</v>
      </c>
      <c r="G6" s="222"/>
      <c r="H6" s="212"/>
      <c r="I6" s="220"/>
      <c r="J6" s="211"/>
      <c r="K6" s="236"/>
      <c r="M6" s="237"/>
      <c r="N6" s="238"/>
    </row>
    <row r="7" spans="1:14" x14ac:dyDescent="0.3">
      <c r="A7" s="211" t="s">
        <v>120</v>
      </c>
      <c r="B7" s="233">
        <v>27386</v>
      </c>
      <c r="C7" s="233">
        <v>23</v>
      </c>
      <c r="D7" s="234">
        <f t="shared" si="0"/>
        <v>27409</v>
      </c>
      <c r="E7" s="232">
        <f>87800+5801+5221</f>
        <v>98822</v>
      </c>
      <c r="F7" s="235">
        <f t="shared" ref="F7:F33" si="1">D7/E7</f>
        <v>0.27735726862439536</v>
      </c>
      <c r="G7" s="222"/>
      <c r="H7" s="235">
        <f>F7-F$38</f>
        <v>7.5839771983953003E-2</v>
      </c>
      <c r="I7" s="239">
        <f>H7/$H$37</f>
        <v>0.2562758180264752</v>
      </c>
      <c r="J7" s="240">
        <f>I7*$J$3</f>
        <v>25627.581802647521</v>
      </c>
      <c r="K7" s="236"/>
      <c r="M7" s="212"/>
      <c r="N7" s="238"/>
    </row>
    <row r="8" spans="1:14" x14ac:dyDescent="0.3">
      <c r="A8" s="212" t="s">
        <v>170</v>
      </c>
      <c r="B8" s="233">
        <v>6054</v>
      </c>
      <c r="C8" s="233">
        <v>15</v>
      </c>
      <c r="D8" s="234">
        <f t="shared" si="0"/>
        <v>6069</v>
      </c>
      <c r="E8" s="232">
        <f>24078+4007</f>
        <v>28085</v>
      </c>
      <c r="F8" s="235">
        <f t="shared" si="1"/>
        <v>0.21609400035606197</v>
      </c>
      <c r="G8" s="222"/>
      <c r="H8" s="212"/>
      <c r="I8" s="220"/>
      <c r="J8" s="211"/>
      <c r="K8" s="236"/>
      <c r="M8" s="219"/>
      <c r="N8" s="238"/>
    </row>
    <row r="9" spans="1:14" x14ac:dyDescent="0.3">
      <c r="A9" s="212" t="s">
        <v>171</v>
      </c>
      <c r="B9" s="233">
        <v>17898</v>
      </c>
      <c r="C9" s="233">
        <v>63</v>
      </c>
      <c r="D9" s="234">
        <f t="shared" si="0"/>
        <v>17961</v>
      </c>
      <c r="E9" s="232">
        <f>61616+7183</f>
        <v>68799</v>
      </c>
      <c r="F9" s="235">
        <f t="shared" si="1"/>
        <v>0.26106484105873634</v>
      </c>
      <c r="G9" s="222"/>
      <c r="H9" s="212"/>
      <c r="I9" s="220"/>
      <c r="J9" s="211"/>
      <c r="K9" s="236"/>
      <c r="M9" s="219"/>
      <c r="N9" s="238"/>
    </row>
    <row r="10" spans="1:14" x14ac:dyDescent="0.3">
      <c r="A10" s="212" t="s">
        <v>118</v>
      </c>
      <c r="B10" s="233">
        <v>15587</v>
      </c>
      <c r="C10" s="233">
        <v>15</v>
      </c>
      <c r="D10" s="234">
        <f t="shared" si="0"/>
        <v>15602</v>
      </c>
      <c r="E10" s="232">
        <f>79297+6121+4023</f>
        <v>89441</v>
      </c>
      <c r="F10" s="235">
        <f t="shared" si="1"/>
        <v>0.17443901566395725</v>
      </c>
      <c r="G10" s="222"/>
      <c r="H10" s="212"/>
      <c r="I10" s="220"/>
      <c r="J10" s="211"/>
      <c r="K10" s="236"/>
      <c r="M10" s="212"/>
      <c r="N10" s="238"/>
    </row>
    <row r="11" spans="1:14" x14ac:dyDescent="0.3">
      <c r="A11" s="211" t="s">
        <v>172</v>
      </c>
      <c r="B11" s="233">
        <v>4419</v>
      </c>
      <c r="C11" s="233">
        <v>63</v>
      </c>
      <c r="D11" s="234">
        <f t="shared" si="0"/>
        <v>4482</v>
      </c>
      <c r="E11" s="232">
        <f>15127+1428</f>
        <v>16555</v>
      </c>
      <c r="F11" s="235">
        <f t="shared" si="1"/>
        <v>0.27073391724554513</v>
      </c>
      <c r="G11" s="222"/>
      <c r="H11" s="235">
        <f>F11-F$38</f>
        <v>6.9216420605102774E-2</v>
      </c>
      <c r="I11" s="239">
        <f>H11/$H$37</f>
        <v>0.23389435842700829</v>
      </c>
      <c r="J11" s="240">
        <f>I11*$J$3</f>
        <v>23389.43584270083</v>
      </c>
      <c r="K11" s="236"/>
      <c r="M11" s="212"/>
      <c r="N11" s="238"/>
    </row>
    <row r="12" spans="1:14" x14ac:dyDescent="0.3">
      <c r="A12" s="212" t="s">
        <v>117</v>
      </c>
      <c r="B12" s="233">
        <v>9569</v>
      </c>
      <c r="C12" s="233">
        <v>17</v>
      </c>
      <c r="D12" s="234">
        <f t="shared" si="0"/>
        <v>9586</v>
      </c>
      <c r="E12" s="232">
        <f>33366+5119</f>
        <v>38485</v>
      </c>
      <c r="F12" s="235">
        <f t="shared" si="1"/>
        <v>0.24908405872417824</v>
      </c>
      <c r="G12" s="222"/>
      <c r="H12" s="235"/>
      <c r="I12" s="239"/>
      <c r="J12" s="240"/>
      <c r="K12" s="236"/>
      <c r="M12" s="212"/>
      <c r="N12" s="238"/>
    </row>
    <row r="13" spans="1:14" x14ac:dyDescent="0.3">
      <c r="A13" s="212" t="s">
        <v>116</v>
      </c>
      <c r="B13" s="233">
        <v>1532</v>
      </c>
      <c r="C13" s="233">
        <v>9</v>
      </c>
      <c r="D13" s="234">
        <f t="shared" si="0"/>
        <v>1541</v>
      </c>
      <c r="E13" s="232">
        <f>51237</f>
        <v>51237</v>
      </c>
      <c r="F13" s="235">
        <f t="shared" si="1"/>
        <v>3.0075921697210999E-2</v>
      </c>
      <c r="G13" s="222"/>
      <c r="H13" s="212"/>
      <c r="I13" s="220"/>
      <c r="J13" s="211"/>
      <c r="K13" s="236"/>
      <c r="M13" s="212"/>
      <c r="N13" s="238"/>
    </row>
    <row r="14" spans="1:14" x14ac:dyDescent="0.3">
      <c r="A14" s="212" t="s">
        <v>115</v>
      </c>
      <c r="B14" s="233">
        <v>6112</v>
      </c>
      <c r="C14" s="233">
        <v>0</v>
      </c>
      <c r="D14" s="234">
        <f t="shared" si="0"/>
        <v>6112</v>
      </c>
      <c r="E14" s="232">
        <f>26605+4221</f>
        <v>30826</v>
      </c>
      <c r="F14" s="235">
        <f t="shared" si="1"/>
        <v>0.19827418413027964</v>
      </c>
      <c r="G14" s="222"/>
      <c r="H14" s="212"/>
      <c r="I14" s="220"/>
      <c r="J14" s="211"/>
      <c r="K14" s="236"/>
      <c r="M14" s="212"/>
      <c r="N14" s="238"/>
    </row>
    <row r="15" spans="1:14" x14ac:dyDescent="0.3">
      <c r="A15" s="212" t="s">
        <v>114</v>
      </c>
      <c r="B15" s="233">
        <v>47010</v>
      </c>
      <c r="C15" s="233">
        <v>5834</v>
      </c>
      <c r="D15" s="234">
        <f t="shared" si="0"/>
        <v>52844</v>
      </c>
      <c r="E15" s="232">
        <f>202449+30791</f>
        <v>233240</v>
      </c>
      <c r="F15" s="235">
        <f t="shared" si="1"/>
        <v>0.22656491167895729</v>
      </c>
      <c r="G15" s="222"/>
      <c r="H15" s="212"/>
      <c r="I15" s="220"/>
      <c r="J15" s="211"/>
      <c r="K15" s="236"/>
      <c r="M15" s="212"/>
      <c r="N15" s="238"/>
    </row>
    <row r="16" spans="1:14" x14ac:dyDescent="0.3">
      <c r="A16" s="212" t="s">
        <v>173</v>
      </c>
      <c r="B16" s="233">
        <v>4746</v>
      </c>
      <c r="C16" s="233">
        <v>43</v>
      </c>
      <c r="D16" s="234">
        <f t="shared" si="0"/>
        <v>4789</v>
      </c>
      <c r="E16" s="232">
        <f>22208+3396</f>
        <v>25604</v>
      </c>
      <c r="F16" s="235">
        <f t="shared" si="1"/>
        <v>0.18704108733010466</v>
      </c>
      <c r="G16" s="222"/>
      <c r="H16" s="212"/>
      <c r="I16" s="220"/>
      <c r="J16" s="211"/>
      <c r="K16" s="236"/>
      <c r="M16" s="212"/>
      <c r="N16" s="238"/>
    </row>
    <row r="17" spans="1:14" x14ac:dyDescent="0.3">
      <c r="A17" s="212" t="s">
        <v>174</v>
      </c>
      <c r="B17" s="233">
        <v>3173</v>
      </c>
      <c r="C17" s="233">
        <v>9</v>
      </c>
      <c r="D17" s="234">
        <f t="shared" si="0"/>
        <v>3182</v>
      </c>
      <c r="E17" s="232">
        <f>11774+4377</f>
        <v>16151</v>
      </c>
      <c r="F17" s="235">
        <f t="shared" si="1"/>
        <v>0.19701566466472664</v>
      </c>
      <c r="G17" s="222"/>
      <c r="H17" s="212"/>
      <c r="I17" s="220"/>
      <c r="J17" s="211"/>
      <c r="K17" s="236"/>
      <c r="M17" s="212"/>
      <c r="N17" s="238"/>
    </row>
    <row r="18" spans="1:14" x14ac:dyDescent="0.3">
      <c r="A18" s="212" t="s">
        <v>175</v>
      </c>
      <c r="B18" s="233">
        <v>13934</v>
      </c>
      <c r="C18" s="233">
        <v>42</v>
      </c>
      <c r="D18" s="234">
        <f t="shared" si="0"/>
        <v>13976</v>
      </c>
      <c r="E18" s="232">
        <f>55364+5850+4631</f>
        <v>65845</v>
      </c>
      <c r="F18" s="235">
        <f t="shared" si="1"/>
        <v>0.21225605588882981</v>
      </c>
      <c r="G18" s="222"/>
      <c r="H18" s="212"/>
      <c r="I18" s="220"/>
      <c r="J18" s="211"/>
      <c r="K18" s="236"/>
      <c r="M18" s="219"/>
      <c r="N18" s="238"/>
    </row>
    <row r="19" spans="1:14" x14ac:dyDescent="0.3">
      <c r="A19" s="212" t="s">
        <v>111</v>
      </c>
      <c r="B19" s="233">
        <v>9744</v>
      </c>
      <c r="C19" s="233">
        <v>1149</v>
      </c>
      <c r="D19" s="234">
        <f t="shared" si="0"/>
        <v>10893</v>
      </c>
      <c r="E19" s="232">
        <f>33218+10888</f>
        <v>44106</v>
      </c>
      <c r="F19" s="235">
        <f t="shared" si="1"/>
        <v>0.24697320092504421</v>
      </c>
      <c r="G19" s="222"/>
      <c r="H19" s="212"/>
      <c r="I19" s="220"/>
      <c r="J19" s="211"/>
      <c r="K19" s="236"/>
      <c r="M19" s="212"/>
      <c r="N19" s="238"/>
    </row>
    <row r="20" spans="1:14" x14ac:dyDescent="0.3">
      <c r="A20" s="212" t="s">
        <v>176</v>
      </c>
      <c r="B20" s="233">
        <v>8226</v>
      </c>
      <c r="C20" s="233">
        <v>11</v>
      </c>
      <c r="D20" s="234">
        <f t="shared" si="0"/>
        <v>8237</v>
      </c>
      <c r="E20" s="232">
        <f>37627+1979</f>
        <v>39606</v>
      </c>
      <c r="F20" s="235">
        <f t="shared" si="1"/>
        <v>0.20797353936272281</v>
      </c>
      <c r="G20" s="222"/>
      <c r="H20" s="212"/>
      <c r="I20" s="220"/>
      <c r="J20" s="211"/>
      <c r="K20" s="236"/>
      <c r="M20" s="212"/>
      <c r="N20" s="238"/>
    </row>
    <row r="21" spans="1:14" x14ac:dyDescent="0.3">
      <c r="A21" s="212" t="s">
        <v>110</v>
      </c>
      <c r="B21" s="233">
        <v>9518</v>
      </c>
      <c r="C21" s="233">
        <v>38</v>
      </c>
      <c r="D21" s="234">
        <f t="shared" si="0"/>
        <v>9556</v>
      </c>
      <c r="E21" s="232">
        <f>50515+5937</f>
        <v>56452</v>
      </c>
      <c r="F21" s="235">
        <f t="shared" si="1"/>
        <v>0.16927655353220436</v>
      </c>
      <c r="G21" s="222"/>
      <c r="H21" s="212"/>
      <c r="I21" s="220"/>
      <c r="J21" s="211"/>
      <c r="K21" s="236"/>
      <c r="M21" s="212"/>
      <c r="N21" s="238"/>
    </row>
    <row r="22" spans="1:14" x14ac:dyDescent="0.3">
      <c r="A22" s="212" t="s">
        <v>177</v>
      </c>
      <c r="B22" s="233">
        <v>1623</v>
      </c>
      <c r="C22" s="233">
        <v>0</v>
      </c>
      <c r="D22" s="234">
        <f t="shared" si="0"/>
        <v>1623</v>
      </c>
      <c r="E22" s="232">
        <v>12516</v>
      </c>
      <c r="F22" s="235">
        <f t="shared" si="1"/>
        <v>0.12967401725790986</v>
      </c>
      <c r="G22" s="222"/>
      <c r="H22" s="212"/>
      <c r="I22" s="220"/>
      <c r="J22" s="211"/>
      <c r="K22" s="236"/>
      <c r="M22" s="212"/>
      <c r="N22" s="238"/>
    </row>
    <row r="23" spans="1:14" x14ac:dyDescent="0.3">
      <c r="A23" s="212" t="s">
        <v>178</v>
      </c>
      <c r="B23" s="233">
        <v>752</v>
      </c>
      <c r="C23" s="233">
        <v>0</v>
      </c>
      <c r="D23" s="234">
        <f t="shared" si="0"/>
        <v>752</v>
      </c>
      <c r="E23" s="232">
        <v>6716</v>
      </c>
      <c r="F23" s="235">
        <f t="shared" si="1"/>
        <v>0.11197141155449672</v>
      </c>
      <c r="G23" s="222"/>
      <c r="H23" s="212"/>
      <c r="I23" s="220"/>
      <c r="J23" s="211"/>
      <c r="K23" s="236"/>
      <c r="M23" s="212"/>
      <c r="N23" s="238"/>
    </row>
    <row r="24" spans="1:14" x14ac:dyDescent="0.3">
      <c r="A24" s="212" t="s">
        <v>109</v>
      </c>
      <c r="B24" s="233">
        <v>10782</v>
      </c>
      <c r="C24" s="233">
        <v>61</v>
      </c>
      <c r="D24" s="234">
        <f t="shared" si="0"/>
        <v>10843</v>
      </c>
      <c r="E24" s="232">
        <f>53034+2770+1885</f>
        <v>57689</v>
      </c>
      <c r="F24" s="235">
        <f t="shared" si="1"/>
        <v>0.18795610948361038</v>
      </c>
      <c r="G24" s="222"/>
      <c r="H24" s="212"/>
      <c r="I24" s="220"/>
      <c r="J24" s="211"/>
      <c r="K24" s="236"/>
      <c r="M24" s="212"/>
      <c r="N24" s="238"/>
    </row>
    <row r="25" spans="1:14" x14ac:dyDescent="0.3">
      <c r="A25" s="212" t="s">
        <v>108</v>
      </c>
      <c r="B25" s="233">
        <v>1346</v>
      </c>
      <c r="C25" s="233">
        <v>0</v>
      </c>
      <c r="D25" s="234">
        <f t="shared" si="0"/>
        <v>1346</v>
      </c>
      <c r="E25" s="232">
        <v>11155</v>
      </c>
      <c r="F25" s="235">
        <f t="shared" si="1"/>
        <v>0.120663379650381</v>
      </c>
      <c r="G25" s="222"/>
      <c r="H25" s="212"/>
      <c r="I25" s="220"/>
      <c r="J25" s="211"/>
      <c r="K25" s="236"/>
      <c r="M25" s="212"/>
      <c r="N25" s="238"/>
    </row>
    <row r="26" spans="1:14" x14ac:dyDescent="0.3">
      <c r="A26" s="219" t="s">
        <v>107</v>
      </c>
      <c r="B26" s="233">
        <v>35403</v>
      </c>
      <c r="C26" s="233">
        <v>2710</v>
      </c>
      <c r="D26" s="233">
        <f t="shared" si="0"/>
        <v>38113</v>
      </c>
      <c r="E26" s="232">
        <f>137240+14627</f>
        <v>151867</v>
      </c>
      <c r="F26" s="235">
        <f t="shared" si="1"/>
        <v>0.25096301368960999</v>
      </c>
      <c r="G26" s="222"/>
      <c r="H26" s="212"/>
      <c r="I26" s="220"/>
      <c r="J26" s="214"/>
      <c r="K26" s="236"/>
      <c r="M26" s="212"/>
      <c r="N26" s="238"/>
    </row>
    <row r="27" spans="1:14" x14ac:dyDescent="0.3">
      <c r="A27" s="214" t="s">
        <v>179</v>
      </c>
      <c r="B27" s="233">
        <v>14413</v>
      </c>
      <c r="C27" s="233">
        <v>47</v>
      </c>
      <c r="D27" s="233">
        <f t="shared" si="0"/>
        <v>14460</v>
      </c>
      <c r="E27" s="232">
        <f>46995+3929</f>
        <v>50924</v>
      </c>
      <c r="F27" s="235">
        <f t="shared" si="1"/>
        <v>0.28395255675123715</v>
      </c>
      <c r="G27" s="222"/>
      <c r="H27" s="235">
        <f>F27-F$38</f>
        <v>8.2435060110794794E-2</v>
      </c>
      <c r="I27" s="239">
        <f>H27/$H$37</f>
        <v>0.27856244700242083</v>
      </c>
      <c r="J27" s="241">
        <f>I27*$J$3</f>
        <v>27856.244700242085</v>
      </c>
      <c r="K27" s="236"/>
      <c r="M27" s="212"/>
      <c r="N27" s="238"/>
    </row>
    <row r="28" spans="1:14" x14ac:dyDescent="0.3">
      <c r="A28" s="219" t="s">
        <v>180</v>
      </c>
      <c r="B28" s="233">
        <v>23829</v>
      </c>
      <c r="C28" s="233">
        <v>2753</v>
      </c>
      <c r="D28" s="233">
        <f t="shared" si="0"/>
        <v>26582</v>
      </c>
      <c r="E28" s="232">
        <f>82510+27866+3060</f>
        <v>113436</v>
      </c>
      <c r="F28" s="235">
        <f t="shared" si="1"/>
        <v>0.23433477908247821</v>
      </c>
      <c r="G28" s="222"/>
      <c r="H28" s="212"/>
      <c r="I28" s="220"/>
      <c r="J28" s="214"/>
      <c r="K28" s="236"/>
      <c r="M28" s="212"/>
      <c r="N28" s="238"/>
    </row>
    <row r="29" spans="1:14" x14ac:dyDescent="0.3">
      <c r="A29" s="212" t="s">
        <v>181</v>
      </c>
      <c r="B29" s="233">
        <v>703</v>
      </c>
      <c r="C29" s="233">
        <v>0</v>
      </c>
      <c r="D29" s="234">
        <f t="shared" si="0"/>
        <v>703</v>
      </c>
      <c r="E29" s="232">
        <f>7750+3877</f>
        <v>11627</v>
      </c>
      <c r="F29" s="235">
        <f t="shared" si="1"/>
        <v>6.0462716091855162E-2</v>
      </c>
      <c r="G29" s="222"/>
      <c r="H29" s="212"/>
      <c r="I29" s="220"/>
      <c r="J29" s="211"/>
      <c r="K29" s="236"/>
      <c r="M29" s="212"/>
      <c r="N29" s="238"/>
    </row>
    <row r="30" spans="1:14" x14ac:dyDescent="0.3">
      <c r="A30" s="212" t="s">
        <v>103</v>
      </c>
      <c r="B30" s="233">
        <v>14198</v>
      </c>
      <c r="C30" s="233">
        <v>140</v>
      </c>
      <c r="D30" s="234">
        <f t="shared" si="0"/>
        <v>14338</v>
      </c>
      <c r="E30" s="232">
        <f>59361+4696+4251</f>
        <v>68308</v>
      </c>
      <c r="F30" s="235">
        <f t="shared" si="1"/>
        <v>0.20990220764771331</v>
      </c>
      <c r="G30" s="222"/>
      <c r="H30" s="212"/>
      <c r="I30" s="220"/>
      <c r="J30" s="211"/>
      <c r="K30" s="236"/>
      <c r="M30" s="212"/>
      <c r="N30" s="238"/>
    </row>
    <row r="31" spans="1:14" x14ac:dyDescent="0.3">
      <c r="A31" s="212" t="s">
        <v>102</v>
      </c>
      <c r="B31" s="233">
        <v>14298</v>
      </c>
      <c r="C31" s="233">
        <v>674</v>
      </c>
      <c r="D31" s="234">
        <f t="shared" si="0"/>
        <v>14972</v>
      </c>
      <c r="E31" s="232">
        <f>48496+9200</f>
        <v>57696</v>
      </c>
      <c r="F31" s="235">
        <f t="shared" si="1"/>
        <v>0.25949805879090404</v>
      </c>
      <c r="G31" s="222"/>
      <c r="H31" s="235"/>
      <c r="I31" s="239"/>
      <c r="J31" s="240"/>
      <c r="K31" s="236"/>
      <c r="M31" s="212"/>
      <c r="N31" s="238"/>
    </row>
    <row r="32" spans="1:14" x14ac:dyDescent="0.3">
      <c r="A32" s="212" t="s">
        <v>182</v>
      </c>
      <c r="B32" s="233">
        <v>2611</v>
      </c>
      <c r="C32" s="233">
        <v>0</v>
      </c>
      <c r="D32" s="234">
        <f t="shared" si="0"/>
        <v>2611</v>
      </c>
      <c r="E32" s="232">
        <v>13241</v>
      </c>
      <c r="F32" s="235">
        <f t="shared" si="1"/>
        <v>0.19719054452080659</v>
      </c>
      <c r="G32" s="222"/>
      <c r="H32" s="212"/>
      <c r="I32" s="220"/>
      <c r="J32" s="211"/>
      <c r="K32" s="236"/>
      <c r="M32" s="212"/>
      <c r="N32" s="238"/>
    </row>
    <row r="33" spans="1:14" x14ac:dyDescent="0.3">
      <c r="A33" s="242" t="s">
        <v>101</v>
      </c>
      <c r="B33" s="233">
        <v>105308</v>
      </c>
      <c r="C33" s="233">
        <v>8358</v>
      </c>
      <c r="D33" s="234">
        <f t="shared" si="0"/>
        <v>113666</v>
      </c>
      <c r="E33" s="232">
        <f>382862+35770+2421</f>
        <v>421053</v>
      </c>
      <c r="F33" s="235">
        <f t="shared" si="1"/>
        <v>0.26995651378805041</v>
      </c>
      <c r="G33" s="222"/>
      <c r="H33" s="235">
        <f>F33-F$38</f>
        <v>6.8439017147608056E-2</v>
      </c>
      <c r="I33" s="239">
        <f>H33/$H$37</f>
        <v>0.23126737654409568</v>
      </c>
      <c r="J33" s="240">
        <f>I33*$J$3</f>
        <v>23126.737654409568</v>
      </c>
      <c r="K33" s="236"/>
      <c r="M33" s="212"/>
      <c r="N33" s="238"/>
    </row>
    <row r="34" spans="1:14" x14ac:dyDescent="0.3">
      <c r="A34" s="237"/>
      <c r="B34" s="233"/>
      <c r="C34" s="233"/>
      <c r="D34" s="234"/>
      <c r="E34" s="232"/>
      <c r="F34" s="212"/>
      <c r="G34" s="222"/>
      <c r="H34" s="212"/>
      <c r="I34" s="220"/>
      <c r="J34" s="221"/>
      <c r="K34" s="236"/>
    </row>
    <row r="35" spans="1:14" x14ac:dyDescent="0.3">
      <c r="A35" s="211" t="s">
        <v>68</v>
      </c>
      <c r="B35" s="243">
        <f>SUM(B6:B34)</f>
        <v>420027</v>
      </c>
      <c r="C35" s="243">
        <f>SUM(C6:C34)</f>
        <v>22074</v>
      </c>
      <c r="D35" s="244">
        <f>SUM(D6:D34)</f>
        <v>442101</v>
      </c>
      <c r="E35" s="245">
        <f>SUM(E6:E34)</f>
        <v>1928322</v>
      </c>
      <c r="F35" s="212"/>
      <c r="G35" s="222"/>
      <c r="H35" s="212"/>
      <c r="I35" s="220"/>
      <c r="J35" s="221"/>
      <c r="K35" s="236"/>
    </row>
    <row r="36" spans="1:14" x14ac:dyDescent="0.3">
      <c r="A36" s="211"/>
      <c r="B36" s="243"/>
      <c r="C36" s="243"/>
      <c r="D36" s="244"/>
      <c r="E36" s="245"/>
      <c r="F36" s="212"/>
      <c r="G36" s="222"/>
      <c r="H36" s="212"/>
      <c r="I36" s="220"/>
      <c r="J36" s="221"/>
      <c r="K36" s="236"/>
    </row>
    <row r="37" spans="1:14" x14ac:dyDescent="0.3">
      <c r="E37" s="215" t="s">
        <v>183</v>
      </c>
      <c r="F37" s="246">
        <f>STDEV(F6:F33)</f>
        <v>6.3557856920939015E-2</v>
      </c>
      <c r="G37" s="247"/>
      <c r="H37" s="248">
        <f>SUM(H5:H35)</f>
        <v>0.29593026984745863</v>
      </c>
      <c r="I37" s="249">
        <f>SUM(I5:I35)</f>
        <v>1</v>
      </c>
      <c r="J37" s="250">
        <f>SUM(J5:J33)</f>
        <v>100000</v>
      </c>
      <c r="K37" s="236"/>
    </row>
    <row r="38" spans="1:14" x14ac:dyDescent="0.3">
      <c r="A38" s="212"/>
      <c r="B38" s="219"/>
      <c r="C38" s="219"/>
      <c r="D38" s="212"/>
      <c r="E38" s="251" t="s">
        <v>184</v>
      </c>
      <c r="F38" s="235">
        <f>AVERAGE(F6:F33)</f>
        <v>0.20151749664044236</v>
      </c>
      <c r="G38" s="247"/>
      <c r="H38" s="212"/>
      <c r="I38" s="220"/>
      <c r="J38" s="221"/>
      <c r="K38" s="236"/>
    </row>
    <row r="39" spans="1:14" x14ac:dyDescent="0.3">
      <c r="A39" s="237"/>
      <c r="B39" s="237"/>
      <c r="C39" s="252"/>
      <c r="D39" s="212"/>
      <c r="E39" s="215" t="s">
        <v>185</v>
      </c>
      <c r="F39" s="253">
        <f>F37+F38</f>
        <v>0.26507535356138134</v>
      </c>
      <c r="G39" s="247"/>
      <c r="H39" s="212"/>
      <c r="I39" s="220"/>
      <c r="J39" s="221"/>
      <c r="K39" s="236"/>
    </row>
    <row r="40" spans="1:14" x14ac:dyDescent="0.3">
      <c r="A40" s="254"/>
      <c r="B40" s="255"/>
      <c r="C40" s="256"/>
      <c r="D40" s="219"/>
      <c r="E40" s="232"/>
      <c r="F40" s="212"/>
      <c r="G40" s="219"/>
      <c r="H40" s="212"/>
      <c r="I40" s="220"/>
      <c r="J40" s="221"/>
    </row>
    <row r="41" spans="1:14" x14ac:dyDescent="0.3">
      <c r="A41" s="242"/>
      <c r="B41" s="220"/>
      <c r="C41" s="257"/>
      <c r="D41" s="212"/>
      <c r="E41" s="232"/>
      <c r="F41" s="212"/>
      <c r="G41" s="219"/>
      <c r="H41" s="212"/>
      <c r="I41" s="220"/>
      <c r="J41" s="221"/>
    </row>
    <row r="42" spans="1:14" x14ac:dyDescent="0.3">
      <c r="A42" s="218"/>
      <c r="B42" s="220"/>
      <c r="C42" s="258"/>
      <c r="D42" s="212"/>
      <c r="E42" s="232"/>
      <c r="F42" s="212"/>
      <c r="G42" s="219"/>
      <c r="H42" s="212"/>
      <c r="I42" s="220"/>
      <c r="J42" s="221"/>
    </row>
    <row r="43" spans="1:14" x14ac:dyDescent="0.3">
      <c r="A43" s="242"/>
      <c r="B43" s="237"/>
      <c r="C43" s="259"/>
      <c r="D43" s="212"/>
      <c r="E43" s="232"/>
      <c r="F43" s="212"/>
      <c r="G43" s="219"/>
      <c r="H43" s="212"/>
      <c r="I43" s="220"/>
      <c r="J43" s="221"/>
    </row>
    <row r="44" spans="1:14" x14ac:dyDescent="0.3">
      <c r="A44" s="242"/>
      <c r="B44" s="220"/>
      <c r="C44" s="258"/>
      <c r="D44" s="212"/>
      <c r="E44" s="232"/>
      <c r="F44" s="212"/>
      <c r="G44" s="219"/>
      <c r="H44" s="212"/>
      <c r="I44" s="220"/>
      <c r="J44" s="221"/>
    </row>
    <row r="45" spans="1:14" x14ac:dyDescent="0.3">
      <c r="A45" s="242"/>
      <c r="B45" s="237"/>
      <c r="C45" s="237"/>
      <c r="D45" s="212"/>
      <c r="E45" s="232"/>
      <c r="F45" s="212"/>
      <c r="G45" s="219"/>
      <c r="H45" s="212"/>
      <c r="I45" s="220"/>
      <c r="J45" s="221"/>
    </row>
    <row r="46" spans="1:14" x14ac:dyDescent="0.3">
      <c r="A46" s="220"/>
      <c r="B46" s="237"/>
      <c r="C46" s="220"/>
      <c r="I46" s="220"/>
      <c r="J46" s="221"/>
    </row>
    <row r="47" spans="1:14" x14ac:dyDescent="0.3">
      <c r="B47" s="237"/>
      <c r="I47" s="220"/>
      <c r="J47" s="221"/>
    </row>
    <row r="48" spans="1:14" x14ac:dyDescent="0.3">
      <c r="A48"/>
      <c r="B48" s="237"/>
      <c r="I48" s="220"/>
      <c r="J48" s="221"/>
    </row>
    <row r="49" spans="1:10" x14ac:dyDescent="0.3">
      <c r="A49" s="217"/>
      <c r="B49" s="237"/>
      <c r="I49" s="220"/>
      <c r="J49" s="221"/>
    </row>
    <row r="50" spans="1:10" x14ac:dyDescent="0.3">
      <c r="A50"/>
      <c r="B50" s="237"/>
    </row>
    <row r="51" spans="1:10" x14ac:dyDescent="0.3">
      <c r="A51"/>
      <c r="B51" s="237"/>
    </row>
    <row r="52" spans="1:10" x14ac:dyDescent="0.3">
      <c r="A52"/>
    </row>
    <row r="53" spans="1:10" x14ac:dyDescent="0.3">
      <c r="A53"/>
    </row>
    <row r="54" spans="1:10" x14ac:dyDescent="0.3">
      <c r="A54"/>
    </row>
    <row r="56" spans="1:10" x14ac:dyDescent="0.3">
      <c r="A56"/>
    </row>
    <row r="57" spans="1:10" x14ac:dyDescent="0.3">
      <c r="A57"/>
    </row>
    <row r="58" spans="1:10" x14ac:dyDescent="0.3">
      <c r="A58"/>
    </row>
    <row r="59" spans="1:10" x14ac:dyDescent="0.3">
      <c r="A59"/>
    </row>
    <row r="61" spans="1:10" x14ac:dyDescent="0.3">
      <c r="A61"/>
    </row>
    <row r="62" spans="1:10" x14ac:dyDescent="0.3">
      <c r="A62"/>
    </row>
    <row r="63" spans="1:10" x14ac:dyDescent="0.3">
      <c r="A63"/>
    </row>
    <row r="64" spans="1:10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132" spans="1:1" x14ac:dyDescent="0.3">
      <c r="A132"/>
    </row>
    <row r="134" spans="1:1" x14ac:dyDescent="0.3">
      <c r="A134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3" spans="1:1" x14ac:dyDescent="0.3">
      <c r="A153"/>
    </row>
    <row r="154" spans="1:1" x14ac:dyDescent="0.3">
      <c r="A154"/>
    </row>
    <row r="155" spans="1:1" x14ac:dyDescent="0.3">
      <c r="A155"/>
    </row>
    <row r="157" spans="1:1" x14ac:dyDescent="0.3">
      <c r="A157"/>
    </row>
  </sheetData>
  <conditionalFormatting sqref="F6:F33">
    <cfRule type="cellIs" dxfId="2" priority="1" operator="greaterThan">
      <formula>$F$39</formula>
    </cfRule>
  </conditionalFormatting>
  <pageMargins left="0.45" right="0.45" top="0.75" bottom="0.75" header="0.3" footer="0.3"/>
  <pageSetup scale="93" orientation="portrait" r:id="rId1"/>
  <headerFooter>
    <oddFooter>&amp;L&amp;Z&amp;F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64"/>
  <sheetViews>
    <sheetView topLeftCell="A6" zoomScaleNormal="100" zoomScaleSheetLayoutView="100" workbookViewId="0">
      <selection activeCell="E6" sqref="E6"/>
    </sheetView>
  </sheetViews>
  <sheetFormatPr defaultColWidth="12.5546875" defaultRowHeight="13.8" x14ac:dyDescent="0.25"/>
  <cols>
    <col min="1" max="1" width="2.33203125" style="1" bestFit="1" customWidth="1"/>
    <col min="2" max="2" width="22.109375" style="1" customWidth="1"/>
    <col min="3" max="3" width="12.5546875" style="1" bestFit="1" customWidth="1"/>
    <col min="4" max="4" width="15.44140625" style="13" bestFit="1" customWidth="1"/>
    <col min="5" max="5" width="15.33203125" style="13" customWidth="1"/>
    <col min="6" max="6" width="15.33203125" style="13" hidden="1" customWidth="1"/>
    <col min="7" max="9" width="15.33203125" style="13" customWidth="1"/>
    <col min="10" max="10" width="15.5546875" style="15" hidden="1" customWidth="1"/>
    <col min="11" max="11" width="16.109375" style="13" hidden="1" customWidth="1"/>
    <col min="12" max="12" width="13.88671875" style="1" customWidth="1"/>
    <col min="13" max="19" width="9.109375" customWidth="1"/>
    <col min="20" max="20" width="15.5546875" customWidth="1"/>
    <col min="21" max="21" width="9.109375" customWidth="1"/>
    <col min="22" max="32" width="9.109375" style="1" customWidth="1"/>
    <col min="33" max="33" width="12.33203125" style="1" bestFit="1" customWidth="1"/>
    <col min="34" max="245" width="9.109375" style="1" customWidth="1"/>
    <col min="246" max="246" width="12.88671875" style="1" customWidth="1"/>
    <col min="247" max="247" width="13.6640625" style="1" customWidth="1"/>
    <col min="248" max="248" width="15.33203125" style="1" customWidth="1"/>
    <col min="249" max="249" width="15.5546875" style="1" customWidth="1"/>
    <col min="250" max="16384" width="12.5546875" style="1"/>
  </cols>
  <sheetData>
    <row r="1" spans="1:12" ht="23.25" customHeight="1" x14ac:dyDescent="0.4">
      <c r="B1" s="2" t="s">
        <v>0</v>
      </c>
      <c r="C1" s="2"/>
      <c r="D1" s="4"/>
      <c r="E1" s="4"/>
      <c r="F1" s="4"/>
      <c r="G1" s="4"/>
      <c r="H1" s="4"/>
      <c r="I1" s="4"/>
      <c r="J1" s="5"/>
      <c r="K1" s="6"/>
      <c r="L1" s="7"/>
    </row>
    <row r="2" spans="1:12" ht="17.399999999999999" hidden="1" x14ac:dyDescent="0.3">
      <c r="B2" s="8"/>
      <c r="C2" s="8"/>
      <c r="D2" s="4"/>
      <c r="E2" s="4"/>
      <c r="F2" s="4"/>
      <c r="G2" s="4"/>
      <c r="H2" s="4"/>
      <c r="I2" s="4"/>
      <c r="J2" s="5"/>
      <c r="K2" s="260"/>
      <c r="L2" s="261"/>
    </row>
    <row r="3" spans="1:12" ht="16.5" hidden="1" customHeight="1" x14ac:dyDescent="0.3">
      <c r="B3" s="9"/>
      <c r="C3" s="9"/>
      <c r="D3" s="4"/>
      <c r="E3" s="4"/>
      <c r="F3" s="4"/>
      <c r="G3" s="4"/>
      <c r="H3" s="4"/>
      <c r="I3" s="4"/>
      <c r="J3" s="5"/>
      <c r="K3" s="262"/>
      <c r="L3" s="263"/>
    </row>
    <row r="4" spans="1:12" ht="18" hidden="1" customHeight="1" x14ac:dyDescent="0.3">
      <c r="B4" s="9"/>
      <c r="C4" s="9"/>
      <c r="D4" s="10"/>
      <c r="E4" s="10"/>
      <c r="F4" s="10"/>
      <c r="G4" s="10"/>
      <c r="H4" s="10"/>
      <c r="I4" s="10"/>
      <c r="J4" s="11"/>
      <c r="K4" s="10"/>
      <c r="L4" s="7"/>
    </row>
    <row r="5" spans="1:12" ht="17.399999999999999" hidden="1" x14ac:dyDescent="0.3">
      <c r="B5" s="9"/>
      <c r="C5" s="9"/>
      <c r="D5" s="4"/>
      <c r="E5" s="4"/>
      <c r="F5" s="4"/>
      <c r="G5" s="4"/>
      <c r="H5" s="4"/>
      <c r="I5" s="4"/>
      <c r="J5" s="5"/>
      <c r="K5" s="264"/>
      <c r="L5" s="265"/>
    </row>
    <row r="6" spans="1:12" x14ac:dyDescent="0.25">
      <c r="B6" s="3"/>
      <c r="C6" s="3"/>
      <c r="I6" s="14"/>
      <c r="L6" s="12"/>
    </row>
    <row r="7" spans="1:12" x14ac:dyDescent="0.25">
      <c r="B7" s="16"/>
      <c r="C7" s="16"/>
      <c r="D7" s="17" t="s">
        <v>1</v>
      </c>
      <c r="E7" s="19"/>
      <c r="F7" s="19"/>
      <c r="G7" s="19"/>
      <c r="H7" s="19"/>
      <c r="I7" s="20"/>
      <c r="J7" s="21"/>
      <c r="K7" s="18"/>
      <c r="L7" s="22"/>
    </row>
    <row r="8" spans="1:12" ht="79.2" x14ac:dyDescent="0.25">
      <c r="B8" s="23"/>
      <c r="C8" s="24" t="s">
        <v>2</v>
      </c>
      <c r="D8" s="24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5"/>
      <c r="K8" s="25" t="s">
        <v>9</v>
      </c>
      <c r="L8" s="26"/>
    </row>
    <row r="9" spans="1:12" x14ac:dyDescent="0.25">
      <c r="B9" s="27" t="s">
        <v>10</v>
      </c>
      <c r="C9" s="28" t="s">
        <v>11</v>
      </c>
      <c r="D9" s="29">
        <v>0</v>
      </c>
      <c r="E9" s="30">
        <f>ROUND(+F9+K9,0)</f>
        <v>0</v>
      </c>
      <c r="F9" s="31">
        <f t="shared" ref="F9:F37" si="0">ROUND(+D9/4,0)</f>
        <v>0</v>
      </c>
      <c r="G9" s="31">
        <f>+F9</f>
        <v>0</v>
      </c>
      <c r="H9" s="31">
        <f>+G9</f>
        <v>0</v>
      </c>
      <c r="I9" s="31">
        <f t="shared" ref="I9:I37" si="1">+D9-SUM(F9:H9)</f>
        <v>0</v>
      </c>
      <c r="J9" s="32">
        <f>SUM(G9:I9)</f>
        <v>0</v>
      </c>
      <c r="K9" s="33">
        <v>0</v>
      </c>
      <c r="L9" s="34"/>
    </row>
    <row r="10" spans="1:12" x14ac:dyDescent="0.25">
      <c r="B10" s="35" t="s">
        <v>12</v>
      </c>
      <c r="C10" s="23" t="s">
        <v>13</v>
      </c>
      <c r="D10" s="29">
        <v>1211517</v>
      </c>
      <c r="E10" s="30">
        <f t="shared" ref="E10:E37" si="2">ROUND(+F10+K10,0)</f>
        <v>298958</v>
      </c>
      <c r="F10" s="31">
        <f t="shared" si="0"/>
        <v>302879</v>
      </c>
      <c r="G10" s="31">
        <f t="shared" ref="G10:H25" si="3">+F10</f>
        <v>302879</v>
      </c>
      <c r="H10" s="31">
        <f t="shared" si="3"/>
        <v>302879</v>
      </c>
      <c r="I10" s="31">
        <f t="shared" si="1"/>
        <v>302880</v>
      </c>
      <c r="J10" s="32">
        <f t="shared" ref="J10:J37" si="4">SUM(G10:I10)</f>
        <v>908638</v>
      </c>
      <c r="K10" s="33">
        <v>-3921</v>
      </c>
      <c r="L10" s="34"/>
    </row>
    <row r="11" spans="1:12" x14ac:dyDescent="0.25">
      <c r="B11" s="35" t="s">
        <v>14</v>
      </c>
      <c r="C11" s="23" t="s">
        <v>15</v>
      </c>
      <c r="D11" s="29">
        <v>0</v>
      </c>
      <c r="E11" s="30">
        <f t="shared" si="2"/>
        <v>0</v>
      </c>
      <c r="F11" s="31">
        <f t="shared" si="0"/>
        <v>0</v>
      </c>
      <c r="G11" s="31">
        <f t="shared" si="3"/>
        <v>0</v>
      </c>
      <c r="H11" s="31">
        <f t="shared" si="3"/>
        <v>0</v>
      </c>
      <c r="I11" s="31">
        <f t="shared" si="1"/>
        <v>0</v>
      </c>
      <c r="J11" s="32">
        <f t="shared" si="4"/>
        <v>0</v>
      </c>
      <c r="K11" s="33">
        <v>0</v>
      </c>
      <c r="L11" s="34"/>
    </row>
    <row r="12" spans="1:12" x14ac:dyDescent="0.25">
      <c r="B12" s="35" t="s">
        <v>16</v>
      </c>
      <c r="C12" s="36" t="s">
        <v>17</v>
      </c>
      <c r="D12" s="29">
        <v>846676</v>
      </c>
      <c r="E12" s="30">
        <f t="shared" si="2"/>
        <v>211371</v>
      </c>
      <c r="F12" s="31">
        <f t="shared" si="0"/>
        <v>211669</v>
      </c>
      <c r="G12" s="31">
        <f t="shared" si="3"/>
        <v>211669</v>
      </c>
      <c r="H12" s="31">
        <f>+G12</f>
        <v>211669</v>
      </c>
      <c r="I12" s="31">
        <f t="shared" si="1"/>
        <v>211669</v>
      </c>
      <c r="J12" s="32">
        <f t="shared" si="4"/>
        <v>635007</v>
      </c>
      <c r="K12" s="33">
        <v>-298</v>
      </c>
      <c r="L12" s="34"/>
    </row>
    <row r="13" spans="1:12" x14ac:dyDescent="0.25">
      <c r="A13" s="37" t="s">
        <v>18</v>
      </c>
      <c r="B13" s="35" t="s">
        <v>19</v>
      </c>
      <c r="C13" s="23" t="s">
        <v>20</v>
      </c>
      <c r="D13" s="29">
        <v>441861</v>
      </c>
      <c r="E13" s="30">
        <f t="shared" si="2"/>
        <v>110148</v>
      </c>
      <c r="F13" s="31">
        <f t="shared" si="0"/>
        <v>110465</v>
      </c>
      <c r="G13" s="31">
        <f t="shared" si="3"/>
        <v>110465</v>
      </c>
      <c r="H13" s="31">
        <f t="shared" si="3"/>
        <v>110465</v>
      </c>
      <c r="I13" s="31">
        <f t="shared" si="1"/>
        <v>110466</v>
      </c>
      <c r="J13" s="32">
        <f t="shared" si="4"/>
        <v>331396</v>
      </c>
      <c r="K13" s="33">
        <v>-317</v>
      </c>
      <c r="L13" s="34"/>
    </row>
    <row r="14" spans="1:12" x14ac:dyDescent="0.25">
      <c r="B14" s="35" t="s">
        <v>21</v>
      </c>
      <c r="C14" s="23" t="s">
        <v>22</v>
      </c>
      <c r="D14" s="29">
        <v>0</v>
      </c>
      <c r="E14" s="30">
        <f t="shared" si="2"/>
        <v>0</v>
      </c>
      <c r="F14" s="31">
        <f t="shared" si="0"/>
        <v>0</v>
      </c>
      <c r="G14" s="31">
        <f t="shared" si="3"/>
        <v>0</v>
      </c>
      <c r="H14" s="31">
        <f t="shared" si="3"/>
        <v>0</v>
      </c>
      <c r="I14" s="31">
        <f t="shared" si="1"/>
        <v>0</v>
      </c>
      <c r="J14" s="32">
        <f t="shared" si="4"/>
        <v>0</v>
      </c>
      <c r="K14" s="33">
        <v>0</v>
      </c>
      <c r="L14" s="34"/>
    </row>
    <row r="15" spans="1:12" x14ac:dyDescent="0.25">
      <c r="B15" s="35" t="s">
        <v>23</v>
      </c>
      <c r="C15" s="36" t="s">
        <v>24</v>
      </c>
      <c r="D15" s="29">
        <v>1242675</v>
      </c>
      <c r="E15" s="30">
        <f t="shared" si="2"/>
        <v>310096</v>
      </c>
      <c r="F15" s="31">
        <f t="shared" si="0"/>
        <v>310669</v>
      </c>
      <c r="G15" s="31">
        <f t="shared" si="3"/>
        <v>310669</v>
      </c>
      <c r="H15" s="31">
        <f t="shared" si="3"/>
        <v>310669</v>
      </c>
      <c r="I15" s="31">
        <f t="shared" si="1"/>
        <v>310668</v>
      </c>
      <c r="J15" s="32">
        <f t="shared" si="4"/>
        <v>932006</v>
      </c>
      <c r="K15" s="33">
        <v>-573</v>
      </c>
      <c r="L15" s="34"/>
    </row>
    <row r="16" spans="1:12" x14ac:dyDescent="0.25">
      <c r="B16" s="35" t="s">
        <v>25</v>
      </c>
      <c r="C16" s="23" t="s">
        <v>26</v>
      </c>
      <c r="D16" s="29">
        <v>32630</v>
      </c>
      <c r="E16" s="30">
        <f t="shared" si="2"/>
        <v>8146</v>
      </c>
      <c r="F16" s="31">
        <f t="shared" si="0"/>
        <v>8158</v>
      </c>
      <c r="G16" s="31">
        <f t="shared" si="3"/>
        <v>8158</v>
      </c>
      <c r="H16" s="31">
        <f t="shared" si="3"/>
        <v>8158</v>
      </c>
      <c r="I16" s="31">
        <f t="shared" si="1"/>
        <v>8156</v>
      </c>
      <c r="J16" s="32">
        <f t="shared" si="4"/>
        <v>24472</v>
      </c>
      <c r="K16" s="33">
        <v>-12</v>
      </c>
      <c r="L16" s="34"/>
    </row>
    <row r="17" spans="1:12" x14ac:dyDescent="0.25">
      <c r="B17" s="35" t="s">
        <v>27</v>
      </c>
      <c r="C17" s="23" t="s">
        <v>28</v>
      </c>
      <c r="D17" s="29">
        <v>215584</v>
      </c>
      <c r="E17" s="30">
        <f t="shared" si="2"/>
        <v>53421</v>
      </c>
      <c r="F17" s="31">
        <f t="shared" si="0"/>
        <v>53896</v>
      </c>
      <c r="G17" s="31">
        <f t="shared" si="3"/>
        <v>53896</v>
      </c>
      <c r="H17" s="31">
        <f t="shared" si="3"/>
        <v>53896</v>
      </c>
      <c r="I17" s="31">
        <f t="shared" si="1"/>
        <v>53896</v>
      </c>
      <c r="J17" s="32">
        <f t="shared" si="4"/>
        <v>161688</v>
      </c>
      <c r="K17" s="33">
        <v>-475</v>
      </c>
      <c r="L17" s="34"/>
    </row>
    <row r="18" spans="1:12" x14ac:dyDescent="0.25">
      <c r="B18" s="35" t="s">
        <v>29</v>
      </c>
      <c r="C18" s="23" t="s">
        <v>30</v>
      </c>
      <c r="D18" s="29">
        <v>3078762</v>
      </c>
      <c r="E18" s="30">
        <f t="shared" si="2"/>
        <v>570014</v>
      </c>
      <c r="F18" s="31">
        <f t="shared" si="0"/>
        <v>769691</v>
      </c>
      <c r="G18" s="31">
        <f t="shared" si="3"/>
        <v>769691</v>
      </c>
      <c r="H18" s="31">
        <f t="shared" si="3"/>
        <v>769691</v>
      </c>
      <c r="I18" s="31">
        <f t="shared" si="1"/>
        <v>769689</v>
      </c>
      <c r="J18" s="32">
        <f t="shared" si="4"/>
        <v>2309071</v>
      </c>
      <c r="K18" s="33">
        <v>-199677</v>
      </c>
      <c r="L18" s="34"/>
    </row>
    <row r="19" spans="1:12" x14ac:dyDescent="0.25">
      <c r="B19" s="35" t="s">
        <v>31</v>
      </c>
      <c r="C19" s="23" t="s">
        <v>32</v>
      </c>
      <c r="D19" s="29">
        <v>437520</v>
      </c>
      <c r="E19" s="30">
        <f t="shared" si="2"/>
        <v>108911</v>
      </c>
      <c r="F19" s="31">
        <f t="shared" si="0"/>
        <v>109380</v>
      </c>
      <c r="G19" s="31">
        <f t="shared" si="3"/>
        <v>109380</v>
      </c>
      <c r="H19" s="31">
        <f t="shared" si="3"/>
        <v>109380</v>
      </c>
      <c r="I19" s="31">
        <f t="shared" si="1"/>
        <v>109380</v>
      </c>
      <c r="J19" s="32">
        <f t="shared" si="4"/>
        <v>328140</v>
      </c>
      <c r="K19" s="33">
        <v>-469</v>
      </c>
      <c r="L19" s="34"/>
    </row>
    <row r="20" spans="1:12" x14ac:dyDescent="0.25">
      <c r="B20" s="35" t="s">
        <v>33</v>
      </c>
      <c r="C20" s="23" t="s">
        <v>34</v>
      </c>
      <c r="D20" s="29">
        <v>0</v>
      </c>
      <c r="E20" s="30">
        <f t="shared" si="2"/>
        <v>0</v>
      </c>
      <c r="F20" s="31">
        <f t="shared" si="0"/>
        <v>0</v>
      </c>
      <c r="G20" s="31">
        <f t="shared" si="3"/>
        <v>0</v>
      </c>
      <c r="H20" s="31">
        <f t="shared" si="3"/>
        <v>0</v>
      </c>
      <c r="I20" s="31">
        <f t="shared" si="1"/>
        <v>0</v>
      </c>
      <c r="J20" s="32">
        <f t="shared" si="4"/>
        <v>0</v>
      </c>
      <c r="K20" s="33">
        <v>0</v>
      </c>
      <c r="L20" s="34"/>
    </row>
    <row r="21" spans="1:12" x14ac:dyDescent="0.25">
      <c r="B21" s="35" t="s">
        <v>35</v>
      </c>
      <c r="C21" s="23" t="s">
        <v>36</v>
      </c>
      <c r="D21" s="29">
        <v>0</v>
      </c>
      <c r="E21" s="30">
        <f t="shared" si="2"/>
        <v>0</v>
      </c>
      <c r="F21" s="31">
        <f t="shared" si="0"/>
        <v>0</v>
      </c>
      <c r="G21" s="31">
        <f t="shared" si="3"/>
        <v>0</v>
      </c>
      <c r="H21" s="31">
        <f t="shared" si="3"/>
        <v>0</v>
      </c>
      <c r="I21" s="31">
        <f t="shared" si="1"/>
        <v>0</v>
      </c>
      <c r="J21" s="32">
        <f t="shared" si="4"/>
        <v>0</v>
      </c>
      <c r="K21" s="33">
        <v>0</v>
      </c>
      <c r="L21" s="34"/>
    </row>
    <row r="22" spans="1:12" x14ac:dyDescent="0.25">
      <c r="B22" s="35" t="s">
        <v>37</v>
      </c>
      <c r="C22" s="23" t="s">
        <v>38</v>
      </c>
      <c r="D22" s="29">
        <v>9840</v>
      </c>
      <c r="E22" s="30">
        <f t="shared" si="2"/>
        <v>2434</v>
      </c>
      <c r="F22" s="31">
        <f t="shared" si="0"/>
        <v>2460</v>
      </c>
      <c r="G22" s="31">
        <f t="shared" si="3"/>
        <v>2460</v>
      </c>
      <c r="H22" s="31">
        <f t="shared" si="3"/>
        <v>2460</v>
      </c>
      <c r="I22" s="31">
        <f t="shared" si="1"/>
        <v>2460</v>
      </c>
      <c r="J22" s="32">
        <f t="shared" si="4"/>
        <v>7380</v>
      </c>
      <c r="K22" s="33">
        <v>-26</v>
      </c>
      <c r="L22" s="34"/>
    </row>
    <row r="23" spans="1:12" x14ac:dyDescent="0.25">
      <c r="B23" s="35" t="s">
        <v>39</v>
      </c>
      <c r="C23" s="23" t="s">
        <v>40</v>
      </c>
      <c r="D23" s="29">
        <v>156470</v>
      </c>
      <c r="E23" s="30">
        <f t="shared" si="2"/>
        <v>39118</v>
      </c>
      <c r="F23" s="31">
        <f t="shared" si="0"/>
        <v>39118</v>
      </c>
      <c r="G23" s="31">
        <f t="shared" si="3"/>
        <v>39118</v>
      </c>
      <c r="H23" s="31">
        <f t="shared" si="3"/>
        <v>39118</v>
      </c>
      <c r="I23" s="31">
        <f t="shared" si="1"/>
        <v>39116</v>
      </c>
      <c r="J23" s="32">
        <f t="shared" si="4"/>
        <v>117352</v>
      </c>
      <c r="K23" s="33">
        <v>0</v>
      </c>
      <c r="L23" s="34"/>
    </row>
    <row r="24" spans="1:12" x14ac:dyDescent="0.25">
      <c r="B24" s="35" t="s">
        <v>41</v>
      </c>
      <c r="C24" s="23" t="s">
        <v>42</v>
      </c>
      <c r="D24" s="29">
        <v>0</v>
      </c>
      <c r="E24" s="30">
        <f t="shared" si="2"/>
        <v>0</v>
      </c>
      <c r="F24" s="31">
        <f t="shared" si="0"/>
        <v>0</v>
      </c>
      <c r="G24" s="31">
        <f t="shared" si="3"/>
        <v>0</v>
      </c>
      <c r="H24" s="31">
        <f t="shared" si="3"/>
        <v>0</v>
      </c>
      <c r="I24" s="31">
        <f t="shared" si="1"/>
        <v>0</v>
      </c>
      <c r="J24" s="32">
        <f t="shared" si="4"/>
        <v>0</v>
      </c>
      <c r="K24" s="33">
        <v>0</v>
      </c>
      <c r="L24" s="34"/>
    </row>
    <row r="25" spans="1:12" x14ac:dyDescent="0.25">
      <c r="B25" s="35" t="s">
        <v>43</v>
      </c>
      <c r="C25" s="23" t="s">
        <v>44</v>
      </c>
      <c r="D25" s="29">
        <v>222265</v>
      </c>
      <c r="E25" s="30">
        <f t="shared" si="2"/>
        <v>54803</v>
      </c>
      <c r="F25" s="31">
        <f t="shared" si="0"/>
        <v>55566</v>
      </c>
      <c r="G25" s="31">
        <f t="shared" si="3"/>
        <v>55566</v>
      </c>
      <c r="H25" s="31">
        <f t="shared" si="3"/>
        <v>55566</v>
      </c>
      <c r="I25" s="31">
        <f t="shared" si="1"/>
        <v>55567</v>
      </c>
      <c r="J25" s="32">
        <f t="shared" si="4"/>
        <v>166699</v>
      </c>
      <c r="K25" s="33">
        <v>-763</v>
      </c>
      <c r="L25" s="34"/>
    </row>
    <row r="26" spans="1:12" x14ac:dyDescent="0.25">
      <c r="B26" s="35" t="s">
        <v>45</v>
      </c>
      <c r="C26" s="23" t="s">
        <v>46</v>
      </c>
      <c r="D26" s="29">
        <v>0</v>
      </c>
      <c r="E26" s="30">
        <f t="shared" si="2"/>
        <v>0</v>
      </c>
      <c r="F26" s="31">
        <f t="shared" si="0"/>
        <v>0</v>
      </c>
      <c r="G26" s="31">
        <f t="shared" ref="G26:H37" si="5">+F26</f>
        <v>0</v>
      </c>
      <c r="H26" s="31">
        <f t="shared" si="5"/>
        <v>0</v>
      </c>
      <c r="I26" s="31">
        <f t="shared" si="1"/>
        <v>0</v>
      </c>
      <c r="J26" s="32">
        <f t="shared" si="4"/>
        <v>0</v>
      </c>
      <c r="K26" s="33">
        <v>0</v>
      </c>
      <c r="L26" s="34"/>
    </row>
    <row r="27" spans="1:12" x14ac:dyDescent="0.25">
      <c r="A27" s="37" t="s">
        <v>18</v>
      </c>
      <c r="B27" s="35" t="s">
        <v>47</v>
      </c>
      <c r="C27" s="23" t="s">
        <v>20</v>
      </c>
      <c r="D27" s="29">
        <v>0</v>
      </c>
      <c r="E27" s="30">
        <f t="shared" si="2"/>
        <v>0</v>
      </c>
      <c r="F27" s="31">
        <f t="shared" si="0"/>
        <v>0</v>
      </c>
      <c r="G27" s="31">
        <f t="shared" si="5"/>
        <v>0</v>
      </c>
      <c r="H27" s="31">
        <f t="shared" si="5"/>
        <v>0</v>
      </c>
      <c r="I27" s="31">
        <f t="shared" si="1"/>
        <v>0</v>
      </c>
      <c r="J27" s="32">
        <f t="shared" si="4"/>
        <v>0</v>
      </c>
      <c r="K27" s="33">
        <v>0</v>
      </c>
      <c r="L27" s="34"/>
    </row>
    <row r="28" spans="1:12" x14ac:dyDescent="0.25">
      <c r="B28" s="35" t="s">
        <v>48</v>
      </c>
      <c r="C28" s="23" t="s">
        <v>49</v>
      </c>
      <c r="D28" s="29">
        <v>668104</v>
      </c>
      <c r="E28" s="30">
        <f t="shared" si="2"/>
        <v>165880</v>
      </c>
      <c r="F28" s="31">
        <f t="shared" si="0"/>
        <v>167026</v>
      </c>
      <c r="G28" s="31">
        <f t="shared" si="5"/>
        <v>167026</v>
      </c>
      <c r="H28" s="31">
        <f t="shared" si="5"/>
        <v>167026</v>
      </c>
      <c r="I28" s="31">
        <f t="shared" si="1"/>
        <v>167026</v>
      </c>
      <c r="J28" s="32">
        <f t="shared" si="4"/>
        <v>501078</v>
      </c>
      <c r="K28" s="33">
        <v>-1146</v>
      </c>
      <c r="L28" s="34"/>
    </row>
    <row r="29" spans="1:12" x14ac:dyDescent="0.25">
      <c r="B29" s="35" t="s">
        <v>50</v>
      </c>
      <c r="C29" s="23" t="s">
        <v>51</v>
      </c>
      <c r="D29" s="29">
        <v>1697</v>
      </c>
      <c r="E29" s="30">
        <f t="shared" si="2"/>
        <v>424</v>
      </c>
      <c r="F29" s="31">
        <f t="shared" si="0"/>
        <v>424</v>
      </c>
      <c r="G29" s="31">
        <f t="shared" si="5"/>
        <v>424</v>
      </c>
      <c r="H29" s="31">
        <f t="shared" si="5"/>
        <v>424</v>
      </c>
      <c r="I29" s="31">
        <f t="shared" si="1"/>
        <v>425</v>
      </c>
      <c r="J29" s="32">
        <f t="shared" si="4"/>
        <v>1273</v>
      </c>
      <c r="K29" s="33">
        <v>0</v>
      </c>
      <c r="L29" s="34"/>
    </row>
    <row r="30" spans="1:12" x14ac:dyDescent="0.25">
      <c r="B30" s="35" t="s">
        <v>52</v>
      </c>
      <c r="C30" s="23" t="s">
        <v>53</v>
      </c>
      <c r="D30" s="29">
        <v>1742842</v>
      </c>
      <c r="E30" s="30">
        <f t="shared" si="2"/>
        <v>349102</v>
      </c>
      <c r="F30" s="31">
        <f t="shared" si="0"/>
        <v>435711</v>
      </c>
      <c r="G30" s="31">
        <f t="shared" si="5"/>
        <v>435711</v>
      </c>
      <c r="H30" s="31">
        <f t="shared" si="5"/>
        <v>435711</v>
      </c>
      <c r="I30" s="31">
        <f t="shared" si="1"/>
        <v>435709</v>
      </c>
      <c r="J30" s="32">
        <f t="shared" si="4"/>
        <v>1307131</v>
      </c>
      <c r="K30" s="33">
        <v>-86609</v>
      </c>
      <c r="L30" s="34"/>
    </row>
    <row r="31" spans="1:12" x14ac:dyDescent="0.25">
      <c r="B31" s="35" t="s">
        <v>54</v>
      </c>
      <c r="C31" s="23" t="s">
        <v>55</v>
      </c>
      <c r="D31" s="29">
        <v>517600</v>
      </c>
      <c r="E31" s="30">
        <f t="shared" si="2"/>
        <v>128315</v>
      </c>
      <c r="F31" s="31">
        <f t="shared" si="0"/>
        <v>129400</v>
      </c>
      <c r="G31" s="31">
        <f t="shared" si="5"/>
        <v>129400</v>
      </c>
      <c r="H31" s="31">
        <f t="shared" si="5"/>
        <v>129400</v>
      </c>
      <c r="I31" s="31">
        <f t="shared" si="1"/>
        <v>129400</v>
      </c>
      <c r="J31" s="32">
        <f t="shared" si="4"/>
        <v>388200</v>
      </c>
      <c r="K31" s="33">
        <v>-1085</v>
      </c>
      <c r="L31" s="34"/>
    </row>
    <row r="32" spans="1:12" x14ac:dyDescent="0.25">
      <c r="B32" s="35" t="s">
        <v>56</v>
      </c>
      <c r="C32" s="23" t="s">
        <v>57</v>
      </c>
      <c r="D32" s="29">
        <v>624959</v>
      </c>
      <c r="E32" s="30">
        <f t="shared" si="2"/>
        <v>107820</v>
      </c>
      <c r="F32" s="31">
        <f t="shared" si="0"/>
        <v>156240</v>
      </c>
      <c r="G32" s="31">
        <f t="shared" si="5"/>
        <v>156240</v>
      </c>
      <c r="H32" s="31">
        <f t="shared" si="5"/>
        <v>156240</v>
      </c>
      <c r="I32" s="31">
        <f t="shared" si="1"/>
        <v>156239</v>
      </c>
      <c r="J32" s="32">
        <f t="shared" si="4"/>
        <v>468719</v>
      </c>
      <c r="K32" s="33">
        <v>-48420</v>
      </c>
      <c r="L32" s="34"/>
    </row>
    <row r="33" spans="1:119" x14ac:dyDescent="0.25">
      <c r="B33" s="35" t="s">
        <v>58</v>
      </c>
      <c r="C33" s="23" t="s">
        <v>59</v>
      </c>
      <c r="D33" s="29">
        <v>0</v>
      </c>
      <c r="E33" s="30">
        <f t="shared" si="2"/>
        <v>0</v>
      </c>
      <c r="F33" s="31">
        <f t="shared" si="0"/>
        <v>0</v>
      </c>
      <c r="G33" s="31">
        <f t="shared" si="5"/>
        <v>0</v>
      </c>
      <c r="H33" s="31">
        <f t="shared" si="5"/>
        <v>0</v>
      </c>
      <c r="I33" s="31">
        <f t="shared" si="1"/>
        <v>0</v>
      </c>
      <c r="J33" s="32">
        <f t="shared" si="4"/>
        <v>0</v>
      </c>
      <c r="K33" s="33">
        <v>0</v>
      </c>
      <c r="L33" s="34"/>
    </row>
    <row r="34" spans="1:119" x14ac:dyDescent="0.25">
      <c r="B34" s="35" t="s">
        <v>60</v>
      </c>
      <c r="C34" s="23" t="s">
        <v>61</v>
      </c>
      <c r="D34" s="29">
        <v>273731</v>
      </c>
      <c r="E34" s="30">
        <f t="shared" si="2"/>
        <v>67901</v>
      </c>
      <c r="F34" s="31">
        <f t="shared" si="0"/>
        <v>68433</v>
      </c>
      <c r="G34" s="31">
        <f t="shared" si="5"/>
        <v>68433</v>
      </c>
      <c r="H34" s="31">
        <f t="shared" si="5"/>
        <v>68433</v>
      </c>
      <c r="I34" s="31">
        <f t="shared" si="1"/>
        <v>68432</v>
      </c>
      <c r="J34" s="32">
        <f t="shared" si="4"/>
        <v>205298</v>
      </c>
      <c r="K34" s="33">
        <v>-532</v>
      </c>
      <c r="L34" s="34"/>
    </row>
    <row r="35" spans="1:119" x14ac:dyDescent="0.25">
      <c r="B35" s="35" t="s">
        <v>62</v>
      </c>
      <c r="C35" s="23" t="s">
        <v>63</v>
      </c>
      <c r="D35" s="29">
        <v>597884</v>
      </c>
      <c r="E35" s="30">
        <f t="shared" si="2"/>
        <v>122543</v>
      </c>
      <c r="F35" s="31">
        <f t="shared" si="0"/>
        <v>149471</v>
      </c>
      <c r="G35" s="31">
        <f t="shared" si="5"/>
        <v>149471</v>
      </c>
      <c r="H35" s="31">
        <f t="shared" si="5"/>
        <v>149471</v>
      </c>
      <c r="I35" s="31">
        <f t="shared" si="1"/>
        <v>149471</v>
      </c>
      <c r="J35" s="32">
        <f t="shared" si="4"/>
        <v>448413</v>
      </c>
      <c r="K35" s="33">
        <v>-26928</v>
      </c>
      <c r="L35" s="34"/>
    </row>
    <row r="36" spans="1:119" x14ac:dyDescent="0.25">
      <c r="B36" s="35" t="s">
        <v>64</v>
      </c>
      <c r="C36" s="23" t="s">
        <v>65</v>
      </c>
      <c r="D36" s="29">
        <v>0</v>
      </c>
      <c r="E36" s="30">
        <f t="shared" si="2"/>
        <v>0</v>
      </c>
      <c r="F36" s="31">
        <f t="shared" si="0"/>
        <v>0</v>
      </c>
      <c r="G36" s="31">
        <f t="shared" si="5"/>
        <v>0</v>
      </c>
      <c r="H36" s="31">
        <f t="shared" si="5"/>
        <v>0</v>
      </c>
      <c r="I36" s="31">
        <f t="shared" si="1"/>
        <v>0</v>
      </c>
      <c r="J36" s="32">
        <f t="shared" si="4"/>
        <v>0</v>
      </c>
      <c r="K36" s="33">
        <v>0</v>
      </c>
      <c r="L36" s="34"/>
    </row>
    <row r="37" spans="1:119" s="38" customFormat="1" x14ac:dyDescent="0.25">
      <c r="B37" s="35" t="s">
        <v>66</v>
      </c>
      <c r="C37" s="23" t="s">
        <v>67</v>
      </c>
      <c r="D37" s="29">
        <v>7155180</v>
      </c>
      <c r="E37" s="30">
        <f t="shared" si="2"/>
        <v>1436545</v>
      </c>
      <c r="F37" s="31">
        <f t="shared" si="0"/>
        <v>1788795</v>
      </c>
      <c r="G37" s="31">
        <f t="shared" si="5"/>
        <v>1788795</v>
      </c>
      <c r="H37" s="31">
        <f t="shared" si="5"/>
        <v>1788795</v>
      </c>
      <c r="I37" s="31">
        <f t="shared" si="1"/>
        <v>1788795</v>
      </c>
      <c r="J37" s="32">
        <f t="shared" si="4"/>
        <v>5366385</v>
      </c>
      <c r="K37" s="33">
        <v>-352250</v>
      </c>
      <c r="L37" s="39"/>
      <c r="M37"/>
      <c r="N37"/>
      <c r="O37"/>
      <c r="P37"/>
      <c r="Q37"/>
      <c r="R37"/>
      <c r="S37"/>
      <c r="T37"/>
      <c r="U3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</row>
    <row r="38" spans="1:119" s="7" customFormat="1" x14ac:dyDescent="0.25">
      <c r="B38" s="40" t="s">
        <v>68</v>
      </c>
      <c r="C38" s="40"/>
      <c r="D38" s="29">
        <f>SUM(D9:D37)</f>
        <v>19477797</v>
      </c>
      <c r="E38" s="31">
        <f>SUM(E9:E37)</f>
        <v>4145950</v>
      </c>
      <c r="F38" s="31">
        <f>SUM(F9:F37)</f>
        <v>4869451</v>
      </c>
      <c r="G38" s="31">
        <f t="shared" ref="G38:I38" si="6">SUM(G9:G37)</f>
        <v>4869451</v>
      </c>
      <c r="H38" s="31">
        <f t="shared" si="6"/>
        <v>4869451</v>
      </c>
      <c r="I38" s="31">
        <f t="shared" si="6"/>
        <v>4869444</v>
      </c>
      <c r="J38" s="41">
        <f t="shared" ref="J38" si="7">SUM(F38:I38)</f>
        <v>19477797</v>
      </c>
      <c r="K38" s="42">
        <f>SUM(K9:K37)</f>
        <v>-723501</v>
      </c>
      <c r="L38" s="34"/>
      <c r="M38"/>
      <c r="N38"/>
      <c r="O38"/>
      <c r="P38"/>
      <c r="Q38"/>
      <c r="R38"/>
      <c r="S38"/>
      <c r="T38"/>
      <c r="U38"/>
    </row>
    <row r="39" spans="1:119" x14ac:dyDescent="0.25">
      <c r="B39" s="3"/>
      <c r="C39" s="3"/>
      <c r="D39" s="43"/>
      <c r="E39" s="44">
        <f>E38-G38</f>
        <v>-723501</v>
      </c>
      <c r="F39" s="43"/>
      <c r="G39" s="43"/>
      <c r="H39" s="43"/>
      <c r="J39" s="42"/>
      <c r="L39" s="34"/>
      <c r="Y39" s="37"/>
    </row>
    <row r="40" spans="1:119" ht="7.5" customHeight="1" x14ac:dyDescent="0.25">
      <c r="B40" s="37"/>
      <c r="C40" s="37"/>
      <c r="D40" s="4"/>
      <c r="E40" s="4"/>
      <c r="F40" s="4"/>
      <c r="G40" s="4"/>
      <c r="H40" s="4"/>
      <c r="I40" s="46"/>
      <c r="J40" s="42"/>
      <c r="L40" s="34"/>
    </row>
    <row r="41" spans="1:119" x14ac:dyDescent="0.25">
      <c r="A41" s="37" t="s">
        <v>18</v>
      </c>
      <c r="B41" s="47" t="s">
        <v>69</v>
      </c>
      <c r="C41" s="47"/>
      <c r="D41" s="4"/>
      <c r="E41" s="4"/>
      <c r="F41" s="4"/>
      <c r="G41" s="4"/>
      <c r="H41" s="4"/>
      <c r="I41" s="46"/>
      <c r="J41" s="42"/>
      <c r="K41" s="48"/>
      <c r="L41" s="49"/>
      <c r="AG41" s="45"/>
    </row>
    <row r="42" spans="1:119" x14ac:dyDescent="0.25">
      <c r="B42" s="50"/>
      <c r="C42" s="50"/>
      <c r="D42" s="4"/>
      <c r="E42" s="4"/>
      <c r="F42" s="4"/>
      <c r="G42" s="4"/>
      <c r="H42" s="4"/>
      <c r="I42" s="46"/>
      <c r="J42" s="42"/>
      <c r="K42" s="48"/>
      <c r="L42" s="49"/>
      <c r="AG42" s="51"/>
    </row>
    <row r="43" spans="1:119" x14ac:dyDescent="0.25">
      <c r="B43" s="50"/>
      <c r="C43" s="50"/>
      <c r="D43" s="4"/>
      <c r="E43" s="4"/>
      <c r="F43" s="4"/>
      <c r="G43" s="4"/>
      <c r="H43" s="4"/>
      <c r="I43" s="46"/>
      <c r="J43" s="42"/>
      <c r="K43" s="48"/>
      <c r="L43" s="49"/>
      <c r="AG43" s="51"/>
    </row>
    <row r="44" spans="1:119" x14ac:dyDescent="0.25">
      <c r="B44" s="50"/>
      <c r="C44" s="50"/>
      <c r="D44" s="4"/>
      <c r="E44" s="4"/>
      <c r="F44" s="4"/>
      <c r="G44" s="4"/>
      <c r="H44" s="4"/>
      <c r="I44" s="46"/>
      <c r="J44" s="42"/>
      <c r="K44" s="48"/>
      <c r="L44" s="49"/>
      <c r="AG44" s="51"/>
    </row>
    <row r="45" spans="1:119" x14ac:dyDescent="0.25">
      <c r="B45" s="52"/>
      <c r="C45" s="52"/>
      <c r="D45" s="4"/>
      <c r="E45" s="4"/>
      <c r="F45" s="4"/>
      <c r="G45" s="4"/>
      <c r="H45" s="4"/>
      <c r="I45" s="46"/>
      <c r="J45" s="42"/>
      <c r="K45" s="48"/>
      <c r="L45" s="49"/>
      <c r="AF45" s="52"/>
      <c r="AG45" s="53"/>
    </row>
    <row r="46" spans="1:119" x14ac:dyDescent="0.25">
      <c r="B46" s="52"/>
      <c r="C46" s="52"/>
      <c r="D46" s="4"/>
      <c r="E46" s="4"/>
      <c r="F46" s="4"/>
      <c r="G46" s="4"/>
      <c r="H46" s="4"/>
      <c r="I46" s="46"/>
      <c r="J46" s="42"/>
      <c r="K46" s="48"/>
      <c r="L46" s="49"/>
      <c r="AF46" s="52"/>
      <c r="AG46" s="53"/>
    </row>
    <row r="47" spans="1:119" x14ac:dyDescent="0.25">
      <c r="B47" s="37"/>
      <c r="C47" s="37"/>
      <c r="D47" s="4"/>
      <c r="E47" s="4"/>
      <c r="F47" s="4"/>
      <c r="G47" s="4"/>
      <c r="H47" s="4"/>
      <c r="I47" s="46"/>
      <c r="J47" s="42"/>
      <c r="K47" s="48"/>
      <c r="L47" s="49"/>
      <c r="AF47" s="52"/>
      <c r="AG47" s="53"/>
    </row>
    <row r="48" spans="1:119" x14ac:dyDescent="0.25">
      <c r="B48" s="37"/>
      <c r="C48" s="37"/>
      <c r="D48" s="4"/>
      <c r="E48" s="4"/>
      <c r="F48" s="4"/>
      <c r="G48" s="4"/>
      <c r="H48" s="4"/>
      <c r="I48" s="46"/>
      <c r="J48" s="42"/>
      <c r="K48" s="48"/>
      <c r="L48" s="49"/>
      <c r="AF48" s="52"/>
      <c r="AG48" s="53"/>
    </row>
    <row r="49" spans="2:33" x14ac:dyDescent="0.25">
      <c r="B49" s="37"/>
      <c r="C49" s="37"/>
      <c r="D49" s="4"/>
      <c r="E49" s="4"/>
      <c r="F49" s="4"/>
      <c r="G49" s="4"/>
      <c r="H49" s="4"/>
      <c r="I49" s="46"/>
      <c r="J49" s="42"/>
      <c r="K49" s="48"/>
      <c r="L49" s="49"/>
      <c r="AF49" s="52"/>
      <c r="AG49" s="53"/>
    </row>
    <row r="50" spans="2:33" x14ac:dyDescent="0.25">
      <c r="B50" s="54"/>
      <c r="C50" s="54"/>
      <c r="D50" s="4"/>
      <c r="E50" s="4"/>
      <c r="F50" s="4"/>
      <c r="G50" s="4"/>
      <c r="H50" s="4"/>
      <c r="I50" s="46"/>
      <c r="J50" s="42"/>
    </row>
    <row r="51" spans="2:33" x14ac:dyDescent="0.25">
      <c r="B51" s="54"/>
      <c r="D51" s="4"/>
      <c r="E51" s="4"/>
      <c r="F51" s="4"/>
      <c r="G51" s="4"/>
      <c r="H51" s="4"/>
      <c r="I51" s="46"/>
      <c r="J51" s="42"/>
    </row>
    <row r="52" spans="2:33" x14ac:dyDescent="0.25">
      <c r="B52" s="54"/>
      <c r="C52" s="54"/>
      <c r="D52" s="4"/>
      <c r="E52" s="4"/>
      <c r="F52" s="4"/>
      <c r="G52" s="4"/>
      <c r="H52" s="4"/>
      <c r="I52" s="46"/>
      <c r="J52" s="42"/>
    </row>
    <row r="53" spans="2:33" x14ac:dyDescent="0.25">
      <c r="B53" s="54"/>
      <c r="C53" s="54"/>
      <c r="D53" s="4"/>
      <c r="E53" s="4"/>
      <c r="F53" s="4"/>
      <c r="G53" s="4"/>
      <c r="H53" s="4"/>
      <c r="I53" s="46"/>
      <c r="J53" s="42"/>
    </row>
    <row r="54" spans="2:33" x14ac:dyDescent="0.25">
      <c r="B54" s="54"/>
      <c r="D54" s="4"/>
      <c r="E54" s="4"/>
      <c r="F54" s="4"/>
      <c r="G54" s="4"/>
      <c r="H54" s="4"/>
      <c r="I54" s="46"/>
      <c r="J54" s="42"/>
    </row>
    <row r="55" spans="2:33" x14ac:dyDescent="0.25">
      <c r="E55" s="4"/>
      <c r="F55" s="4"/>
      <c r="G55" s="4"/>
      <c r="H55" s="4"/>
      <c r="I55" s="46"/>
      <c r="J55" s="42"/>
    </row>
    <row r="56" spans="2:33" x14ac:dyDescent="0.25">
      <c r="E56" s="4"/>
      <c r="F56" s="4"/>
      <c r="G56" s="4"/>
      <c r="H56" s="4"/>
      <c r="I56" s="46"/>
      <c r="J56" s="42"/>
    </row>
    <row r="57" spans="2:33" x14ac:dyDescent="0.25">
      <c r="E57" s="4"/>
      <c r="F57" s="4"/>
      <c r="G57" s="4"/>
      <c r="H57" s="4"/>
      <c r="I57" s="46"/>
      <c r="J57" s="42"/>
    </row>
    <row r="58" spans="2:33" x14ac:dyDescent="0.25">
      <c r="E58" s="4"/>
      <c r="F58" s="4"/>
      <c r="G58" s="4"/>
      <c r="H58" s="4"/>
      <c r="I58" s="46"/>
      <c r="J58" s="42"/>
    </row>
    <row r="59" spans="2:33" x14ac:dyDescent="0.25">
      <c r="D59" s="4"/>
      <c r="E59" s="4"/>
      <c r="F59" s="4"/>
      <c r="G59" s="4"/>
      <c r="H59" s="4"/>
      <c r="I59" s="46"/>
      <c r="J59" s="42"/>
    </row>
    <row r="60" spans="2:33" x14ac:dyDescent="0.25">
      <c r="D60" s="4"/>
      <c r="E60" s="4"/>
      <c r="F60" s="4"/>
      <c r="G60" s="4"/>
      <c r="H60" s="4"/>
      <c r="I60" s="46"/>
      <c r="J60" s="42"/>
    </row>
    <row r="61" spans="2:33" x14ac:dyDescent="0.25">
      <c r="D61" s="4"/>
      <c r="E61" s="4"/>
      <c r="F61" s="4"/>
      <c r="G61" s="4"/>
      <c r="H61" s="4"/>
      <c r="I61" s="46"/>
      <c r="J61" s="42"/>
    </row>
    <row r="62" spans="2:33" x14ac:dyDescent="0.25">
      <c r="D62" s="4"/>
      <c r="E62" s="4"/>
      <c r="F62" s="4"/>
      <c r="G62" s="4"/>
      <c r="H62" s="4"/>
    </row>
    <row r="63" spans="2:33" x14ac:dyDescent="0.25">
      <c r="D63" s="4"/>
      <c r="E63" s="4"/>
      <c r="F63" s="4"/>
      <c r="G63" s="4"/>
      <c r="H63" s="4"/>
    </row>
    <row r="64" spans="2:33" x14ac:dyDescent="0.25">
      <c r="D64" s="4"/>
      <c r="E64" s="4"/>
      <c r="F64" s="4"/>
      <c r="G64" s="4"/>
      <c r="H64" s="4"/>
    </row>
  </sheetData>
  <mergeCells count="3">
    <mergeCell ref="K2:L2"/>
    <mergeCell ref="K3:L3"/>
    <mergeCell ref="K5:L5"/>
  </mergeCells>
  <conditionalFormatting sqref="J9:J38">
    <cfRule type="cellIs" dxfId="1" priority="3" operator="lessThan">
      <formula>0</formula>
    </cfRule>
    <cfRule type="cellIs" dxfId="0" priority="4" stopIfTrue="1" operator="lessThan">
      <formula>#REF!</formula>
    </cfRule>
  </conditionalFormatting>
  <pageMargins left="0.75" right="0.75" top="0.6" bottom="0.59" header="0.25" footer="0.25"/>
  <pageSetup scale="78" orientation="landscape" r:id="rId1"/>
  <headerFooter alignWithMargins="0">
    <oddFooter>&amp;L&amp;9&amp;Z&amp;F, &amp;A&amp;R&amp;7&amp;D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34" zoomScale="90" zoomScaleNormal="90" workbookViewId="0">
      <pane xSplit="2" topLeftCell="C1" activePane="topRight" state="frozen"/>
      <selection activeCell="E6" sqref="E6"/>
      <selection pane="topRight" activeCell="E6" sqref="E6"/>
    </sheetView>
  </sheetViews>
  <sheetFormatPr defaultColWidth="9.109375" defaultRowHeight="14.4" x14ac:dyDescent="0.3"/>
  <cols>
    <col min="1" max="1" width="7" style="55" bestFit="1" customWidth="1"/>
    <col min="2" max="2" width="67.33203125" style="55" customWidth="1"/>
    <col min="3" max="3" width="17.5546875" style="56" bestFit="1" customWidth="1"/>
    <col min="4" max="4" width="16.88671875" style="56" bestFit="1" customWidth="1"/>
    <col min="5" max="5" width="17.5546875" style="56" bestFit="1" customWidth="1"/>
    <col min="6" max="6" width="16.88671875" style="56" bestFit="1" customWidth="1"/>
    <col min="7" max="9" width="17.5546875" style="56" bestFit="1" customWidth="1"/>
    <col min="10" max="10" width="18.33203125" style="56" bestFit="1" customWidth="1"/>
    <col min="11" max="12" width="16.109375" style="55" bestFit="1" customWidth="1"/>
    <col min="13" max="13" width="16.33203125" style="55" bestFit="1" customWidth="1"/>
    <col min="14" max="14" width="13.33203125" style="55" bestFit="1" customWidth="1"/>
    <col min="15" max="15" width="16.44140625" style="55" customWidth="1"/>
    <col min="16" max="16384" width="9.109375" style="55"/>
  </cols>
  <sheetData>
    <row r="1" spans="1:15" ht="17.399999999999999" x14ac:dyDescent="0.3">
      <c r="A1" s="118" t="s">
        <v>121</v>
      </c>
      <c r="B1" s="73"/>
      <c r="K1" s="56"/>
    </row>
    <row r="2" spans="1:15" x14ac:dyDescent="0.3">
      <c r="B2" s="103"/>
      <c r="D2" s="117"/>
      <c r="K2" s="56"/>
    </row>
    <row r="3" spans="1:15" s="57" customFormat="1" x14ac:dyDescent="0.3">
      <c r="A3" s="86"/>
      <c r="B3" s="85" t="s">
        <v>106</v>
      </c>
      <c r="C3" s="84" t="s">
        <v>120</v>
      </c>
      <c r="D3" s="84" t="s">
        <v>119</v>
      </c>
      <c r="E3" s="84" t="s">
        <v>118</v>
      </c>
      <c r="F3" s="84" t="s">
        <v>117</v>
      </c>
      <c r="G3" s="84" t="s">
        <v>116</v>
      </c>
      <c r="H3" s="84" t="s">
        <v>115</v>
      </c>
      <c r="I3" s="84" t="s">
        <v>114</v>
      </c>
    </row>
    <row r="4" spans="1:15" x14ac:dyDescent="0.3">
      <c r="A4" s="83"/>
      <c r="B4" s="83"/>
    </row>
    <row r="5" spans="1:15" x14ac:dyDescent="0.3">
      <c r="A5" s="82"/>
      <c r="B5" s="66" t="s">
        <v>100</v>
      </c>
      <c r="C5" s="102"/>
      <c r="E5" s="102"/>
      <c r="F5" s="102"/>
      <c r="G5" s="102"/>
      <c r="H5" s="102"/>
      <c r="I5" s="102"/>
      <c r="L5" s="116"/>
      <c r="M5" s="115"/>
    </row>
    <row r="6" spans="1:15" x14ac:dyDescent="0.3">
      <c r="A6" s="64" t="s">
        <v>99</v>
      </c>
      <c r="B6" s="78" t="s">
        <v>98</v>
      </c>
      <c r="C6" s="81">
        <v>47.22</v>
      </c>
      <c r="D6" s="81">
        <v>28.06</v>
      </c>
      <c r="E6" s="81">
        <v>42.27</v>
      </c>
      <c r="F6" s="81">
        <v>32.57</v>
      </c>
      <c r="G6" s="81">
        <v>22.37</v>
      </c>
      <c r="H6" s="81">
        <v>28.44</v>
      </c>
      <c r="I6" s="81">
        <v>60.13</v>
      </c>
      <c r="L6" s="98"/>
      <c r="M6" s="114"/>
    </row>
    <row r="7" spans="1:15" x14ac:dyDescent="0.3">
      <c r="A7" s="64" t="s">
        <v>97</v>
      </c>
      <c r="B7" s="78" t="s">
        <v>96</v>
      </c>
      <c r="C7" s="81">
        <v>44.03</v>
      </c>
      <c r="D7" s="81">
        <v>15.88</v>
      </c>
      <c r="E7" s="81">
        <v>24.71</v>
      </c>
      <c r="F7" s="81">
        <v>94.59</v>
      </c>
      <c r="G7" s="81">
        <v>0</v>
      </c>
      <c r="H7" s="81">
        <v>0</v>
      </c>
      <c r="I7" s="81">
        <v>155.06</v>
      </c>
      <c r="L7" s="98"/>
      <c r="M7" s="114"/>
    </row>
    <row r="8" spans="1:15" x14ac:dyDescent="0.3">
      <c r="A8" s="64" t="s">
        <v>95</v>
      </c>
      <c r="B8" s="78" t="s">
        <v>94</v>
      </c>
      <c r="C8" s="79">
        <v>98659.3</v>
      </c>
      <c r="D8" s="79">
        <v>85862.8</v>
      </c>
      <c r="E8" s="79">
        <v>98109.07</v>
      </c>
      <c r="F8" s="79">
        <v>95276.07</v>
      </c>
      <c r="G8" s="79">
        <v>117843</v>
      </c>
      <c r="H8" s="79">
        <v>92626.37</v>
      </c>
      <c r="I8" s="79">
        <v>115432.45</v>
      </c>
      <c r="L8" s="98"/>
      <c r="M8" s="113"/>
    </row>
    <row r="9" spans="1:15" x14ac:dyDescent="0.3">
      <c r="A9" s="64" t="s">
        <v>93</v>
      </c>
      <c r="B9" s="78" t="s">
        <v>92</v>
      </c>
      <c r="C9" s="79">
        <v>95425.51</v>
      </c>
      <c r="D9" s="79">
        <v>85862.8</v>
      </c>
      <c r="E9" s="79">
        <v>93802.72</v>
      </c>
      <c r="F9" s="79">
        <v>95276.07</v>
      </c>
      <c r="G9" s="79">
        <v>111719</v>
      </c>
      <c r="H9" s="79">
        <v>0</v>
      </c>
      <c r="I9" s="79">
        <v>109433.33</v>
      </c>
      <c r="L9" s="98"/>
      <c r="M9" s="58"/>
    </row>
    <row r="10" spans="1:15" x14ac:dyDescent="0.3">
      <c r="A10" s="64" t="s">
        <v>91</v>
      </c>
      <c r="B10" s="78" t="s">
        <v>90</v>
      </c>
      <c r="C10" s="62">
        <v>9272457.3008905575</v>
      </c>
      <c r="D10" s="62">
        <v>3948322.4440012802</v>
      </c>
      <c r="E10" s="62">
        <v>6765683.9972250247</v>
      </c>
      <c r="F10" s="62">
        <v>12678909.471359676</v>
      </c>
      <c r="G10" s="62">
        <v>2758781.6049600001</v>
      </c>
      <c r="H10" s="62">
        <v>2756841.3568799999</v>
      </c>
      <c r="I10" s="62">
        <v>25021963.702968694</v>
      </c>
      <c r="L10" s="112"/>
      <c r="M10" s="58"/>
      <c r="O10" s="111"/>
    </row>
    <row r="11" spans="1:15" x14ac:dyDescent="0.3">
      <c r="A11" s="67"/>
      <c r="B11" s="67"/>
      <c r="C11" s="71"/>
      <c r="D11" s="71"/>
      <c r="E11" s="71"/>
      <c r="F11" s="71"/>
      <c r="G11" s="71"/>
      <c r="H11" s="71"/>
      <c r="I11" s="71"/>
      <c r="L11" s="96"/>
      <c r="M11" s="58"/>
    </row>
    <row r="12" spans="1:15" x14ac:dyDescent="0.3">
      <c r="A12" s="77"/>
      <c r="B12" s="66" t="s">
        <v>89</v>
      </c>
      <c r="C12" s="71"/>
      <c r="D12" s="71"/>
      <c r="E12" s="71"/>
      <c r="F12" s="71"/>
      <c r="G12" s="100"/>
      <c r="H12" s="110"/>
      <c r="I12" s="71"/>
      <c r="L12" s="99"/>
      <c r="M12" s="58"/>
    </row>
    <row r="13" spans="1:15" x14ac:dyDescent="0.3">
      <c r="A13" s="64" t="s">
        <v>88</v>
      </c>
      <c r="B13" s="75" t="s">
        <v>87</v>
      </c>
      <c r="C13" s="76">
        <f>Days_16GME!D4</f>
        <v>24530</v>
      </c>
      <c r="D13" s="76">
        <f>Days_16GME!D6</f>
        <v>18591</v>
      </c>
      <c r="E13" s="76">
        <f>Days_16GME!D7</f>
        <v>12107</v>
      </c>
      <c r="F13" s="76">
        <f>Days_16GME!D26</f>
        <v>9101</v>
      </c>
      <c r="G13" s="76">
        <f>Days_16GME!D9</f>
        <v>1310</v>
      </c>
      <c r="H13" s="76">
        <f>Days_16GME!D10</f>
        <v>5398</v>
      </c>
      <c r="I13" s="76">
        <f>Days_16GME!D11</f>
        <v>43719</v>
      </c>
      <c r="L13" s="98"/>
      <c r="M13" s="58"/>
    </row>
    <row r="14" spans="1:15" x14ac:dyDescent="0.3">
      <c r="A14" s="64" t="s">
        <v>86</v>
      </c>
      <c r="B14" s="75" t="s">
        <v>85</v>
      </c>
      <c r="C14" s="76">
        <f>87800-6604+5801+5221</f>
        <v>92218</v>
      </c>
      <c r="D14" s="76">
        <f>48839-0</f>
        <v>48839</v>
      </c>
      <c r="E14" s="76">
        <f>79297-4115+6121+4023</f>
        <v>85326</v>
      </c>
      <c r="F14" s="76">
        <f>33366-1143+5119</f>
        <v>37342</v>
      </c>
      <c r="G14" s="76">
        <f>51237-6006</f>
        <v>45231</v>
      </c>
      <c r="H14" s="76">
        <f>26605-1458+4221</f>
        <v>29368</v>
      </c>
      <c r="I14" s="76">
        <f>202449-9317+30791</f>
        <v>223923</v>
      </c>
      <c r="L14" s="98"/>
      <c r="M14" s="58"/>
    </row>
    <row r="15" spans="1:15" x14ac:dyDescent="0.3">
      <c r="A15" s="64" t="s">
        <v>84</v>
      </c>
      <c r="B15" s="75" t="s">
        <v>83</v>
      </c>
      <c r="C15" s="74">
        <f t="shared" ref="C15:I15" si="0">+C13/C14</f>
        <v>0.26600013012643953</v>
      </c>
      <c r="D15" s="74">
        <f t="shared" si="0"/>
        <v>0.38065889964986999</v>
      </c>
      <c r="E15" s="74">
        <f t="shared" si="0"/>
        <v>0.14189110001640767</v>
      </c>
      <c r="F15" s="74">
        <f t="shared" si="0"/>
        <v>0.2437202078089015</v>
      </c>
      <c r="G15" s="74">
        <f t="shared" si="0"/>
        <v>2.8962437266476532E-2</v>
      </c>
      <c r="H15" s="74">
        <f t="shared" si="0"/>
        <v>0.18380550258785072</v>
      </c>
      <c r="I15" s="74">
        <f t="shared" si="0"/>
        <v>0.19524122131268337</v>
      </c>
      <c r="L15" s="109"/>
      <c r="M15" s="98"/>
    </row>
    <row r="16" spans="1:15" x14ac:dyDescent="0.3">
      <c r="A16" s="64"/>
      <c r="B16" s="73"/>
      <c r="C16" s="71"/>
      <c r="D16" s="71"/>
      <c r="E16" s="71"/>
      <c r="F16" s="71"/>
      <c r="G16" s="71"/>
      <c r="H16" s="71"/>
      <c r="I16" s="71"/>
      <c r="L16" s="109"/>
      <c r="M16" s="96"/>
    </row>
    <row r="17" spans="1:16" x14ac:dyDescent="0.3">
      <c r="A17" s="64"/>
      <c r="B17" s="72" t="s">
        <v>82</v>
      </c>
      <c r="C17" s="71"/>
      <c r="D17" s="71"/>
      <c r="E17" s="71"/>
      <c r="F17" s="71"/>
      <c r="G17" s="71"/>
      <c r="H17" s="71"/>
      <c r="I17" s="71"/>
      <c r="L17" s="97"/>
      <c r="M17" s="108"/>
    </row>
    <row r="18" spans="1:16" x14ac:dyDescent="0.3">
      <c r="A18" s="64" t="s">
        <v>81</v>
      </c>
      <c r="B18" s="70" t="s">
        <v>80</v>
      </c>
      <c r="C18" s="62">
        <v>831630073</v>
      </c>
      <c r="D18" s="62">
        <v>334788951</v>
      </c>
      <c r="E18" s="62">
        <v>594451602</v>
      </c>
      <c r="F18" s="62">
        <v>261233126</v>
      </c>
      <c r="G18" s="62">
        <v>469569500</v>
      </c>
      <c r="H18" s="62">
        <v>205456235</v>
      </c>
      <c r="I18" s="62">
        <v>1619749162</v>
      </c>
      <c r="L18" s="97"/>
      <c r="M18" s="107"/>
      <c r="N18" s="106"/>
    </row>
    <row r="19" spans="1:16" x14ac:dyDescent="0.3">
      <c r="A19" s="64" t="s">
        <v>79</v>
      </c>
      <c r="B19" s="70" t="s">
        <v>78</v>
      </c>
      <c r="C19" s="62">
        <v>1693079738</v>
      </c>
      <c r="D19" s="62">
        <v>594295186</v>
      </c>
      <c r="E19" s="62">
        <v>1291510052</v>
      </c>
      <c r="F19" s="62">
        <v>649596981</v>
      </c>
      <c r="G19" s="62">
        <v>1149849000</v>
      </c>
      <c r="H19" s="62">
        <v>482918974</v>
      </c>
      <c r="I19" s="62">
        <v>2570185869</v>
      </c>
      <c r="L19" s="96"/>
      <c r="M19" s="58"/>
    </row>
    <row r="20" spans="1:16" x14ac:dyDescent="0.3">
      <c r="A20" s="64" t="s">
        <v>77</v>
      </c>
      <c r="B20" s="69" t="s">
        <v>76</v>
      </c>
      <c r="C20" s="68">
        <f t="shared" ref="C20:I20" si="1">+C18/C19</f>
        <v>0.4911936835192342</v>
      </c>
      <c r="D20" s="68">
        <f t="shared" si="1"/>
        <v>0.5633378140808295</v>
      </c>
      <c r="E20" s="68">
        <f t="shared" si="1"/>
        <v>0.46027640364041084</v>
      </c>
      <c r="F20" s="68">
        <f t="shared" si="1"/>
        <v>0.40214645948300676</v>
      </c>
      <c r="G20" s="68">
        <f t="shared" si="1"/>
        <v>0.40837492575112039</v>
      </c>
      <c r="H20" s="68">
        <f t="shared" si="1"/>
        <v>0.42544659883254038</v>
      </c>
      <c r="I20" s="68">
        <f t="shared" si="1"/>
        <v>0.63020701402821389</v>
      </c>
      <c r="L20" s="96"/>
      <c r="M20" s="58"/>
    </row>
    <row r="21" spans="1:16" x14ac:dyDescent="0.3">
      <c r="A21" s="67"/>
      <c r="B21" s="67"/>
      <c r="C21" s="65"/>
      <c r="D21" s="65"/>
      <c r="E21" s="65"/>
      <c r="F21" s="65"/>
      <c r="G21" s="65"/>
      <c r="H21" s="65"/>
      <c r="I21" s="65"/>
      <c r="L21" s="96"/>
      <c r="M21" s="58"/>
    </row>
    <row r="22" spans="1:16" x14ac:dyDescent="0.3">
      <c r="A22" s="67"/>
      <c r="B22" s="66" t="s">
        <v>75</v>
      </c>
      <c r="C22" s="65"/>
      <c r="D22" s="65"/>
      <c r="E22" s="65"/>
      <c r="F22" s="65"/>
      <c r="G22" s="65"/>
      <c r="H22" s="65"/>
      <c r="I22" s="65"/>
      <c r="L22" s="96"/>
      <c r="M22" s="58"/>
    </row>
    <row r="23" spans="1:16" x14ac:dyDescent="0.3">
      <c r="A23" s="64" t="s">
        <v>74</v>
      </c>
      <c r="B23" s="63" t="s">
        <v>73</v>
      </c>
      <c r="C23" s="62">
        <f t="shared" ref="C23:I23" si="2">ROUND(+C10*C15,0)</f>
        <v>2466475</v>
      </c>
      <c r="D23" s="62">
        <f t="shared" si="2"/>
        <v>1502964</v>
      </c>
      <c r="E23" s="62">
        <f t="shared" si="2"/>
        <v>959990</v>
      </c>
      <c r="F23" s="62">
        <f t="shared" si="2"/>
        <v>3090106</v>
      </c>
      <c r="G23" s="62">
        <f t="shared" si="2"/>
        <v>79901</v>
      </c>
      <c r="H23" s="62">
        <f t="shared" si="2"/>
        <v>506723</v>
      </c>
      <c r="I23" s="62">
        <f t="shared" si="2"/>
        <v>4885319</v>
      </c>
      <c r="L23" s="96"/>
      <c r="M23" s="58"/>
    </row>
    <row r="24" spans="1:16" x14ac:dyDescent="0.3">
      <c r="A24" s="61" t="s">
        <v>72</v>
      </c>
      <c r="B24" s="60" t="s">
        <v>71</v>
      </c>
      <c r="C24" s="59">
        <f t="shared" ref="C24:I24" si="3">ROUND(C20*C23,0)</f>
        <v>1211517</v>
      </c>
      <c r="D24" s="59">
        <f t="shared" si="3"/>
        <v>846676</v>
      </c>
      <c r="E24" s="59">
        <f t="shared" si="3"/>
        <v>441861</v>
      </c>
      <c r="F24" s="59">
        <f t="shared" si="3"/>
        <v>1242675</v>
      </c>
      <c r="G24" s="59">
        <f t="shared" si="3"/>
        <v>32630</v>
      </c>
      <c r="H24" s="59">
        <f t="shared" si="3"/>
        <v>215584</v>
      </c>
      <c r="I24" s="59">
        <f t="shared" si="3"/>
        <v>3078762</v>
      </c>
      <c r="L24" s="96"/>
      <c r="M24" s="58"/>
    </row>
    <row r="25" spans="1:16" s="87" customFormat="1" ht="15" thickBot="1" x14ac:dyDescent="0.35">
      <c r="C25" s="89"/>
      <c r="D25" s="89"/>
      <c r="E25" s="89"/>
      <c r="F25" s="89"/>
      <c r="G25" s="89"/>
      <c r="H25" s="89"/>
      <c r="I25" s="89"/>
      <c r="J25" s="89"/>
      <c r="K25" s="88"/>
      <c r="L25" s="88"/>
      <c r="M25" s="88"/>
    </row>
    <row r="26" spans="1:16" x14ac:dyDescent="0.3">
      <c r="C26" s="71"/>
      <c r="D26" s="71"/>
      <c r="E26" s="71"/>
      <c r="F26" s="71"/>
      <c r="G26" s="71"/>
      <c r="H26" s="71"/>
      <c r="I26" s="71"/>
      <c r="J26" s="71"/>
      <c r="K26" s="58"/>
      <c r="L26" s="96"/>
      <c r="M26" s="58"/>
    </row>
    <row r="27" spans="1:16" s="57" customFormat="1" ht="27.6" x14ac:dyDescent="0.3">
      <c r="A27" s="86"/>
      <c r="B27" s="85" t="s">
        <v>106</v>
      </c>
      <c r="C27" s="105" t="s">
        <v>113</v>
      </c>
      <c r="D27" s="105" t="s">
        <v>112</v>
      </c>
      <c r="E27" s="105" t="s">
        <v>111</v>
      </c>
      <c r="F27" s="105" t="s">
        <v>110</v>
      </c>
      <c r="G27" s="84" t="s">
        <v>109</v>
      </c>
      <c r="H27" s="84" t="s">
        <v>108</v>
      </c>
      <c r="I27" s="84" t="s">
        <v>107</v>
      </c>
      <c r="O27" s="104"/>
      <c r="P27" s="103"/>
    </row>
    <row r="28" spans="1:16" x14ac:dyDescent="0.3">
      <c r="A28" s="83"/>
      <c r="B28" s="83"/>
      <c r="E28" s="71"/>
      <c r="F28" s="71"/>
      <c r="G28" s="71"/>
      <c r="H28" s="71"/>
      <c r="I28" s="71"/>
      <c r="O28" s="96"/>
      <c r="P28" s="58"/>
    </row>
    <row r="29" spans="1:16" x14ac:dyDescent="0.3">
      <c r="A29" s="82"/>
      <c r="B29" s="66" t="s">
        <v>100</v>
      </c>
      <c r="C29" s="102"/>
      <c r="D29" s="102"/>
      <c r="E29" s="101"/>
      <c r="F29" s="101"/>
      <c r="G29" s="71"/>
      <c r="H29" s="71"/>
      <c r="I29" s="71"/>
      <c r="O29" s="96"/>
      <c r="P29" s="58"/>
    </row>
    <row r="30" spans="1:16" x14ac:dyDescent="0.3">
      <c r="A30" s="64" t="s">
        <v>99</v>
      </c>
      <c r="B30" s="78" t="s">
        <v>98</v>
      </c>
      <c r="C30" s="81">
        <v>33.119999999999997</v>
      </c>
      <c r="D30" s="81">
        <v>0</v>
      </c>
      <c r="E30" s="81">
        <v>16.309999999999999</v>
      </c>
      <c r="F30" s="81">
        <v>17.309999999999999</v>
      </c>
      <c r="G30" s="81">
        <v>35.53</v>
      </c>
      <c r="H30" s="81">
        <v>0.28999999999999998</v>
      </c>
      <c r="I30" s="81">
        <v>82.15</v>
      </c>
      <c r="O30" s="96"/>
      <c r="P30" s="58"/>
    </row>
    <row r="31" spans="1:16" x14ac:dyDescent="0.3">
      <c r="A31" s="64" t="s">
        <v>97</v>
      </c>
      <c r="B31" s="78" t="s">
        <v>96</v>
      </c>
      <c r="C31" s="81">
        <v>6.05</v>
      </c>
      <c r="D31" s="81">
        <v>0.86</v>
      </c>
      <c r="E31" s="81">
        <v>0</v>
      </c>
      <c r="F31" s="81">
        <v>0</v>
      </c>
      <c r="G31" s="81">
        <v>11.72</v>
      </c>
      <c r="H31" s="81">
        <v>0</v>
      </c>
      <c r="I31" s="81">
        <v>54.77</v>
      </c>
      <c r="O31" s="96"/>
      <c r="P31" s="58"/>
    </row>
    <row r="32" spans="1:16" x14ac:dyDescent="0.3">
      <c r="A32" s="64" t="s">
        <v>95</v>
      </c>
      <c r="B32" s="78" t="s">
        <v>94</v>
      </c>
      <c r="C32" s="79">
        <v>110378.56</v>
      </c>
      <c r="D32" s="79">
        <v>0</v>
      </c>
      <c r="E32" s="79">
        <v>111868.02</v>
      </c>
      <c r="F32" s="79">
        <v>176241</v>
      </c>
      <c r="G32" s="79">
        <v>151989.09</v>
      </c>
      <c r="H32" s="79">
        <v>111868.02</v>
      </c>
      <c r="I32" s="79">
        <v>103204.74</v>
      </c>
      <c r="O32" s="96"/>
      <c r="P32" s="58"/>
    </row>
    <row r="33" spans="1:16" x14ac:dyDescent="0.3">
      <c r="A33" s="64" t="s">
        <v>93</v>
      </c>
      <c r="B33" s="78" t="s">
        <v>92</v>
      </c>
      <c r="C33" s="79">
        <v>104642.08</v>
      </c>
      <c r="D33" s="79">
        <v>158943.89000000001</v>
      </c>
      <c r="E33" s="79">
        <v>0</v>
      </c>
      <c r="F33" s="79">
        <v>0</v>
      </c>
      <c r="G33" s="79">
        <v>144090.1</v>
      </c>
      <c r="H33" s="79">
        <v>0</v>
      </c>
      <c r="I33" s="79">
        <v>97841.14</v>
      </c>
      <c r="O33" s="96"/>
      <c r="P33" s="58"/>
    </row>
    <row r="34" spans="1:16" x14ac:dyDescent="0.3">
      <c r="A34" s="64" t="s">
        <v>91</v>
      </c>
      <c r="B34" s="78" t="s">
        <v>90</v>
      </c>
      <c r="C34" s="62">
        <v>4488338.6106076799</v>
      </c>
      <c r="D34" s="62">
        <v>143050.64539600801</v>
      </c>
      <c r="E34" s="62">
        <v>1909445.85684</v>
      </c>
      <c r="F34" s="62">
        <v>3192652.0526400004</v>
      </c>
      <c r="G34" s="62">
        <v>7418683.9708574405</v>
      </c>
      <c r="H34" s="62">
        <v>33951.201840000002</v>
      </c>
      <c r="I34" s="62">
        <v>14480726.791422457</v>
      </c>
      <c r="O34" s="96"/>
      <c r="P34" s="58"/>
    </row>
    <row r="35" spans="1:16" x14ac:dyDescent="0.3">
      <c r="A35" s="67"/>
      <c r="B35" s="67"/>
      <c r="C35" s="71"/>
      <c r="D35" s="71"/>
      <c r="E35" s="71"/>
      <c r="F35" s="71"/>
      <c r="G35" s="71"/>
      <c r="H35" s="71"/>
      <c r="I35" s="71"/>
      <c r="O35" s="96"/>
      <c r="P35" s="58"/>
    </row>
    <row r="36" spans="1:16" x14ac:dyDescent="0.3">
      <c r="A36" s="77"/>
      <c r="B36" s="66" t="s">
        <v>89</v>
      </c>
      <c r="C36" s="71"/>
      <c r="D36" s="71"/>
      <c r="E36" s="100"/>
      <c r="F36" s="100"/>
      <c r="G36" s="71"/>
      <c r="H36" s="71"/>
      <c r="I36" s="71"/>
      <c r="O36" s="99"/>
      <c r="P36" s="58"/>
    </row>
    <row r="37" spans="1:16" x14ac:dyDescent="0.3">
      <c r="A37" s="64" t="s">
        <v>88</v>
      </c>
      <c r="B37" s="75" t="s">
        <v>87</v>
      </c>
      <c r="C37" s="76">
        <f>Days_16GME!D28</f>
        <v>14716</v>
      </c>
      <c r="D37" s="76">
        <f>Days_16GME!D13</f>
        <v>11226</v>
      </c>
      <c r="E37" s="76">
        <f>Days_16GME!D14</f>
        <v>8543</v>
      </c>
      <c r="F37" s="76">
        <f>Days_16GME!D15</f>
        <v>8363</v>
      </c>
      <c r="G37" s="76">
        <f>Days_16GME!D19</f>
        <v>9721</v>
      </c>
      <c r="H37" s="76">
        <f>Days_16GME!D20</f>
        <v>1346</v>
      </c>
      <c r="I37" s="76">
        <f>Days_16GME!D22</f>
        <v>30419</v>
      </c>
      <c r="O37" s="98"/>
      <c r="P37" s="58"/>
    </row>
    <row r="38" spans="1:16" x14ac:dyDescent="0.3">
      <c r="A38" s="64" t="s">
        <v>86</v>
      </c>
      <c r="B38" s="75" t="s">
        <v>85</v>
      </c>
      <c r="C38" s="76">
        <f>61616-3509+7183</f>
        <v>65290</v>
      </c>
      <c r="D38" s="76">
        <f>55364-3518+5850+4631</f>
        <v>62327</v>
      </c>
      <c r="E38" s="76">
        <f>33218-2233+10888</f>
        <v>41873</v>
      </c>
      <c r="F38" s="76">
        <f>50515-2846+5937</f>
        <v>53606</v>
      </c>
      <c r="G38" s="76">
        <f>53034-3181+2770+1885</f>
        <v>54508</v>
      </c>
      <c r="H38" s="76">
        <v>11155</v>
      </c>
      <c r="I38" s="76">
        <f>137240-6307+14627</f>
        <v>145560</v>
      </c>
      <c r="O38" s="98"/>
      <c r="P38" s="58"/>
    </row>
    <row r="39" spans="1:16" x14ac:dyDescent="0.3">
      <c r="A39" s="64" t="s">
        <v>84</v>
      </c>
      <c r="B39" s="75" t="s">
        <v>83</v>
      </c>
      <c r="C39" s="74">
        <f t="shared" ref="C39:I39" si="4">+C37/C38</f>
        <v>0.22539439424107827</v>
      </c>
      <c r="D39" s="74">
        <f t="shared" si="4"/>
        <v>0.18011455709403629</v>
      </c>
      <c r="E39" s="74">
        <f t="shared" si="4"/>
        <v>0.20402168461777279</v>
      </c>
      <c r="F39" s="74">
        <f t="shared" si="4"/>
        <v>0.15600865574749095</v>
      </c>
      <c r="G39" s="74">
        <f t="shared" si="4"/>
        <v>0.17834079401188815</v>
      </c>
      <c r="H39" s="74">
        <f t="shared" si="4"/>
        <v>0.120663379650381</v>
      </c>
      <c r="I39" s="74">
        <f t="shared" si="4"/>
        <v>0.2089791151415224</v>
      </c>
      <c r="O39" s="99"/>
      <c r="P39" s="58"/>
    </row>
    <row r="40" spans="1:16" x14ac:dyDescent="0.3">
      <c r="A40" s="64"/>
      <c r="B40" s="73"/>
      <c r="C40" s="71"/>
      <c r="D40" s="71"/>
      <c r="E40" s="71"/>
      <c r="F40" s="71"/>
      <c r="G40" s="71"/>
      <c r="H40" s="71"/>
      <c r="I40" s="71"/>
      <c r="O40" s="97"/>
      <c r="P40" s="97"/>
    </row>
    <row r="41" spans="1:16" x14ac:dyDescent="0.3">
      <c r="A41" s="64"/>
      <c r="B41" s="72" t="s">
        <v>82</v>
      </c>
      <c r="C41" s="71"/>
      <c r="D41" s="71"/>
      <c r="E41" s="71"/>
      <c r="F41" s="71"/>
      <c r="G41" s="71"/>
      <c r="H41" s="71"/>
      <c r="I41" s="71"/>
      <c r="O41" s="96"/>
      <c r="P41" s="58"/>
    </row>
    <row r="42" spans="1:16" x14ac:dyDescent="0.3">
      <c r="A42" s="64" t="s">
        <v>81</v>
      </c>
      <c r="B42" s="70" t="s">
        <v>80</v>
      </c>
      <c r="C42" s="62">
        <v>373367368</v>
      </c>
      <c r="D42" s="62">
        <v>303705155</v>
      </c>
      <c r="E42" s="62">
        <v>241776394</v>
      </c>
      <c r="F42" s="62">
        <v>567720513</v>
      </c>
      <c r="G42" s="62">
        <v>454608169</v>
      </c>
      <c r="H42" s="62">
        <v>104055860</v>
      </c>
      <c r="I42" s="62">
        <v>1145299102</v>
      </c>
      <c r="O42" s="98"/>
      <c r="P42" s="58"/>
    </row>
    <row r="43" spans="1:16" x14ac:dyDescent="0.3">
      <c r="A43" s="64" t="s">
        <v>79</v>
      </c>
      <c r="B43" s="70" t="s">
        <v>78</v>
      </c>
      <c r="C43" s="62">
        <v>863310145</v>
      </c>
      <c r="D43" s="62">
        <v>795287303</v>
      </c>
      <c r="E43" s="62">
        <v>601959666</v>
      </c>
      <c r="F43" s="62">
        <v>1272225607</v>
      </c>
      <c r="G43" s="62">
        <v>900265500</v>
      </c>
      <c r="H43" s="62">
        <v>251224641</v>
      </c>
      <c r="I43" s="62">
        <v>1988630574</v>
      </c>
      <c r="O43" s="97"/>
      <c r="P43" s="97"/>
    </row>
    <row r="44" spans="1:16" x14ac:dyDescent="0.3">
      <c r="A44" s="64" t="s">
        <v>77</v>
      </c>
      <c r="B44" s="69" t="s">
        <v>76</v>
      </c>
      <c r="C44" s="68">
        <f t="shared" ref="C44:I44" si="5">+C42/C43</f>
        <v>0.43248347093152717</v>
      </c>
      <c r="D44" s="68">
        <f t="shared" si="5"/>
        <v>0.38188105588302096</v>
      </c>
      <c r="E44" s="68">
        <f t="shared" si="5"/>
        <v>0.40164882741495839</v>
      </c>
      <c r="F44" s="68">
        <f t="shared" si="5"/>
        <v>0.44624201075367914</v>
      </c>
      <c r="G44" s="68">
        <f t="shared" si="5"/>
        <v>0.50497122126750382</v>
      </c>
      <c r="H44" s="68">
        <f t="shared" si="5"/>
        <v>0.41419448182234642</v>
      </c>
      <c r="I44" s="68">
        <f t="shared" si="5"/>
        <v>0.57592351086924398</v>
      </c>
      <c r="O44" s="96"/>
      <c r="P44" s="58"/>
    </row>
    <row r="45" spans="1:16" x14ac:dyDescent="0.3">
      <c r="A45" s="67"/>
      <c r="B45" s="67"/>
      <c r="C45" s="65"/>
      <c r="D45" s="65"/>
      <c r="E45" s="65"/>
      <c r="F45" s="65"/>
      <c r="G45" s="65"/>
      <c r="H45" s="65"/>
      <c r="I45" s="65"/>
      <c r="O45" s="58"/>
      <c r="P45" s="58"/>
    </row>
    <row r="46" spans="1:16" x14ac:dyDescent="0.3">
      <c r="A46" s="67"/>
      <c r="B46" s="66" t="s">
        <v>75</v>
      </c>
      <c r="C46" s="65"/>
      <c r="D46" s="65"/>
      <c r="E46" s="65"/>
      <c r="F46" s="65"/>
      <c r="G46" s="65"/>
      <c r="H46" s="65"/>
      <c r="I46" s="65"/>
      <c r="O46" s="58"/>
      <c r="P46" s="58"/>
    </row>
    <row r="47" spans="1:16" x14ac:dyDescent="0.3">
      <c r="A47" s="64" t="s">
        <v>74</v>
      </c>
      <c r="B47" s="63" t="s">
        <v>73</v>
      </c>
      <c r="C47" s="62">
        <f t="shared" ref="C47:I47" si="6">ROUND(+C34*C39,0)</f>
        <v>1011646</v>
      </c>
      <c r="D47" s="62">
        <f t="shared" si="6"/>
        <v>25766</v>
      </c>
      <c r="E47" s="62">
        <f t="shared" si="6"/>
        <v>389568</v>
      </c>
      <c r="F47" s="62">
        <f t="shared" si="6"/>
        <v>498081</v>
      </c>
      <c r="G47" s="62">
        <f t="shared" si="6"/>
        <v>1323054</v>
      </c>
      <c r="H47" s="62">
        <f t="shared" si="6"/>
        <v>4097</v>
      </c>
      <c r="I47" s="62">
        <f t="shared" si="6"/>
        <v>3026169</v>
      </c>
      <c r="O47" s="58"/>
      <c r="P47" s="58"/>
    </row>
    <row r="48" spans="1:16" x14ac:dyDescent="0.3">
      <c r="A48" s="61" t="s">
        <v>72</v>
      </c>
      <c r="B48" s="60" t="s">
        <v>71</v>
      </c>
      <c r="C48" s="59">
        <f t="shared" ref="C48:I48" si="7">ROUND(C44*C47,0)</f>
        <v>437520</v>
      </c>
      <c r="D48" s="59">
        <f t="shared" si="7"/>
        <v>9840</v>
      </c>
      <c r="E48" s="59">
        <f t="shared" si="7"/>
        <v>156470</v>
      </c>
      <c r="F48" s="59">
        <f t="shared" si="7"/>
        <v>222265</v>
      </c>
      <c r="G48" s="59">
        <f t="shared" si="7"/>
        <v>668104</v>
      </c>
      <c r="H48" s="59">
        <f t="shared" si="7"/>
        <v>1697</v>
      </c>
      <c r="I48" s="59">
        <f t="shared" si="7"/>
        <v>1742842</v>
      </c>
      <c r="O48" s="58"/>
      <c r="P48" s="58"/>
    </row>
    <row r="49" spans="1:15" s="58" customFormat="1" x14ac:dyDescent="0.3">
      <c r="A49" s="95"/>
      <c r="B49" s="94"/>
      <c r="C49" s="93"/>
      <c r="D49" s="93"/>
      <c r="E49" s="93"/>
      <c r="F49" s="93"/>
      <c r="G49" s="93"/>
      <c r="H49" s="93"/>
      <c r="I49" s="93"/>
      <c r="J49" s="71"/>
    </row>
    <row r="50" spans="1:15" s="87" customFormat="1" ht="15" thickBot="1" x14ac:dyDescent="0.35">
      <c r="A50" s="92" t="s">
        <v>70</v>
      </c>
      <c r="C50" s="91"/>
      <c r="D50" s="89"/>
      <c r="E50" s="89"/>
      <c r="F50" s="89"/>
      <c r="G50" s="89"/>
      <c r="H50" s="90"/>
      <c r="I50" s="89"/>
      <c r="J50" s="89"/>
      <c r="K50" s="88"/>
      <c r="L50" s="88"/>
      <c r="M50" s="88"/>
    </row>
    <row r="51" spans="1:15" x14ac:dyDescent="0.3">
      <c r="C51" s="71"/>
      <c r="D51" s="71"/>
      <c r="E51" s="71"/>
      <c r="F51" s="71"/>
      <c r="G51" s="71"/>
      <c r="H51" s="71"/>
      <c r="I51" s="71"/>
      <c r="J51" s="71"/>
      <c r="K51" s="58"/>
      <c r="L51" s="58"/>
      <c r="M51" s="58"/>
    </row>
    <row r="52" spans="1:15" x14ac:dyDescent="0.3">
      <c r="A52" s="86"/>
      <c r="B52" s="85" t="s">
        <v>106</v>
      </c>
      <c r="C52" s="84" t="s">
        <v>105</v>
      </c>
      <c r="D52" s="84" t="s">
        <v>104</v>
      </c>
      <c r="E52" s="84" t="s">
        <v>103</v>
      </c>
      <c r="F52" s="84" t="s">
        <v>102</v>
      </c>
      <c r="G52" s="84" t="s">
        <v>101</v>
      </c>
      <c r="H52" s="71"/>
      <c r="I52" s="71"/>
      <c r="J52" s="71"/>
      <c r="K52" s="71"/>
      <c r="L52" s="71"/>
      <c r="M52" s="58"/>
      <c r="N52" s="58"/>
      <c r="O52" s="58"/>
    </row>
    <row r="53" spans="1:15" x14ac:dyDescent="0.3">
      <c r="A53" s="83"/>
      <c r="B53" s="83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58"/>
      <c r="N53" s="58"/>
      <c r="O53" s="58"/>
    </row>
    <row r="54" spans="1:15" x14ac:dyDescent="0.3">
      <c r="A54" s="82"/>
      <c r="B54" s="66" t="s">
        <v>100</v>
      </c>
      <c r="C54" s="71"/>
      <c r="D54" s="71"/>
      <c r="E54" s="71"/>
      <c r="F54" s="71"/>
      <c r="G54" s="71"/>
      <c r="K54" s="56"/>
      <c r="L54" s="56"/>
    </row>
    <row r="55" spans="1:15" x14ac:dyDescent="0.3">
      <c r="A55" s="64" t="s">
        <v>99</v>
      </c>
      <c r="B55" s="78" t="s">
        <v>98</v>
      </c>
      <c r="C55" s="81">
        <v>32.200000000000003</v>
      </c>
      <c r="D55" s="81">
        <v>31.25</v>
      </c>
      <c r="E55" s="81">
        <v>31.69</v>
      </c>
      <c r="F55" s="81">
        <v>33.82</v>
      </c>
      <c r="G55" s="81">
        <v>177.22</v>
      </c>
      <c r="H55" s="80"/>
      <c r="K55" s="56"/>
      <c r="L55" s="56"/>
    </row>
    <row r="56" spans="1:15" x14ac:dyDescent="0.3">
      <c r="A56" s="64" t="s">
        <v>97</v>
      </c>
      <c r="B56" s="78" t="s">
        <v>96</v>
      </c>
      <c r="C56" s="81">
        <v>15.98</v>
      </c>
      <c r="D56" s="81">
        <v>21.77</v>
      </c>
      <c r="E56" s="81">
        <v>12.9</v>
      </c>
      <c r="F56" s="81">
        <v>11</v>
      </c>
      <c r="G56" s="81">
        <v>353.91</v>
      </c>
      <c r="H56" s="80"/>
      <c r="K56" s="56"/>
      <c r="L56" s="56"/>
    </row>
    <row r="57" spans="1:15" x14ac:dyDescent="0.3">
      <c r="A57" s="64" t="s">
        <v>95</v>
      </c>
      <c r="B57" s="78" t="s">
        <v>94</v>
      </c>
      <c r="C57" s="79">
        <v>95425.96</v>
      </c>
      <c r="D57" s="79">
        <v>104808.81</v>
      </c>
      <c r="E57" s="79">
        <v>95453.65</v>
      </c>
      <c r="F57" s="79">
        <v>104930.37</v>
      </c>
      <c r="G57" s="79">
        <v>94405.16</v>
      </c>
      <c r="H57" s="80"/>
      <c r="K57" s="56"/>
      <c r="L57" s="56"/>
    </row>
    <row r="58" spans="1:15" x14ac:dyDescent="0.3">
      <c r="A58" s="64" t="s">
        <v>93</v>
      </c>
      <c r="B58" s="78" t="s">
        <v>92</v>
      </c>
      <c r="C58" s="79">
        <v>94538.4</v>
      </c>
      <c r="D58" s="79">
        <v>99361.44</v>
      </c>
      <c r="E58" s="79">
        <v>95453.65</v>
      </c>
      <c r="F58" s="79">
        <v>99477.06</v>
      </c>
      <c r="G58" s="79">
        <v>96301.45</v>
      </c>
      <c r="K58" s="56"/>
      <c r="L58" s="56"/>
    </row>
    <row r="59" spans="1:15" x14ac:dyDescent="0.3">
      <c r="A59" s="64" t="s">
        <v>91</v>
      </c>
      <c r="B59" s="78" t="s">
        <v>90</v>
      </c>
      <c r="C59" s="62">
        <v>4796661.2436806401</v>
      </c>
      <c r="D59" s="62">
        <v>5691366.6862901757</v>
      </c>
      <c r="E59" s="62">
        <v>4454280.1415142007</v>
      </c>
      <c r="F59" s="62">
        <v>4858984.6785431998</v>
      </c>
      <c r="G59" s="62">
        <v>53176326.979945146</v>
      </c>
      <c r="K59" s="56"/>
      <c r="L59" s="56"/>
    </row>
    <row r="60" spans="1:15" x14ac:dyDescent="0.3">
      <c r="A60" s="67"/>
      <c r="B60" s="67"/>
      <c r="C60" s="71"/>
      <c r="D60" s="71"/>
      <c r="E60" s="71"/>
      <c r="F60" s="71"/>
      <c r="G60" s="71"/>
      <c r="K60" s="56"/>
      <c r="L60" s="56"/>
    </row>
    <row r="61" spans="1:15" x14ac:dyDescent="0.3">
      <c r="A61" s="77"/>
      <c r="B61" s="66" t="s">
        <v>89</v>
      </c>
      <c r="C61" s="71"/>
      <c r="D61" s="71"/>
      <c r="E61" s="71"/>
      <c r="F61" s="71"/>
      <c r="G61" s="71"/>
      <c r="K61" s="56"/>
      <c r="L61" s="56"/>
    </row>
    <row r="62" spans="1:15" x14ac:dyDescent="0.3">
      <c r="A62" s="64" t="s">
        <v>88</v>
      </c>
      <c r="B62" s="75" t="s">
        <v>87</v>
      </c>
      <c r="C62" s="76">
        <f>Days_16GME!D23</f>
        <v>12245</v>
      </c>
      <c r="D62" s="76">
        <f>Days_16GME!D24</f>
        <v>22022</v>
      </c>
      <c r="E62" s="76">
        <f>Days_16GME!D25</f>
        <v>11682</v>
      </c>
      <c r="F62" s="76">
        <f>Days_16GME!D30</f>
        <v>11996</v>
      </c>
      <c r="G62" s="76">
        <f>Days_16GME!D32</f>
        <v>100166</v>
      </c>
      <c r="K62" s="56"/>
      <c r="L62" s="56"/>
    </row>
    <row r="63" spans="1:15" x14ac:dyDescent="0.3">
      <c r="A63" s="64" t="s">
        <v>86</v>
      </c>
      <c r="B63" s="75" t="s">
        <v>85</v>
      </c>
      <c r="C63" s="76">
        <f>46995-2173+3929</f>
        <v>48751</v>
      </c>
      <c r="D63" s="76">
        <f>82510-3069+27866+3060</f>
        <v>110367</v>
      </c>
      <c r="E63" s="76">
        <f>59361-5679+4696+4251</f>
        <v>62629</v>
      </c>
      <c r="F63" s="76">
        <f>48496-3482+9200</f>
        <v>54214</v>
      </c>
      <c r="G63" s="76">
        <f>382862-11948+35770+2421</f>
        <v>409105</v>
      </c>
      <c r="K63" s="56"/>
      <c r="L63" s="56"/>
    </row>
    <row r="64" spans="1:15" x14ac:dyDescent="0.3">
      <c r="A64" s="64" t="s">
        <v>84</v>
      </c>
      <c r="B64" s="75" t="s">
        <v>83</v>
      </c>
      <c r="C64" s="74">
        <f>+C62/C63</f>
        <v>0.25117433488543822</v>
      </c>
      <c r="D64" s="74">
        <f>+D62/D63</f>
        <v>0.19953428108039542</v>
      </c>
      <c r="E64" s="74">
        <f>+E62/E63</f>
        <v>0.18652700825496177</v>
      </c>
      <c r="F64" s="74">
        <f>+F62/F63</f>
        <v>0.22127125834655256</v>
      </c>
      <c r="G64" s="74">
        <f>+G62/G63</f>
        <v>0.2448417887828308</v>
      </c>
      <c r="K64" s="56"/>
      <c r="L64" s="56"/>
    </row>
    <row r="65" spans="1:12" x14ac:dyDescent="0.3">
      <c r="A65" s="64"/>
      <c r="B65" s="73"/>
      <c r="C65" s="71"/>
      <c r="D65" s="71"/>
      <c r="E65" s="71"/>
      <c r="F65" s="71"/>
      <c r="G65" s="71"/>
      <c r="K65" s="56"/>
      <c r="L65" s="56"/>
    </row>
    <row r="66" spans="1:12" x14ac:dyDescent="0.3">
      <c r="A66" s="64"/>
      <c r="B66" s="72" t="s">
        <v>82</v>
      </c>
      <c r="C66" s="71"/>
      <c r="D66" s="71"/>
      <c r="E66" s="71"/>
      <c r="F66" s="71"/>
      <c r="G66" s="71"/>
      <c r="K66" s="56"/>
      <c r="L66" s="56"/>
    </row>
    <row r="67" spans="1:12" x14ac:dyDescent="0.3">
      <c r="A67" s="64" t="s">
        <v>81</v>
      </c>
      <c r="B67" s="70" t="s">
        <v>80</v>
      </c>
      <c r="C67" s="62">
        <v>285251474</v>
      </c>
      <c r="D67" s="62">
        <v>707421187</v>
      </c>
      <c r="E67" s="62">
        <v>616336839</v>
      </c>
      <c r="F67" s="62">
        <v>503526979</v>
      </c>
      <c r="G67" s="62">
        <v>4618288633</v>
      </c>
      <c r="K67" s="56"/>
      <c r="L67" s="56"/>
    </row>
    <row r="68" spans="1:12" x14ac:dyDescent="0.3">
      <c r="A68" s="64" t="s">
        <v>79</v>
      </c>
      <c r="B68" s="70" t="s">
        <v>78</v>
      </c>
      <c r="C68" s="62">
        <v>663968691</v>
      </c>
      <c r="D68" s="62">
        <v>1285466695</v>
      </c>
      <c r="E68" s="62">
        <v>1870744000</v>
      </c>
      <c r="F68" s="62">
        <v>905475426</v>
      </c>
      <c r="G68" s="62">
        <v>8403580540</v>
      </c>
      <c r="K68" s="56"/>
      <c r="L68" s="56"/>
    </row>
    <row r="69" spans="1:12" x14ac:dyDescent="0.3">
      <c r="A69" s="64" t="s">
        <v>77</v>
      </c>
      <c r="B69" s="69" t="s">
        <v>76</v>
      </c>
      <c r="C69" s="68">
        <f>+C67/C68</f>
        <v>0.42961585066666946</v>
      </c>
      <c r="D69" s="68">
        <f>+D67/D68</f>
        <v>0.55032245467860996</v>
      </c>
      <c r="E69" s="68">
        <f>+E67/E68</f>
        <v>0.32946081291721369</v>
      </c>
      <c r="F69" s="68">
        <f>+F67/F68</f>
        <v>0.55609126933942876</v>
      </c>
      <c r="G69" s="68">
        <f>+G67/G68</f>
        <v>0.54956201240858216</v>
      </c>
      <c r="K69" s="56"/>
      <c r="L69" s="56"/>
    </row>
    <row r="70" spans="1:12" x14ac:dyDescent="0.3">
      <c r="A70" s="67"/>
      <c r="B70" s="67"/>
      <c r="C70" s="65"/>
      <c r="D70" s="65"/>
      <c r="E70" s="65"/>
      <c r="F70" s="65"/>
      <c r="G70" s="65"/>
      <c r="K70" s="56"/>
      <c r="L70" s="56"/>
    </row>
    <row r="71" spans="1:12" x14ac:dyDescent="0.3">
      <c r="A71" s="67"/>
      <c r="B71" s="66" t="s">
        <v>75</v>
      </c>
      <c r="C71" s="65"/>
      <c r="D71" s="65"/>
      <c r="E71" s="65"/>
      <c r="F71" s="65"/>
      <c r="G71" s="65"/>
      <c r="K71" s="56"/>
      <c r="L71" s="56"/>
    </row>
    <row r="72" spans="1:12" x14ac:dyDescent="0.3">
      <c r="A72" s="64" t="s">
        <v>74</v>
      </c>
      <c r="B72" s="63" t="s">
        <v>73</v>
      </c>
      <c r="C72" s="62">
        <f>ROUND(+C59*C64,0)</f>
        <v>1204798</v>
      </c>
      <c r="D72" s="62">
        <f>ROUND(+D59*D64,0)</f>
        <v>1135623</v>
      </c>
      <c r="E72" s="62">
        <f>ROUND(+E59*E64,0)</f>
        <v>830844</v>
      </c>
      <c r="F72" s="62">
        <f>ROUND(+F59*F64,0)</f>
        <v>1075154</v>
      </c>
      <c r="G72" s="62">
        <f>ROUND(+G59*G64,0)</f>
        <v>13019787</v>
      </c>
      <c r="K72" s="56"/>
      <c r="L72" s="56"/>
    </row>
    <row r="73" spans="1:12" x14ac:dyDescent="0.3">
      <c r="A73" s="61" t="s">
        <v>72</v>
      </c>
      <c r="B73" s="60" t="s">
        <v>71</v>
      </c>
      <c r="C73" s="59">
        <f>ROUND(C69*C72,0)</f>
        <v>517600</v>
      </c>
      <c r="D73" s="59">
        <f>ROUND(D69*D72,0)</f>
        <v>624959</v>
      </c>
      <c r="E73" s="59">
        <f>ROUND(E69*E72,0)</f>
        <v>273731</v>
      </c>
      <c r="F73" s="59">
        <f>ROUND(F69*F72,0)</f>
        <v>597884</v>
      </c>
      <c r="G73" s="59">
        <f>ROUND(G69*G72,0)</f>
        <v>7155180</v>
      </c>
      <c r="K73" s="56"/>
      <c r="L73" s="56"/>
    </row>
    <row r="74" spans="1:12" x14ac:dyDescent="0.3">
      <c r="C74" s="58"/>
      <c r="D74" s="58"/>
      <c r="E74" s="58"/>
    </row>
    <row r="75" spans="1:12" x14ac:dyDescent="0.3">
      <c r="A75" s="57" t="s">
        <v>70</v>
      </c>
    </row>
  </sheetData>
  <printOptions horizontalCentered="1"/>
  <pageMargins left="0.2" right="0.2" top="0.5" bottom="0.5" header="0.3" footer="0.3"/>
  <pageSetup scale="70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6" sqref="E6"/>
    </sheetView>
  </sheetViews>
  <sheetFormatPr defaultColWidth="9.109375" defaultRowHeight="14.4" x14ac:dyDescent="0.3"/>
  <cols>
    <col min="1" max="1" width="22.6640625" style="119" customWidth="1"/>
    <col min="2" max="2" width="8.33203125" style="120" bestFit="1" customWidth="1"/>
    <col min="3" max="16384" width="9.109375" style="119"/>
  </cols>
  <sheetData>
    <row r="1" spans="1:4" x14ac:dyDescent="0.3">
      <c r="A1" s="121" t="s">
        <v>140</v>
      </c>
      <c r="C1" s="120"/>
    </row>
    <row r="2" spans="1:4" x14ac:dyDescent="0.3">
      <c r="B2" s="120" t="s">
        <v>139</v>
      </c>
      <c r="D2" s="121" t="s">
        <v>138</v>
      </c>
    </row>
    <row r="3" spans="1:4" x14ac:dyDescent="0.3">
      <c r="A3" s="121" t="s">
        <v>137</v>
      </c>
      <c r="B3" s="120" t="s">
        <v>136</v>
      </c>
      <c r="C3" s="119" t="s">
        <v>135</v>
      </c>
      <c r="D3" s="121" t="s">
        <v>134</v>
      </c>
    </row>
    <row r="4" spans="1:4" x14ac:dyDescent="0.3">
      <c r="A4" s="129" t="s">
        <v>120</v>
      </c>
      <c r="B4" s="120">
        <f>25960+478+948</f>
        <v>27386</v>
      </c>
      <c r="C4" s="120">
        <v>2856</v>
      </c>
      <c r="D4" s="128">
        <f t="shared" ref="D4:D33" si="0">+B4-C4</f>
        <v>24530</v>
      </c>
    </row>
    <row r="5" spans="1:4" x14ac:dyDescent="0.3">
      <c r="A5" s="129" t="s">
        <v>133</v>
      </c>
      <c r="B5" s="120">
        <f>6054</f>
        <v>6054</v>
      </c>
      <c r="C5" s="120">
        <f>686</f>
        <v>686</v>
      </c>
      <c r="D5" s="128">
        <f t="shared" si="0"/>
        <v>5368</v>
      </c>
    </row>
    <row r="6" spans="1:4" x14ac:dyDescent="0.3">
      <c r="A6" s="129" t="s">
        <v>119</v>
      </c>
      <c r="B6" s="120">
        <f>23955</f>
        <v>23955</v>
      </c>
      <c r="C6" s="120">
        <f>5364</f>
        <v>5364</v>
      </c>
      <c r="D6" s="128">
        <f t="shared" si="0"/>
        <v>18591</v>
      </c>
    </row>
    <row r="7" spans="1:4" x14ac:dyDescent="0.3">
      <c r="A7" s="129" t="s">
        <v>118</v>
      </c>
      <c r="B7" s="120">
        <f>13669+1593+325</f>
        <v>15587</v>
      </c>
      <c r="C7" s="120">
        <f>3480</f>
        <v>3480</v>
      </c>
      <c r="D7" s="128">
        <f t="shared" si="0"/>
        <v>12107</v>
      </c>
    </row>
    <row r="8" spans="1:4" x14ac:dyDescent="0.3">
      <c r="A8" s="129" t="s">
        <v>132</v>
      </c>
      <c r="B8" s="120">
        <f>4362+57</f>
        <v>4419</v>
      </c>
      <c r="C8" s="120">
        <f>785+5</f>
        <v>790</v>
      </c>
      <c r="D8" s="128">
        <f t="shared" si="0"/>
        <v>3629</v>
      </c>
    </row>
    <row r="9" spans="1:4" x14ac:dyDescent="0.3">
      <c r="A9" s="129" t="s">
        <v>116</v>
      </c>
      <c r="B9" s="120">
        <f>1532</f>
        <v>1532</v>
      </c>
      <c r="C9" s="120">
        <v>222</v>
      </c>
      <c r="D9" s="128">
        <f t="shared" si="0"/>
        <v>1310</v>
      </c>
    </row>
    <row r="10" spans="1:4" x14ac:dyDescent="0.3">
      <c r="A10" s="129" t="s">
        <v>115</v>
      </c>
      <c r="B10" s="120">
        <f>6112</f>
        <v>6112</v>
      </c>
      <c r="C10" s="120">
        <f>714</f>
        <v>714</v>
      </c>
      <c r="D10" s="128">
        <f t="shared" si="0"/>
        <v>5398</v>
      </c>
    </row>
    <row r="11" spans="1:4" x14ac:dyDescent="0.3">
      <c r="A11" s="129" t="s">
        <v>114</v>
      </c>
      <c r="B11" s="120">
        <f>47010</f>
        <v>47010</v>
      </c>
      <c r="C11" s="120">
        <f>3291</f>
        <v>3291</v>
      </c>
      <c r="D11" s="128">
        <f t="shared" si="0"/>
        <v>43719</v>
      </c>
    </row>
    <row r="12" spans="1:4" x14ac:dyDescent="0.3">
      <c r="A12" s="129" t="s">
        <v>131</v>
      </c>
      <c r="B12" s="120">
        <f>3173</f>
        <v>3173</v>
      </c>
      <c r="C12" s="120">
        <v>252</v>
      </c>
      <c r="D12" s="128">
        <f t="shared" si="0"/>
        <v>2921</v>
      </c>
    </row>
    <row r="13" spans="1:4" x14ac:dyDescent="0.3">
      <c r="A13" s="129" t="s">
        <v>112</v>
      </c>
      <c r="B13" s="120">
        <f>11603+2132+199</f>
        <v>13934</v>
      </c>
      <c r="C13" s="120">
        <f>2708</f>
        <v>2708</v>
      </c>
      <c r="D13" s="128">
        <f t="shared" si="0"/>
        <v>11226</v>
      </c>
    </row>
    <row r="14" spans="1:4" x14ac:dyDescent="0.3">
      <c r="A14" s="123" t="s">
        <v>111</v>
      </c>
      <c r="B14" s="120">
        <f>6169+3575</f>
        <v>9744</v>
      </c>
      <c r="C14" s="120">
        <f>1201</f>
        <v>1201</v>
      </c>
      <c r="D14" s="128">
        <f t="shared" si="0"/>
        <v>8543</v>
      </c>
    </row>
    <row r="15" spans="1:4" x14ac:dyDescent="0.3">
      <c r="A15" s="129" t="s">
        <v>110</v>
      </c>
      <c r="B15" s="120">
        <f>9100+418</f>
        <v>9518</v>
      </c>
      <c r="C15" s="120">
        <f>1148+7</f>
        <v>1155</v>
      </c>
      <c r="D15" s="128">
        <f t="shared" si="0"/>
        <v>8363</v>
      </c>
    </row>
    <row r="16" spans="1:4" x14ac:dyDescent="0.3">
      <c r="A16" s="129" t="s">
        <v>130</v>
      </c>
      <c r="B16" s="120">
        <f>7374+852</f>
        <v>8226</v>
      </c>
      <c r="C16" s="120">
        <v>1206</v>
      </c>
      <c r="D16" s="128">
        <f t="shared" si="0"/>
        <v>7020</v>
      </c>
    </row>
    <row r="17" spans="1:4" x14ac:dyDescent="0.3">
      <c r="A17" s="129" t="s">
        <v>129</v>
      </c>
      <c r="B17" s="120">
        <f>1623</f>
        <v>1623</v>
      </c>
      <c r="C17" s="120">
        <f>138</f>
        <v>138</v>
      </c>
      <c r="D17" s="128">
        <f t="shared" si="0"/>
        <v>1485</v>
      </c>
    </row>
    <row r="18" spans="1:4" x14ac:dyDescent="0.3">
      <c r="A18" s="129" t="s">
        <v>128</v>
      </c>
      <c r="B18" s="120">
        <f>752</f>
        <v>752</v>
      </c>
      <c r="C18" s="120">
        <v>0</v>
      </c>
      <c r="D18" s="128">
        <f t="shared" si="0"/>
        <v>752</v>
      </c>
    </row>
    <row r="19" spans="1:4" x14ac:dyDescent="0.3">
      <c r="A19" s="129" t="s">
        <v>109</v>
      </c>
      <c r="B19" s="120">
        <f>10782</f>
        <v>10782</v>
      </c>
      <c r="C19" s="120">
        <f>1061</f>
        <v>1061</v>
      </c>
      <c r="D19" s="128">
        <f t="shared" si="0"/>
        <v>9721</v>
      </c>
    </row>
    <row r="20" spans="1:4" x14ac:dyDescent="0.3">
      <c r="A20" s="129" t="s">
        <v>127</v>
      </c>
      <c r="B20" s="120">
        <f>1346</f>
        <v>1346</v>
      </c>
      <c r="C20" s="120">
        <v>0</v>
      </c>
      <c r="D20" s="128">
        <f t="shared" si="0"/>
        <v>1346</v>
      </c>
    </row>
    <row r="21" spans="1:4" x14ac:dyDescent="0.3">
      <c r="A21" s="129" t="s">
        <v>126</v>
      </c>
      <c r="B21" s="120">
        <f>703</f>
        <v>703</v>
      </c>
      <c r="C21" s="120">
        <f>149</f>
        <v>149</v>
      </c>
      <c r="D21" s="128">
        <f t="shared" si="0"/>
        <v>554</v>
      </c>
    </row>
    <row r="22" spans="1:4" x14ac:dyDescent="0.3">
      <c r="A22" s="129" t="s">
        <v>107</v>
      </c>
      <c r="B22" s="120">
        <f>30029+744+4630</f>
        <v>35403</v>
      </c>
      <c r="C22" s="120">
        <f>4931+53</f>
        <v>4984</v>
      </c>
      <c r="D22" s="128">
        <f t="shared" si="0"/>
        <v>30419</v>
      </c>
    </row>
    <row r="23" spans="1:4" x14ac:dyDescent="0.3">
      <c r="A23" s="129" t="s">
        <v>105</v>
      </c>
      <c r="B23" s="120">
        <f>14413</f>
        <v>14413</v>
      </c>
      <c r="C23" s="120">
        <f>2168</f>
        <v>2168</v>
      </c>
      <c r="D23" s="128">
        <f t="shared" si="0"/>
        <v>12245</v>
      </c>
    </row>
    <row r="24" spans="1:4" x14ac:dyDescent="0.3">
      <c r="A24" s="129" t="s">
        <v>104</v>
      </c>
      <c r="B24" s="120">
        <f>14272+9313+244</f>
        <v>23829</v>
      </c>
      <c r="C24" s="120">
        <f>1807</f>
        <v>1807</v>
      </c>
      <c r="D24" s="128">
        <f t="shared" si="0"/>
        <v>22022</v>
      </c>
    </row>
    <row r="25" spans="1:4" x14ac:dyDescent="0.3">
      <c r="A25" s="129" t="s">
        <v>103</v>
      </c>
      <c r="B25" s="120">
        <f>12442+119+1637</f>
        <v>14198</v>
      </c>
      <c r="C25" s="120">
        <v>2516</v>
      </c>
      <c r="D25" s="128">
        <f t="shared" si="0"/>
        <v>11682</v>
      </c>
    </row>
    <row r="26" spans="1:4" x14ac:dyDescent="0.3">
      <c r="A26" s="129" t="s">
        <v>117</v>
      </c>
      <c r="B26" s="120">
        <f>8339+1230</f>
        <v>9569</v>
      </c>
      <c r="C26" s="120">
        <f>454+14</f>
        <v>468</v>
      </c>
      <c r="D26" s="128">
        <f t="shared" si="0"/>
        <v>9101</v>
      </c>
    </row>
    <row r="27" spans="1:4" x14ac:dyDescent="0.3">
      <c r="A27" s="129" t="s">
        <v>125</v>
      </c>
      <c r="B27" s="120">
        <f>3462+1284</f>
        <v>4746</v>
      </c>
      <c r="C27" s="120">
        <v>651</v>
      </c>
      <c r="D27" s="128">
        <f t="shared" si="0"/>
        <v>4095</v>
      </c>
    </row>
    <row r="28" spans="1:4" x14ac:dyDescent="0.3">
      <c r="A28" s="129" t="s">
        <v>113</v>
      </c>
      <c r="B28" s="120">
        <f>14503+3395</f>
        <v>17898</v>
      </c>
      <c r="C28" s="120">
        <f>3182</f>
        <v>3182</v>
      </c>
      <c r="D28" s="128">
        <f t="shared" si="0"/>
        <v>14716</v>
      </c>
    </row>
    <row r="29" spans="1:4" x14ac:dyDescent="0.3">
      <c r="A29" s="129" t="s">
        <v>124</v>
      </c>
      <c r="B29" s="120">
        <f>7751+2102</f>
        <v>9853</v>
      </c>
      <c r="C29" s="120">
        <f>1064</f>
        <v>1064</v>
      </c>
      <c r="D29" s="128">
        <f t="shared" si="0"/>
        <v>8789</v>
      </c>
    </row>
    <row r="30" spans="1:4" x14ac:dyDescent="0.3">
      <c r="A30" s="129" t="s">
        <v>102</v>
      </c>
      <c r="B30" s="120">
        <f>13913+385</f>
        <v>14298</v>
      </c>
      <c r="C30" s="120">
        <f>2270+32</f>
        <v>2302</v>
      </c>
      <c r="D30" s="128">
        <f t="shared" si="0"/>
        <v>11996</v>
      </c>
    </row>
    <row r="31" spans="1:4" x14ac:dyDescent="0.3">
      <c r="A31" s="129" t="s">
        <v>123</v>
      </c>
      <c r="B31" s="120">
        <f>2611</f>
        <v>2611</v>
      </c>
      <c r="C31" s="120">
        <f>576</f>
        <v>576</v>
      </c>
      <c r="D31" s="128">
        <f t="shared" si="0"/>
        <v>2035</v>
      </c>
    </row>
    <row r="32" spans="1:4" s="124" customFormat="1" x14ac:dyDescent="0.3">
      <c r="A32" s="127" t="s">
        <v>101</v>
      </c>
      <c r="B32" s="126">
        <f>91213+14073+22</f>
        <v>105308</v>
      </c>
      <c r="C32" s="126">
        <f>5142</f>
        <v>5142</v>
      </c>
      <c r="D32" s="125">
        <f t="shared" si="0"/>
        <v>100166</v>
      </c>
    </row>
    <row r="33" spans="1:4" s="121" customFormat="1" x14ac:dyDescent="0.3">
      <c r="A33" s="123" t="s">
        <v>122</v>
      </c>
      <c r="B33" s="120">
        <f>SUM(B4:B32)</f>
        <v>443982</v>
      </c>
      <c r="C33" s="120">
        <f>SUM(C4:C32)</f>
        <v>50133</v>
      </c>
      <c r="D33" s="122">
        <f t="shared" si="0"/>
        <v>393849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activeCell="E6" sqref="E6"/>
    </sheetView>
  </sheetViews>
  <sheetFormatPr defaultColWidth="9.109375" defaultRowHeight="14.4" x14ac:dyDescent="0.3"/>
  <cols>
    <col min="1" max="1" width="17.33203125" style="130" customWidth="1"/>
    <col min="2" max="2" width="2" style="130" customWidth="1"/>
    <col min="3" max="3" width="12.6640625" style="130" customWidth="1"/>
    <col min="4" max="4" width="2.88671875" style="130" customWidth="1"/>
    <col min="5" max="5" width="12.6640625" style="130" customWidth="1"/>
    <col min="6" max="6" width="3.44140625" style="130" customWidth="1"/>
    <col min="7" max="7" width="10.44140625" style="130" bestFit="1" customWidth="1"/>
    <col min="8" max="8" width="14.33203125" style="130" customWidth="1"/>
    <col min="9" max="11" width="9.109375" style="130"/>
    <col min="12" max="12" width="11.88671875" style="130" hidden="1" customWidth="1"/>
    <col min="13" max="13" width="13.33203125" style="130" hidden="1" customWidth="1"/>
    <col min="14" max="15" width="0" style="130" hidden="1" customWidth="1"/>
    <col min="16" max="16384" width="9.109375" style="130"/>
  </cols>
  <sheetData>
    <row r="1" spans="1:15" x14ac:dyDescent="0.3">
      <c r="A1" s="130" t="s">
        <v>151</v>
      </c>
    </row>
    <row r="2" spans="1:15" x14ac:dyDescent="0.3">
      <c r="A2" s="138" t="s">
        <v>150</v>
      </c>
    </row>
    <row r="3" spans="1:15" x14ac:dyDescent="0.3">
      <c r="A3" s="138" t="s">
        <v>149</v>
      </c>
    </row>
    <row r="5" spans="1:15" x14ac:dyDescent="0.3">
      <c r="C5" s="139" t="s">
        <v>147</v>
      </c>
      <c r="D5" s="140"/>
      <c r="E5" s="139" t="s">
        <v>148</v>
      </c>
      <c r="F5" s="140"/>
      <c r="G5" s="139"/>
      <c r="H5" s="139"/>
      <c r="L5" s="138" t="s">
        <v>147</v>
      </c>
    </row>
    <row r="6" spans="1:15" ht="28.5" customHeight="1" x14ac:dyDescent="0.3">
      <c r="A6" s="137" t="s">
        <v>146</v>
      </c>
      <c r="C6" s="135" t="s">
        <v>145</v>
      </c>
      <c r="D6" s="136"/>
      <c r="E6" s="135" t="s">
        <v>145</v>
      </c>
      <c r="G6" s="135" t="s">
        <v>144</v>
      </c>
      <c r="H6" s="135" t="s">
        <v>143</v>
      </c>
      <c r="L6" s="134" t="s">
        <v>142</v>
      </c>
      <c r="M6" s="134" t="s">
        <v>141</v>
      </c>
    </row>
    <row r="7" spans="1:15" x14ac:dyDescent="0.3">
      <c r="A7" s="35" t="s">
        <v>29</v>
      </c>
      <c r="C7" s="131">
        <f>'Orig GME SFY15'!I26</f>
        <v>829200.25</v>
      </c>
      <c r="D7" s="132"/>
      <c r="E7" s="131">
        <f>'Corrected GME SFY15'!I26</f>
        <v>729362</v>
      </c>
      <c r="G7" s="131">
        <f t="shared" ref="G7:G23" si="0">E7-C7</f>
        <v>-99838.25</v>
      </c>
      <c r="H7" s="131">
        <f t="shared" ref="H7:H23" si="1">ROUND((+E7-C7)*2,0)</f>
        <v>-199677</v>
      </c>
      <c r="L7" s="131">
        <v>3316801</v>
      </c>
      <c r="M7" s="131">
        <v>829200.25</v>
      </c>
      <c r="O7" s="132">
        <f t="shared" ref="O7:O14" si="2">M7-C7</f>
        <v>0</v>
      </c>
    </row>
    <row r="8" spans="1:15" x14ac:dyDescent="0.3">
      <c r="A8" s="133" t="s">
        <v>120</v>
      </c>
      <c r="C8" s="131">
        <f>'Orig GME SFY15'!C26</f>
        <v>298743.25</v>
      </c>
      <c r="D8" s="132"/>
      <c r="E8" s="131">
        <f>'Corrected GME SFY15'!C26</f>
        <v>296782.75</v>
      </c>
      <c r="G8" s="131">
        <f t="shared" si="0"/>
        <v>-1960.5</v>
      </c>
      <c r="H8" s="131">
        <f t="shared" si="1"/>
        <v>-3921</v>
      </c>
      <c r="L8" s="131">
        <v>1218658</v>
      </c>
      <c r="M8" s="131">
        <v>304664.5</v>
      </c>
      <c r="O8" s="132">
        <f t="shared" si="2"/>
        <v>5921.25</v>
      </c>
    </row>
    <row r="9" spans="1:15" x14ac:dyDescent="0.3">
      <c r="A9" s="35" t="s">
        <v>16</v>
      </c>
      <c r="C9" s="131">
        <f>'Orig GME SFY15'!D26</f>
        <v>54488.75</v>
      </c>
      <c r="D9" s="132"/>
      <c r="E9" s="131">
        <f>'Corrected GME SFY15'!D26</f>
        <v>54340</v>
      </c>
      <c r="G9" s="131">
        <f t="shared" si="0"/>
        <v>-148.75</v>
      </c>
      <c r="H9" s="131">
        <f t="shared" si="1"/>
        <v>-298</v>
      </c>
      <c r="L9" s="131">
        <v>1216648</v>
      </c>
      <c r="M9" s="131">
        <v>304162</v>
      </c>
      <c r="O9" s="132">
        <f t="shared" si="2"/>
        <v>249673.25</v>
      </c>
    </row>
    <row r="10" spans="1:15" x14ac:dyDescent="0.3">
      <c r="A10" s="35" t="s">
        <v>19</v>
      </c>
      <c r="C10" s="131">
        <f>'Orig GME SFY15'!E26</f>
        <v>108549.25</v>
      </c>
      <c r="D10" s="132"/>
      <c r="E10" s="131">
        <f>'Corrected GME SFY15'!E26</f>
        <v>108391</v>
      </c>
      <c r="G10" s="131">
        <f t="shared" si="0"/>
        <v>-158.25</v>
      </c>
      <c r="H10" s="131">
        <f t="shared" si="1"/>
        <v>-317</v>
      </c>
      <c r="L10" s="131">
        <v>434197</v>
      </c>
      <c r="M10" s="131">
        <v>108549.25</v>
      </c>
      <c r="O10" s="132">
        <f t="shared" si="2"/>
        <v>0</v>
      </c>
    </row>
    <row r="11" spans="1:15" x14ac:dyDescent="0.3">
      <c r="A11" s="133" t="s">
        <v>117</v>
      </c>
      <c r="C11" s="131">
        <f>'Orig GME SFY15'!F26</f>
        <v>328609.75</v>
      </c>
      <c r="D11" s="132"/>
      <c r="E11" s="131">
        <f>'Corrected GME SFY15'!F26</f>
        <v>328323.5</v>
      </c>
      <c r="G11" s="131">
        <f t="shared" si="0"/>
        <v>-286.25</v>
      </c>
      <c r="H11" s="131">
        <f t="shared" si="1"/>
        <v>-573</v>
      </c>
      <c r="L11" s="131">
        <v>1654764</v>
      </c>
      <c r="M11" s="131">
        <v>413691</v>
      </c>
      <c r="O11" s="132">
        <f t="shared" si="2"/>
        <v>85081.25</v>
      </c>
    </row>
    <row r="12" spans="1:15" x14ac:dyDescent="0.3">
      <c r="A12" s="133" t="s">
        <v>116</v>
      </c>
      <c r="C12" s="131">
        <f>'Orig GME SFY15'!G26</f>
        <v>6671.25</v>
      </c>
      <c r="D12" s="132"/>
      <c r="E12" s="131">
        <f>'Corrected GME SFY15'!G26</f>
        <v>6665.25</v>
      </c>
      <c r="G12" s="131">
        <f t="shared" si="0"/>
        <v>-6</v>
      </c>
      <c r="H12" s="131">
        <f t="shared" si="1"/>
        <v>-12</v>
      </c>
      <c r="L12" s="131">
        <v>26685</v>
      </c>
      <c r="M12" s="131">
        <v>6671.25</v>
      </c>
      <c r="O12" s="132">
        <f t="shared" si="2"/>
        <v>0</v>
      </c>
    </row>
    <row r="13" spans="1:15" x14ac:dyDescent="0.3">
      <c r="A13" s="35" t="s">
        <v>27</v>
      </c>
      <c r="C13" s="131">
        <f>'Orig GME SFY15'!H26</f>
        <v>46484.75</v>
      </c>
      <c r="D13" s="132"/>
      <c r="E13" s="131">
        <f>'Corrected GME SFY15'!H26</f>
        <v>46247.25</v>
      </c>
      <c r="G13" s="131">
        <f t="shared" si="0"/>
        <v>-237.5</v>
      </c>
      <c r="H13" s="131">
        <f t="shared" si="1"/>
        <v>-475</v>
      </c>
      <c r="L13" s="131">
        <v>185939</v>
      </c>
      <c r="M13" s="131">
        <v>46484.75</v>
      </c>
      <c r="O13" s="132">
        <f t="shared" si="2"/>
        <v>0</v>
      </c>
    </row>
    <row r="14" spans="1:15" x14ac:dyDescent="0.3">
      <c r="A14" s="35" t="s">
        <v>31</v>
      </c>
      <c r="C14" s="131">
        <f>'Orig GME SFY15'!J26</f>
        <v>123053.75</v>
      </c>
      <c r="D14" s="132"/>
      <c r="E14" s="131">
        <f>'Corrected GME SFY15'!J26</f>
        <v>122819.25</v>
      </c>
      <c r="G14" s="131">
        <f t="shared" si="0"/>
        <v>-234.5</v>
      </c>
      <c r="H14" s="131">
        <f t="shared" si="1"/>
        <v>-469</v>
      </c>
      <c r="L14" s="131">
        <v>492215</v>
      </c>
      <c r="M14" s="131">
        <v>123053.75</v>
      </c>
      <c r="O14" s="132">
        <f t="shared" si="2"/>
        <v>0</v>
      </c>
    </row>
    <row r="15" spans="1:15" x14ac:dyDescent="0.3">
      <c r="A15" s="35" t="s">
        <v>37</v>
      </c>
      <c r="C15" s="131">
        <f>'Orig GME SFY15'!K26</f>
        <v>2505</v>
      </c>
      <c r="D15" s="132"/>
      <c r="E15" s="131">
        <f>'Corrected GME SFY15'!K26</f>
        <v>2492.25</v>
      </c>
      <c r="G15" s="131">
        <f t="shared" si="0"/>
        <v>-12.75</v>
      </c>
      <c r="H15" s="131">
        <f t="shared" si="1"/>
        <v>-26</v>
      </c>
      <c r="L15" s="131"/>
      <c r="M15" s="131"/>
      <c r="O15" s="132"/>
    </row>
    <row r="16" spans="1:15" x14ac:dyDescent="0.3">
      <c r="A16" s="35" t="s">
        <v>43</v>
      </c>
      <c r="C16" s="131">
        <f>'Orig GME SFY15'!C52</f>
        <v>57179.25</v>
      </c>
      <c r="D16" s="132"/>
      <c r="E16" s="131">
        <f>'Corrected GME SFY15'!C52</f>
        <v>56798</v>
      </c>
      <c r="G16" s="131">
        <f t="shared" si="0"/>
        <v>-381.25</v>
      </c>
      <c r="H16" s="131">
        <f t="shared" si="1"/>
        <v>-763</v>
      </c>
      <c r="L16" s="131">
        <v>228851</v>
      </c>
      <c r="M16" s="131">
        <v>57212.75</v>
      </c>
      <c r="O16" s="132">
        <f t="shared" ref="O16:O23" si="3">M16-C16</f>
        <v>33.5</v>
      </c>
    </row>
    <row r="17" spans="1:15" x14ac:dyDescent="0.3">
      <c r="A17" s="35" t="s">
        <v>48</v>
      </c>
      <c r="C17" s="131">
        <f>'Orig GME SFY15'!D52</f>
        <v>166816.5</v>
      </c>
      <c r="D17" s="132"/>
      <c r="E17" s="131">
        <f>'Corrected GME SFY15'!D52</f>
        <v>166243.5</v>
      </c>
      <c r="G17" s="131">
        <f t="shared" si="0"/>
        <v>-573</v>
      </c>
      <c r="H17" s="131">
        <f t="shared" si="1"/>
        <v>-1146</v>
      </c>
      <c r="L17" s="131">
        <v>759139</v>
      </c>
      <c r="M17" s="131">
        <v>189784.75</v>
      </c>
      <c r="O17" s="132">
        <f t="shared" si="3"/>
        <v>22968.25</v>
      </c>
    </row>
    <row r="18" spans="1:15" x14ac:dyDescent="0.3">
      <c r="A18" s="35" t="s">
        <v>52</v>
      </c>
      <c r="C18" s="131">
        <f>'Orig GME SFY15'!E52</f>
        <v>461625.75</v>
      </c>
      <c r="D18" s="132"/>
      <c r="E18" s="131">
        <f>'Corrected GME SFY15'!E52</f>
        <v>418321.5</v>
      </c>
      <c r="G18" s="131">
        <f t="shared" si="0"/>
        <v>-43304.25</v>
      </c>
      <c r="H18" s="131">
        <f t="shared" si="1"/>
        <v>-86609</v>
      </c>
      <c r="L18" s="131">
        <v>1846503</v>
      </c>
      <c r="M18" s="131">
        <v>461625.75</v>
      </c>
      <c r="O18" s="132">
        <f t="shared" si="3"/>
        <v>0</v>
      </c>
    </row>
    <row r="19" spans="1:15" x14ac:dyDescent="0.3">
      <c r="A19" s="35" t="s">
        <v>54</v>
      </c>
      <c r="C19" s="131">
        <f>'Orig GME SFY15'!F52</f>
        <v>131222.75</v>
      </c>
      <c r="D19" s="132"/>
      <c r="E19" s="131">
        <f>'Corrected GME SFY15'!F52</f>
        <v>130680.25</v>
      </c>
      <c r="G19" s="131">
        <f t="shared" si="0"/>
        <v>-542.5</v>
      </c>
      <c r="H19" s="131">
        <f t="shared" si="1"/>
        <v>-1085</v>
      </c>
      <c r="L19" s="131">
        <v>476198</v>
      </c>
      <c r="M19" s="131">
        <v>119049.5</v>
      </c>
      <c r="O19" s="132">
        <f t="shared" si="3"/>
        <v>-12173.25</v>
      </c>
    </row>
    <row r="20" spans="1:15" x14ac:dyDescent="0.3">
      <c r="A20" s="35" t="s">
        <v>56</v>
      </c>
      <c r="C20" s="131">
        <f>'Orig GME SFY15'!G52</f>
        <v>195276.5</v>
      </c>
      <c r="D20" s="132"/>
      <c r="E20" s="131">
        <f>'Corrected GME SFY15'!G52</f>
        <v>171066.5</v>
      </c>
      <c r="G20" s="131">
        <f t="shared" si="0"/>
        <v>-24210</v>
      </c>
      <c r="H20" s="131">
        <f t="shared" si="1"/>
        <v>-48420</v>
      </c>
      <c r="L20" s="131">
        <v>783961</v>
      </c>
      <c r="M20" s="131">
        <v>195990.25</v>
      </c>
      <c r="O20" s="132">
        <f t="shared" si="3"/>
        <v>713.75</v>
      </c>
    </row>
    <row r="21" spans="1:15" x14ac:dyDescent="0.3">
      <c r="A21" s="35" t="s">
        <v>60</v>
      </c>
      <c r="C21" s="131">
        <f>'Orig GME SFY15'!H52</f>
        <v>80187.5</v>
      </c>
      <c r="D21" s="132"/>
      <c r="E21" s="131">
        <f>'Corrected GME SFY15'!H52</f>
        <v>79921.5</v>
      </c>
      <c r="G21" s="131">
        <f t="shared" si="0"/>
        <v>-266</v>
      </c>
      <c r="H21" s="131">
        <f t="shared" si="1"/>
        <v>-532</v>
      </c>
      <c r="L21" s="131">
        <v>473344</v>
      </c>
      <c r="M21" s="131">
        <v>118336</v>
      </c>
      <c r="O21" s="132">
        <f t="shared" si="3"/>
        <v>38148.5</v>
      </c>
    </row>
    <row r="22" spans="1:15" x14ac:dyDescent="0.3">
      <c r="A22" s="35" t="s">
        <v>62</v>
      </c>
      <c r="C22" s="131">
        <f>'Orig GME SFY15'!I52</f>
        <v>160093.25</v>
      </c>
      <c r="D22" s="132"/>
      <c r="E22" s="131">
        <f>'Corrected GME SFY15'!I52</f>
        <v>146629.25</v>
      </c>
      <c r="G22" s="131">
        <f t="shared" si="0"/>
        <v>-13464</v>
      </c>
      <c r="H22" s="131">
        <f t="shared" si="1"/>
        <v>-26928</v>
      </c>
      <c r="L22" s="131">
        <v>640373</v>
      </c>
      <c r="M22" s="131">
        <v>160093.25</v>
      </c>
      <c r="O22" s="132">
        <f t="shared" si="3"/>
        <v>0</v>
      </c>
    </row>
    <row r="23" spans="1:15" x14ac:dyDescent="0.3">
      <c r="A23" s="35" t="s">
        <v>66</v>
      </c>
      <c r="C23" s="131">
        <f>'Orig GME SFY15'!J52</f>
        <v>2083909.75</v>
      </c>
      <c r="D23" s="132"/>
      <c r="E23" s="131">
        <f>'Corrected GME SFY15'!J52</f>
        <v>1907784.75</v>
      </c>
      <c r="G23" s="131">
        <f t="shared" si="0"/>
        <v>-176125</v>
      </c>
      <c r="H23" s="131">
        <f t="shared" si="1"/>
        <v>-352250</v>
      </c>
      <c r="L23" s="131">
        <v>9724799</v>
      </c>
      <c r="M23" s="131">
        <v>2431199.75</v>
      </c>
      <c r="O23" s="132">
        <f t="shared" si="3"/>
        <v>347290</v>
      </c>
    </row>
    <row r="24" spans="1:15" x14ac:dyDescent="0.3">
      <c r="O24" s="132">
        <f>SUM(O7:O23)</f>
        <v>737656.5</v>
      </c>
    </row>
    <row r="25" spans="1:15" x14ac:dyDescent="0.3">
      <c r="A25" s="133" t="s">
        <v>136</v>
      </c>
      <c r="C25" s="131">
        <f>SUM(C7:C24)</f>
        <v>5134617.25</v>
      </c>
      <c r="D25" s="132"/>
      <c r="E25" s="131">
        <f>SUM(E7:E24)</f>
        <v>4772868.5</v>
      </c>
      <c r="G25" s="131">
        <f>SUM(G7:G24)</f>
        <v>-361748.75</v>
      </c>
      <c r="H25" s="131">
        <f>SUM(H7:H24)</f>
        <v>-723501</v>
      </c>
      <c r="L25" s="131">
        <v>23479075</v>
      </c>
      <c r="M25" s="131">
        <v>5869768.75</v>
      </c>
    </row>
  </sheetData>
  <printOptions horizontalCentered="1"/>
  <pageMargins left="0.2" right="0.2" top="0.5" bottom="0.25" header="0.3" footer="0.3"/>
  <pageSetup orientation="portrait" r:id="rId1"/>
  <headerFooter>
    <oddFooter>&amp;L&amp;9&amp;Z&amp;F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13" zoomScale="90" zoomScaleNormal="90" workbookViewId="0">
      <selection activeCell="E6" sqref="E6"/>
    </sheetView>
  </sheetViews>
  <sheetFormatPr defaultColWidth="9.109375" defaultRowHeight="14.4" x14ac:dyDescent="0.3"/>
  <cols>
    <col min="1" max="1" width="7" style="141" bestFit="1" customWidth="1"/>
    <col min="2" max="2" width="66.5546875" style="141" bestFit="1" customWidth="1"/>
    <col min="3" max="3" width="17.44140625" style="142" bestFit="1" customWidth="1"/>
    <col min="4" max="4" width="15.6640625" style="142" bestFit="1" customWidth="1"/>
    <col min="5" max="5" width="17.44140625" style="142" bestFit="1" customWidth="1"/>
    <col min="6" max="6" width="15.6640625" style="142" bestFit="1" customWidth="1"/>
    <col min="7" max="9" width="17.44140625" style="142" bestFit="1" customWidth="1"/>
    <col min="10" max="10" width="18.33203125" style="142" bestFit="1" customWidth="1"/>
    <col min="11" max="12" width="16.109375" style="141" bestFit="1" customWidth="1"/>
    <col min="13" max="13" width="16.33203125" style="141" bestFit="1" customWidth="1"/>
    <col min="14" max="14" width="13.33203125" style="141" bestFit="1" customWidth="1"/>
    <col min="15" max="15" width="16.44140625" style="141" customWidth="1"/>
    <col min="16" max="16384" width="9.109375" style="141"/>
  </cols>
  <sheetData>
    <row r="1" spans="1:15" ht="17.399999999999999" x14ac:dyDescent="0.3">
      <c r="A1" s="205" t="s">
        <v>155</v>
      </c>
      <c r="B1" s="171"/>
      <c r="K1" s="142"/>
    </row>
    <row r="2" spans="1:15" x14ac:dyDescent="0.3">
      <c r="B2" s="150"/>
      <c r="D2" s="204"/>
      <c r="K2" s="142"/>
    </row>
    <row r="3" spans="1:15" s="148" customFormat="1" ht="27.6" x14ac:dyDescent="0.3">
      <c r="A3" s="154"/>
      <c r="B3" s="185" t="s">
        <v>106</v>
      </c>
      <c r="C3" s="183" t="s">
        <v>120</v>
      </c>
      <c r="D3" s="183" t="s">
        <v>119</v>
      </c>
      <c r="E3" s="183" t="s">
        <v>118</v>
      </c>
      <c r="F3" s="183" t="s">
        <v>117</v>
      </c>
      <c r="G3" s="183" t="s">
        <v>116</v>
      </c>
      <c r="H3" s="183" t="s">
        <v>115</v>
      </c>
      <c r="I3" s="183" t="s">
        <v>114</v>
      </c>
      <c r="J3" s="184" t="s">
        <v>113</v>
      </c>
      <c r="K3" s="184" t="s">
        <v>112</v>
      </c>
    </row>
    <row r="4" spans="1:15" x14ac:dyDescent="0.3">
      <c r="A4" s="155"/>
      <c r="B4" s="155"/>
      <c r="K4" s="142"/>
    </row>
    <row r="5" spans="1:15" x14ac:dyDescent="0.3">
      <c r="A5" s="181"/>
      <c r="B5" s="162" t="s">
        <v>100</v>
      </c>
      <c r="C5" s="203"/>
      <c r="E5" s="203"/>
      <c r="F5" s="203"/>
      <c r="G5" s="203"/>
      <c r="H5" s="203"/>
      <c r="I5" s="203"/>
      <c r="J5" s="203"/>
      <c r="K5" s="203"/>
      <c r="L5" s="202"/>
      <c r="M5" s="201"/>
    </row>
    <row r="6" spans="1:15" x14ac:dyDescent="0.3">
      <c r="A6" s="160" t="s">
        <v>99</v>
      </c>
      <c r="B6" s="177" t="s">
        <v>98</v>
      </c>
      <c r="C6" s="179">
        <v>49.48</v>
      </c>
      <c r="D6" s="179">
        <v>9.31</v>
      </c>
      <c r="E6" s="179">
        <v>42.44</v>
      </c>
      <c r="F6" s="179">
        <v>33.1</v>
      </c>
      <c r="G6" s="179">
        <v>21.84</v>
      </c>
      <c r="H6" s="179">
        <v>27.62</v>
      </c>
      <c r="I6" s="179">
        <v>61.23</v>
      </c>
      <c r="J6" s="179">
        <v>35.200000000000003</v>
      </c>
      <c r="K6" s="179">
        <v>0</v>
      </c>
      <c r="L6" s="169"/>
      <c r="M6" s="200"/>
    </row>
    <row r="7" spans="1:15" x14ac:dyDescent="0.3">
      <c r="A7" s="160" t="s">
        <v>97</v>
      </c>
      <c r="B7" s="177" t="s">
        <v>96</v>
      </c>
      <c r="C7" s="179">
        <v>42.47</v>
      </c>
      <c r="D7" s="179">
        <v>5.27</v>
      </c>
      <c r="E7" s="179">
        <v>24.11</v>
      </c>
      <c r="F7" s="179">
        <v>90.73</v>
      </c>
      <c r="G7" s="179">
        <v>0.05</v>
      </c>
      <c r="H7" s="179">
        <v>0</v>
      </c>
      <c r="I7" s="179">
        <v>153.68</v>
      </c>
      <c r="J7" s="179">
        <v>5.84</v>
      </c>
      <c r="K7" s="179">
        <v>0.86</v>
      </c>
      <c r="L7" s="169"/>
      <c r="M7" s="200"/>
    </row>
    <row r="8" spans="1:15" x14ac:dyDescent="0.3">
      <c r="A8" s="160" t="s">
        <v>95</v>
      </c>
      <c r="B8" s="177" t="s">
        <v>94</v>
      </c>
      <c r="C8" s="178">
        <v>96550.58</v>
      </c>
      <c r="D8" s="178">
        <v>85862.8</v>
      </c>
      <c r="E8" s="178">
        <v>96878.71</v>
      </c>
      <c r="F8" s="178">
        <v>93831.07</v>
      </c>
      <c r="G8" s="178">
        <v>115838.88</v>
      </c>
      <c r="H8" s="178">
        <v>92626.37</v>
      </c>
      <c r="I8" s="178">
        <v>113469.43</v>
      </c>
      <c r="J8" s="178">
        <v>108417</v>
      </c>
      <c r="K8" s="178">
        <v>0</v>
      </c>
      <c r="L8" s="169"/>
      <c r="M8" s="199"/>
    </row>
    <row r="9" spans="1:15" x14ac:dyDescent="0.3">
      <c r="A9" s="160" t="s">
        <v>93</v>
      </c>
      <c r="B9" s="177" t="s">
        <v>92</v>
      </c>
      <c r="C9" s="178">
        <v>93385.91</v>
      </c>
      <c r="D9" s="178">
        <v>27.48</v>
      </c>
      <c r="E9" s="178">
        <v>92626.37</v>
      </c>
      <c r="F9" s="178">
        <v>93831.07</v>
      </c>
      <c r="G9" s="178">
        <v>109818.65</v>
      </c>
      <c r="H9" s="178">
        <v>0</v>
      </c>
      <c r="I9" s="178">
        <v>107572.33</v>
      </c>
      <c r="J9" s="178">
        <v>102782</v>
      </c>
      <c r="K9" s="178">
        <v>154498.06</v>
      </c>
      <c r="L9" s="169"/>
      <c r="M9" s="145"/>
    </row>
    <row r="10" spans="1:15" x14ac:dyDescent="0.3">
      <c r="A10" s="160" t="s">
        <v>91</v>
      </c>
      <c r="B10" s="177" t="s">
        <v>90</v>
      </c>
      <c r="C10" s="156">
        <v>9221906.3993591312</v>
      </c>
      <c r="D10" s="156">
        <v>843281.97952760989</v>
      </c>
      <c r="E10" s="156">
        <v>6691970.4313488062</v>
      </c>
      <c r="F10" s="156">
        <v>12254956.282290697</v>
      </c>
      <c r="G10" s="156">
        <v>2674162.3505060622</v>
      </c>
      <c r="H10" s="156">
        <v>2698345.1564999996</v>
      </c>
      <c r="I10" s="156">
        <v>24764361.503106534</v>
      </c>
      <c r="J10" s="156">
        <v>4658219.204057999</v>
      </c>
      <c r="K10" s="156">
        <v>140139.55104680997</v>
      </c>
      <c r="L10" s="198"/>
      <c r="M10" s="145"/>
      <c r="O10" s="197"/>
    </row>
    <row r="11" spans="1:15" x14ac:dyDescent="0.3">
      <c r="A11" s="163"/>
      <c r="B11" s="163"/>
      <c r="C11" s="196"/>
      <c r="D11" s="196"/>
      <c r="E11" s="195"/>
      <c r="F11" s="146"/>
      <c r="G11" s="146"/>
      <c r="H11" s="146"/>
      <c r="I11" s="146"/>
      <c r="J11" s="146"/>
      <c r="K11" s="146"/>
      <c r="L11" s="164"/>
      <c r="M11" s="145"/>
    </row>
    <row r="12" spans="1:15" x14ac:dyDescent="0.3">
      <c r="A12" s="176"/>
      <c r="B12" s="162" t="s">
        <v>89</v>
      </c>
      <c r="C12" s="146"/>
      <c r="D12" s="146"/>
      <c r="E12" s="146"/>
      <c r="F12" s="146"/>
      <c r="G12" s="147"/>
      <c r="H12" s="194"/>
      <c r="I12" s="146"/>
      <c r="J12" s="146"/>
      <c r="K12" s="146"/>
      <c r="L12" s="172"/>
      <c r="M12" s="145"/>
    </row>
    <row r="13" spans="1:15" x14ac:dyDescent="0.3">
      <c r="A13" s="160" t="s">
        <v>88</v>
      </c>
      <c r="B13" s="174" t="s">
        <v>154</v>
      </c>
      <c r="C13" s="175">
        <f>24894+80-2573</f>
        <v>22401</v>
      </c>
      <c r="D13" s="175">
        <f>23978+49-4236</f>
        <v>19791</v>
      </c>
      <c r="E13" s="175">
        <f>16020+18-3687</f>
        <v>12351</v>
      </c>
      <c r="F13" s="175">
        <f>10818+9-451-44</f>
        <v>10332</v>
      </c>
      <c r="G13" s="175">
        <f>1477-360</f>
        <v>1117</v>
      </c>
      <c r="H13" s="175">
        <f>5268+17-784</f>
        <v>4501</v>
      </c>
      <c r="I13" s="175">
        <f>44663-3231+5610</f>
        <v>47042</v>
      </c>
      <c r="J13" s="175">
        <f>19189+31-2958</f>
        <v>16262</v>
      </c>
      <c r="K13" s="175">
        <f>13766+57-2729</f>
        <v>11094</v>
      </c>
      <c r="L13" s="169"/>
      <c r="M13" s="145"/>
    </row>
    <row r="14" spans="1:15" x14ac:dyDescent="0.3">
      <c r="A14" s="160" t="s">
        <v>86</v>
      </c>
      <c r="B14" s="174" t="s">
        <v>85</v>
      </c>
      <c r="C14" s="175">
        <f>74419+6153+5468+5335</f>
        <v>91375</v>
      </c>
      <c r="D14" s="175">
        <v>46107</v>
      </c>
      <c r="E14" s="175">
        <f>64292+11809+6128+4020</f>
        <v>86249</v>
      </c>
      <c r="F14" s="175">
        <f>30443+3712+5410</f>
        <v>39565</v>
      </c>
      <c r="G14" s="175">
        <f>40270+4729</f>
        <v>44999</v>
      </c>
      <c r="H14" s="175">
        <f>22355+2822+3884</f>
        <v>29061</v>
      </c>
      <c r="I14" s="175">
        <f>171309+24010+30670</f>
        <v>225989</v>
      </c>
      <c r="J14" s="175">
        <f>57140+7353+7151</f>
        <v>71644</v>
      </c>
      <c r="K14" s="175">
        <f>45663+2665+2217+2626+5486+4636</f>
        <v>63293</v>
      </c>
      <c r="L14" s="169"/>
      <c r="M14" s="145"/>
    </row>
    <row r="15" spans="1:15" x14ac:dyDescent="0.3">
      <c r="A15" s="160" t="s">
        <v>84</v>
      </c>
      <c r="B15" s="174" t="s">
        <v>83</v>
      </c>
      <c r="C15" s="173">
        <f t="shared" ref="C15:K15" si="0">+C13/C14</f>
        <v>0.2451545827633379</v>
      </c>
      <c r="D15" s="173">
        <f t="shared" si="0"/>
        <v>0.42924067928947884</v>
      </c>
      <c r="E15" s="173">
        <f t="shared" si="0"/>
        <v>0.14320166030910503</v>
      </c>
      <c r="F15" s="173">
        <f t="shared" si="0"/>
        <v>0.26113989637305701</v>
      </c>
      <c r="G15" s="173">
        <f t="shared" si="0"/>
        <v>2.4822773839418655E-2</v>
      </c>
      <c r="H15" s="173">
        <f t="shared" si="0"/>
        <v>0.15488111214342246</v>
      </c>
      <c r="I15" s="173">
        <f t="shared" si="0"/>
        <v>0.20816057418723921</v>
      </c>
      <c r="J15" s="173">
        <f t="shared" si="0"/>
        <v>0.226983418011278</v>
      </c>
      <c r="K15" s="173">
        <f t="shared" si="0"/>
        <v>0.17528004676662506</v>
      </c>
      <c r="L15" s="193"/>
      <c r="M15" s="169"/>
    </row>
    <row r="16" spans="1:15" x14ac:dyDescent="0.3">
      <c r="A16" s="160"/>
      <c r="B16" s="171"/>
      <c r="C16" s="146"/>
      <c r="D16" s="146"/>
      <c r="E16" s="146"/>
      <c r="F16" s="146"/>
      <c r="G16" s="146"/>
      <c r="H16" s="146"/>
      <c r="I16" s="146"/>
      <c r="J16" s="146"/>
      <c r="K16" s="146"/>
      <c r="L16" s="193"/>
      <c r="M16" s="164"/>
    </row>
    <row r="17" spans="1:14" x14ac:dyDescent="0.3">
      <c r="A17" s="160"/>
      <c r="B17" s="170" t="s">
        <v>82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67"/>
      <c r="M17" s="192"/>
    </row>
    <row r="18" spans="1:14" x14ac:dyDescent="0.3">
      <c r="A18" s="160" t="s">
        <v>81</v>
      </c>
      <c r="B18" s="168" t="s">
        <v>80</v>
      </c>
      <c r="C18" s="156">
        <v>799463426</v>
      </c>
      <c r="D18" s="156">
        <v>345933051</v>
      </c>
      <c r="E18" s="156">
        <v>558157413</v>
      </c>
      <c r="F18" s="156">
        <v>239025709</v>
      </c>
      <c r="G18" s="156">
        <v>434620881</v>
      </c>
      <c r="H18" s="156">
        <v>197406205</v>
      </c>
      <c r="I18" s="156">
        <v>1551885696</v>
      </c>
      <c r="J18" s="156">
        <v>415386626</v>
      </c>
      <c r="K18" s="156">
        <v>293038528</v>
      </c>
      <c r="L18" s="167"/>
      <c r="M18" s="191"/>
      <c r="N18" s="190"/>
    </row>
    <row r="19" spans="1:14" x14ac:dyDescent="0.3">
      <c r="A19" s="160" t="s">
        <v>79</v>
      </c>
      <c r="B19" s="168" t="s">
        <v>78</v>
      </c>
      <c r="C19" s="156">
        <v>1512520851</v>
      </c>
      <c r="D19" s="156">
        <v>574512885</v>
      </c>
      <c r="E19" s="156">
        <v>1231890672</v>
      </c>
      <c r="F19" s="156">
        <v>581954467</v>
      </c>
      <c r="G19" s="156">
        <v>1081143000</v>
      </c>
      <c r="H19" s="156">
        <v>443697092</v>
      </c>
      <c r="I19" s="156">
        <v>2411937033</v>
      </c>
      <c r="J19" s="156">
        <v>892301788</v>
      </c>
      <c r="K19" s="156">
        <v>718354285</v>
      </c>
      <c r="L19" s="164"/>
      <c r="M19" s="145"/>
    </row>
    <row r="20" spans="1:14" x14ac:dyDescent="0.3">
      <c r="A20" s="160" t="s">
        <v>77</v>
      </c>
      <c r="B20" s="166" t="s">
        <v>76</v>
      </c>
      <c r="C20" s="165">
        <f t="shared" ref="C20:K20" si="1">+C18/C19</f>
        <v>0.52856357350144056</v>
      </c>
      <c r="D20" s="165">
        <f t="shared" si="1"/>
        <v>0.60213279811818321</v>
      </c>
      <c r="E20" s="165">
        <f t="shared" si="1"/>
        <v>0.45309005554350035</v>
      </c>
      <c r="F20" s="165">
        <f t="shared" si="1"/>
        <v>0.41072922806519158</v>
      </c>
      <c r="G20" s="165">
        <f t="shared" si="1"/>
        <v>0.40200129030109799</v>
      </c>
      <c r="H20" s="165">
        <f t="shared" si="1"/>
        <v>0.44491210007750059</v>
      </c>
      <c r="I20" s="165">
        <f t="shared" si="1"/>
        <v>0.64341882676337681</v>
      </c>
      <c r="J20" s="165">
        <f t="shared" si="1"/>
        <v>0.46552257496989347</v>
      </c>
      <c r="K20" s="165">
        <f t="shared" si="1"/>
        <v>0.4079303682304895</v>
      </c>
      <c r="L20" s="164"/>
      <c r="M20" s="145"/>
    </row>
    <row r="21" spans="1:14" x14ac:dyDescent="0.3">
      <c r="A21" s="163"/>
      <c r="B21" s="163"/>
      <c r="C21" s="161"/>
      <c r="D21" s="161"/>
      <c r="E21" s="161"/>
      <c r="F21" s="161"/>
      <c r="G21" s="161"/>
      <c r="H21" s="161"/>
      <c r="I21" s="161"/>
      <c r="J21" s="161"/>
      <c r="K21" s="161"/>
      <c r="L21" s="164"/>
      <c r="M21" s="145"/>
    </row>
    <row r="22" spans="1:14" x14ac:dyDescent="0.3">
      <c r="A22" s="163"/>
      <c r="B22" s="162" t="s">
        <v>75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4"/>
      <c r="M22" s="145"/>
    </row>
    <row r="23" spans="1:14" x14ac:dyDescent="0.3">
      <c r="A23" s="160" t="s">
        <v>74</v>
      </c>
      <c r="B23" s="159" t="s">
        <v>73</v>
      </c>
      <c r="C23" s="156">
        <f t="shared" ref="C23:K23" si="2">ROUND(+C10*C15,0)</f>
        <v>2260793</v>
      </c>
      <c r="D23" s="156">
        <f t="shared" si="2"/>
        <v>361971</v>
      </c>
      <c r="E23" s="156">
        <f t="shared" si="2"/>
        <v>958301</v>
      </c>
      <c r="F23" s="156">
        <f t="shared" si="2"/>
        <v>3200258</v>
      </c>
      <c r="G23" s="156">
        <f t="shared" si="2"/>
        <v>66380</v>
      </c>
      <c r="H23" s="156">
        <f t="shared" si="2"/>
        <v>417923</v>
      </c>
      <c r="I23" s="156">
        <f t="shared" si="2"/>
        <v>5154964</v>
      </c>
      <c r="J23" s="156">
        <f t="shared" si="2"/>
        <v>1057339</v>
      </c>
      <c r="K23" s="156">
        <f t="shared" si="2"/>
        <v>24564</v>
      </c>
      <c r="L23" s="164"/>
      <c r="M23" s="145"/>
    </row>
    <row r="24" spans="1:14" x14ac:dyDescent="0.3">
      <c r="A24" s="158" t="s">
        <v>72</v>
      </c>
      <c r="B24" s="157" t="s">
        <v>153</v>
      </c>
      <c r="C24" s="156">
        <f t="shared" ref="C24:K24" si="3">ROUND(C20*C23,0)</f>
        <v>1194973</v>
      </c>
      <c r="D24" s="156">
        <f t="shared" si="3"/>
        <v>217955</v>
      </c>
      <c r="E24" s="156">
        <f t="shared" si="3"/>
        <v>434197</v>
      </c>
      <c r="F24" s="156">
        <f t="shared" si="3"/>
        <v>1314439</v>
      </c>
      <c r="G24" s="156">
        <f t="shared" si="3"/>
        <v>26685</v>
      </c>
      <c r="H24" s="156">
        <f t="shared" si="3"/>
        <v>185939</v>
      </c>
      <c r="I24" s="156">
        <f t="shared" si="3"/>
        <v>3316801</v>
      </c>
      <c r="J24" s="156">
        <f t="shared" si="3"/>
        <v>492215</v>
      </c>
      <c r="K24" s="156">
        <f t="shared" si="3"/>
        <v>10020</v>
      </c>
      <c r="L24" s="164"/>
      <c r="M24" s="145"/>
    </row>
    <row r="25" spans="1:14" x14ac:dyDescent="0.3">
      <c r="A25" s="155"/>
      <c r="B25" s="155"/>
      <c r="C25" s="146"/>
      <c r="D25" s="146"/>
      <c r="E25" s="146"/>
      <c r="F25" s="146"/>
      <c r="G25" s="146"/>
      <c r="H25" s="146"/>
      <c r="I25" s="146"/>
      <c r="J25" s="146"/>
      <c r="K25" s="146"/>
      <c r="L25" s="164"/>
      <c r="M25" s="145"/>
    </row>
    <row r="26" spans="1:14" s="148" customFormat="1" x14ac:dyDescent="0.3">
      <c r="A26" s="154"/>
      <c r="B26" s="185" t="s">
        <v>152</v>
      </c>
      <c r="C26" s="189">
        <f t="shared" ref="C26:K26" si="4">+C24/4</f>
        <v>298743.25</v>
      </c>
      <c r="D26" s="189">
        <f t="shared" si="4"/>
        <v>54488.75</v>
      </c>
      <c r="E26" s="189">
        <f t="shared" si="4"/>
        <v>108549.25</v>
      </c>
      <c r="F26" s="189">
        <f t="shared" si="4"/>
        <v>328609.75</v>
      </c>
      <c r="G26" s="189">
        <f t="shared" si="4"/>
        <v>6671.25</v>
      </c>
      <c r="H26" s="189">
        <f t="shared" si="4"/>
        <v>46484.75</v>
      </c>
      <c r="I26" s="189">
        <f t="shared" si="4"/>
        <v>829200.25</v>
      </c>
      <c r="J26" s="189">
        <f t="shared" si="4"/>
        <v>123053.75</v>
      </c>
      <c r="K26" s="189">
        <f t="shared" si="4"/>
        <v>2505</v>
      </c>
      <c r="L26" s="182"/>
      <c r="M26" s="150"/>
    </row>
    <row r="27" spans="1:14" s="186" customFormat="1" ht="15" thickBot="1" x14ac:dyDescent="0.35">
      <c r="C27" s="188"/>
      <c r="D27" s="188"/>
      <c r="E27" s="188"/>
      <c r="F27" s="188"/>
      <c r="G27" s="188"/>
      <c r="H27" s="188"/>
      <c r="I27" s="188"/>
      <c r="J27" s="188"/>
      <c r="K27" s="187"/>
      <c r="L27" s="187"/>
      <c r="M27" s="187"/>
    </row>
    <row r="28" spans="1:14" x14ac:dyDescent="0.3">
      <c r="C28" s="146"/>
      <c r="D28" s="146"/>
      <c r="E28" s="146"/>
      <c r="F28" s="146"/>
      <c r="G28" s="146"/>
      <c r="H28" s="146"/>
      <c r="I28" s="146"/>
      <c r="J28" s="146"/>
      <c r="K28" s="145"/>
      <c r="L28" s="164"/>
      <c r="M28" s="145"/>
    </row>
    <row r="29" spans="1:14" s="148" customFormat="1" x14ac:dyDescent="0.3">
      <c r="A29" s="154"/>
      <c r="B29" s="185" t="s">
        <v>106</v>
      </c>
      <c r="C29" s="184" t="s">
        <v>110</v>
      </c>
      <c r="D29" s="183" t="s">
        <v>109</v>
      </c>
      <c r="E29" s="183" t="s">
        <v>107</v>
      </c>
      <c r="F29" s="183" t="s">
        <v>105</v>
      </c>
      <c r="G29" s="183" t="s">
        <v>104</v>
      </c>
      <c r="H29" s="183" t="s">
        <v>103</v>
      </c>
      <c r="I29" s="183" t="s">
        <v>102</v>
      </c>
      <c r="J29" s="183" t="s">
        <v>101</v>
      </c>
      <c r="K29" s="150"/>
      <c r="L29" s="182"/>
      <c r="M29" s="150"/>
    </row>
    <row r="30" spans="1:14" x14ac:dyDescent="0.3">
      <c r="A30" s="155"/>
      <c r="B30" s="155"/>
      <c r="C30" s="146"/>
      <c r="D30" s="146"/>
      <c r="E30" s="146"/>
      <c r="F30" s="146"/>
      <c r="G30" s="146"/>
      <c r="H30" s="146"/>
      <c r="I30" s="146"/>
      <c r="J30" s="146"/>
      <c r="K30" s="145"/>
      <c r="L30" s="164"/>
      <c r="M30" s="145"/>
    </row>
    <row r="31" spans="1:14" x14ac:dyDescent="0.3">
      <c r="A31" s="181"/>
      <c r="B31" s="162" t="s">
        <v>100</v>
      </c>
      <c r="C31" s="180"/>
      <c r="D31" s="146"/>
      <c r="E31" s="146"/>
      <c r="F31" s="146"/>
      <c r="G31" s="146"/>
      <c r="H31" s="146"/>
      <c r="I31" s="146"/>
      <c r="J31" s="146"/>
      <c r="K31" s="145"/>
      <c r="L31" s="164"/>
      <c r="M31" s="145"/>
    </row>
    <row r="32" spans="1:14" x14ac:dyDescent="0.3">
      <c r="A32" s="160" t="s">
        <v>99</v>
      </c>
      <c r="B32" s="177" t="s">
        <v>98</v>
      </c>
      <c r="C32" s="179">
        <v>17.55</v>
      </c>
      <c r="D32" s="179">
        <v>35.25</v>
      </c>
      <c r="E32" s="179">
        <v>83.6</v>
      </c>
      <c r="F32" s="179">
        <v>31.95</v>
      </c>
      <c r="G32" s="179">
        <v>29.31</v>
      </c>
      <c r="H32" s="179">
        <v>32.26</v>
      </c>
      <c r="I32" s="179">
        <v>34.130000000000003</v>
      </c>
      <c r="J32" s="179">
        <v>203.04</v>
      </c>
      <c r="K32" s="145"/>
      <c r="L32" s="164"/>
      <c r="M32" s="145"/>
    </row>
    <row r="33" spans="1:13" x14ac:dyDescent="0.3">
      <c r="A33" s="160" t="s">
        <v>97</v>
      </c>
      <c r="B33" s="177" t="s">
        <v>96</v>
      </c>
      <c r="C33" s="179">
        <v>0</v>
      </c>
      <c r="D33" s="179">
        <v>11.66</v>
      </c>
      <c r="E33" s="179">
        <v>53.86</v>
      </c>
      <c r="F33" s="179">
        <v>15.21</v>
      </c>
      <c r="G33" s="179">
        <v>23.65</v>
      </c>
      <c r="H33" s="179">
        <v>11.23</v>
      </c>
      <c r="I33" s="179">
        <v>11.1</v>
      </c>
      <c r="J33" s="179">
        <v>372.98</v>
      </c>
      <c r="K33" s="145"/>
      <c r="L33" s="164"/>
      <c r="M33" s="145"/>
    </row>
    <row r="34" spans="1:13" x14ac:dyDescent="0.3">
      <c r="A34" s="160" t="s">
        <v>95</v>
      </c>
      <c r="B34" s="177" t="s">
        <v>94</v>
      </c>
      <c r="C34" s="178">
        <v>173244.1</v>
      </c>
      <c r="D34" s="178">
        <v>151334.81</v>
      </c>
      <c r="E34" s="178">
        <v>101319.43</v>
      </c>
      <c r="F34" s="178">
        <v>94275.8</v>
      </c>
      <c r="G34" s="178">
        <v>103474</v>
      </c>
      <c r="H34" s="178">
        <v>93802</v>
      </c>
      <c r="I34" s="178">
        <v>100699.32</v>
      </c>
      <c r="J34" s="178">
        <v>94663.77</v>
      </c>
      <c r="K34" s="145"/>
      <c r="L34" s="164"/>
      <c r="M34" s="145"/>
    </row>
    <row r="35" spans="1:13" x14ac:dyDescent="0.3">
      <c r="A35" s="160" t="s">
        <v>93</v>
      </c>
      <c r="B35" s="177" t="s">
        <v>92</v>
      </c>
      <c r="C35" s="178">
        <v>0</v>
      </c>
      <c r="D35" s="178">
        <v>143469.82</v>
      </c>
      <c r="E35" s="178">
        <v>96053.81</v>
      </c>
      <c r="F35" s="178">
        <v>93398.93</v>
      </c>
      <c r="G35" s="178">
        <v>98096</v>
      </c>
      <c r="H35" s="178">
        <v>93802</v>
      </c>
      <c r="I35" s="178">
        <v>96465.9</v>
      </c>
      <c r="J35" s="178">
        <v>92799.72</v>
      </c>
      <c r="K35" s="145"/>
      <c r="L35" s="164"/>
      <c r="M35" s="145"/>
    </row>
    <row r="36" spans="1:13" x14ac:dyDescent="0.3">
      <c r="A36" s="160" t="s">
        <v>91</v>
      </c>
      <c r="B36" s="177" t="s">
        <v>90</v>
      </c>
      <c r="C36" s="156">
        <v>3206821.7506499994</v>
      </c>
      <c r="D36" s="156">
        <v>7390890.6189881694</v>
      </c>
      <c r="E36" s="156">
        <v>14390417.093356181</v>
      </c>
      <c r="F36" s="156">
        <v>4675289.7650170419</v>
      </c>
      <c r="G36" s="156">
        <v>5645725.0188149996</v>
      </c>
      <c r="H36" s="156">
        <v>4302697.3316984996</v>
      </c>
      <c r="I36" s="156">
        <v>4754320.0610902496</v>
      </c>
      <c r="J36" s="156">
        <v>56778980.934527449</v>
      </c>
      <c r="K36" s="145"/>
      <c r="L36" s="164"/>
      <c r="M36" s="145"/>
    </row>
    <row r="37" spans="1:13" x14ac:dyDescent="0.3">
      <c r="A37" s="163"/>
      <c r="B37" s="163"/>
      <c r="C37" s="146"/>
      <c r="D37" s="146"/>
      <c r="E37" s="146"/>
      <c r="F37" s="146"/>
      <c r="G37" s="146"/>
      <c r="H37" s="146"/>
      <c r="I37" s="146"/>
      <c r="J37" s="146"/>
      <c r="K37" s="145"/>
      <c r="L37" s="164"/>
      <c r="M37" s="145"/>
    </row>
    <row r="38" spans="1:13" x14ac:dyDescent="0.3">
      <c r="A38" s="176"/>
      <c r="B38" s="162" t="s">
        <v>89</v>
      </c>
      <c r="C38" s="147"/>
      <c r="D38" s="146"/>
      <c r="E38" s="146"/>
      <c r="F38" s="146"/>
      <c r="G38" s="146"/>
      <c r="H38" s="146"/>
      <c r="I38" s="146"/>
      <c r="J38" s="146"/>
      <c r="K38" s="145"/>
      <c r="L38" s="172"/>
      <c r="M38" s="145"/>
    </row>
    <row r="39" spans="1:13" x14ac:dyDescent="0.3">
      <c r="A39" s="160" t="s">
        <v>88</v>
      </c>
      <c r="B39" s="174" t="s">
        <v>154</v>
      </c>
      <c r="C39" s="175">
        <f>9593+57-1099-5</f>
        <v>8546</v>
      </c>
      <c r="D39" s="175">
        <f>11371+33-1217</f>
        <v>10187</v>
      </c>
      <c r="E39" s="175">
        <f>37221+3224-6077</f>
        <v>34368</v>
      </c>
      <c r="F39" s="175">
        <f>13571+49-1773</f>
        <v>11847</v>
      </c>
      <c r="G39" s="175">
        <f>25155+3275-2014</f>
        <v>26416</v>
      </c>
      <c r="H39" s="175">
        <f>16645+47-2523</f>
        <v>14169</v>
      </c>
      <c r="I39" s="175">
        <f>13569+1043-2210</f>
        <v>12402</v>
      </c>
      <c r="J39" s="175">
        <f>107732+8799-5334</f>
        <v>111197</v>
      </c>
      <c r="K39" s="145"/>
      <c r="L39" s="169"/>
      <c r="M39" s="145"/>
    </row>
    <row r="40" spans="1:13" x14ac:dyDescent="0.3">
      <c r="A40" s="160" t="s">
        <v>86</v>
      </c>
      <c r="B40" s="174" t="s">
        <v>85</v>
      </c>
      <c r="C40" s="175">
        <f>43748+7081+5787</f>
        <v>56616</v>
      </c>
      <c r="D40" s="175">
        <f>36434+12009+1761+3204+2295</f>
        <v>55703</v>
      </c>
      <c r="E40" s="175">
        <f>121040+11230+5610+14999</f>
        <v>152879</v>
      </c>
      <c r="F40" s="175">
        <f>40932+3755+1303+3921</f>
        <v>49911</v>
      </c>
      <c r="G40" s="175">
        <f>77616+6756+30719+2745</f>
        <v>117836</v>
      </c>
      <c r="H40" s="175">
        <f>49732+6719+4518+3927</f>
        <v>64896</v>
      </c>
      <c r="I40" s="175">
        <f>36448+5585+9361</f>
        <v>51394</v>
      </c>
      <c r="J40" s="175">
        <f>327743+12309+11602+9783+4031+16898+4638+8466+36782+3325</f>
        <v>435577</v>
      </c>
      <c r="K40" s="145"/>
      <c r="L40" s="169"/>
      <c r="M40" s="145"/>
    </row>
    <row r="41" spans="1:13" x14ac:dyDescent="0.3">
      <c r="A41" s="160" t="s">
        <v>84</v>
      </c>
      <c r="B41" s="174" t="s">
        <v>83</v>
      </c>
      <c r="C41" s="173">
        <f t="shared" ref="C41:J41" si="5">+C39/C40</f>
        <v>0.15094672883990393</v>
      </c>
      <c r="D41" s="173">
        <f t="shared" si="5"/>
        <v>0.18288063479525341</v>
      </c>
      <c r="E41" s="173">
        <f t="shared" si="5"/>
        <v>0.22480523812950109</v>
      </c>
      <c r="F41" s="173">
        <f t="shared" si="5"/>
        <v>0.23736250525936167</v>
      </c>
      <c r="G41" s="173">
        <f t="shared" si="5"/>
        <v>0.22417597338674089</v>
      </c>
      <c r="H41" s="173">
        <f t="shared" si="5"/>
        <v>0.21833394970414202</v>
      </c>
      <c r="I41" s="173">
        <f t="shared" si="5"/>
        <v>0.2413122154337082</v>
      </c>
      <c r="J41" s="173">
        <f t="shared" si="5"/>
        <v>0.25528666573303915</v>
      </c>
      <c r="K41" s="145"/>
      <c r="L41" s="172"/>
      <c r="M41" s="145"/>
    </row>
    <row r="42" spans="1:13" x14ac:dyDescent="0.3">
      <c r="A42" s="160"/>
      <c r="B42" s="171"/>
      <c r="C42" s="146"/>
      <c r="D42" s="146"/>
      <c r="E42" s="146"/>
      <c r="F42" s="146"/>
      <c r="G42" s="146"/>
      <c r="H42" s="146"/>
      <c r="I42" s="146"/>
      <c r="J42" s="146"/>
      <c r="K42" s="145"/>
      <c r="L42" s="167"/>
      <c r="M42" s="167"/>
    </row>
    <row r="43" spans="1:13" x14ac:dyDescent="0.3">
      <c r="A43" s="160"/>
      <c r="B43" s="170" t="s">
        <v>82</v>
      </c>
      <c r="C43" s="146"/>
      <c r="D43" s="146"/>
      <c r="E43" s="146"/>
      <c r="F43" s="146"/>
      <c r="G43" s="146"/>
      <c r="H43" s="146"/>
      <c r="I43" s="146"/>
      <c r="J43" s="146"/>
      <c r="K43" s="145"/>
      <c r="L43" s="164"/>
      <c r="M43" s="145"/>
    </row>
    <row r="44" spans="1:13" x14ac:dyDescent="0.3">
      <c r="A44" s="160" t="s">
        <v>81</v>
      </c>
      <c r="B44" s="168" t="s">
        <v>80</v>
      </c>
      <c r="C44" s="156">
        <v>574805000</v>
      </c>
      <c r="D44" s="156">
        <v>450913513</v>
      </c>
      <c r="E44" s="156">
        <v>1102155507</v>
      </c>
      <c r="F44" s="156">
        <v>284542316</v>
      </c>
      <c r="G44" s="156">
        <v>790100839</v>
      </c>
      <c r="H44" s="156">
        <v>608201036</v>
      </c>
      <c r="I44" s="156">
        <v>478761130</v>
      </c>
      <c r="J44" s="156">
        <v>4928493458</v>
      </c>
      <c r="K44" s="145"/>
      <c r="L44" s="169"/>
      <c r="M44" s="145"/>
    </row>
    <row r="45" spans="1:13" x14ac:dyDescent="0.3">
      <c r="A45" s="160" t="s">
        <v>79</v>
      </c>
      <c r="B45" s="168" t="s">
        <v>78</v>
      </c>
      <c r="C45" s="156">
        <v>1216521000</v>
      </c>
      <c r="D45" s="156">
        <v>913394783</v>
      </c>
      <c r="E45" s="156">
        <v>1930957099</v>
      </c>
      <c r="F45" s="156">
        <v>601586237</v>
      </c>
      <c r="G45" s="156">
        <v>1280210826</v>
      </c>
      <c r="H45" s="156">
        <v>1781321000</v>
      </c>
      <c r="I45" s="156">
        <v>857736453</v>
      </c>
      <c r="J45" s="156">
        <v>8570200765</v>
      </c>
      <c r="K45" s="145"/>
      <c r="L45" s="167"/>
      <c r="M45" s="167"/>
    </row>
    <row r="46" spans="1:13" x14ac:dyDescent="0.3">
      <c r="A46" s="160" t="s">
        <v>77</v>
      </c>
      <c r="B46" s="166" t="s">
        <v>76</v>
      </c>
      <c r="C46" s="165">
        <f t="shared" ref="C46:J46" si="6">+C44/C45</f>
        <v>0.47249903618597622</v>
      </c>
      <c r="D46" s="165">
        <f t="shared" si="6"/>
        <v>0.49366771235434131</v>
      </c>
      <c r="E46" s="165">
        <f t="shared" si="6"/>
        <v>0.57078197520327201</v>
      </c>
      <c r="F46" s="165">
        <f t="shared" si="6"/>
        <v>0.47298674487461723</v>
      </c>
      <c r="G46" s="165">
        <f t="shared" si="6"/>
        <v>0.61716462863281552</v>
      </c>
      <c r="H46" s="165">
        <f t="shared" si="6"/>
        <v>0.34143258626603518</v>
      </c>
      <c r="I46" s="165">
        <f t="shared" si="6"/>
        <v>0.55816810434661568</v>
      </c>
      <c r="J46" s="165">
        <f t="shared" si="6"/>
        <v>0.57507327927807306</v>
      </c>
      <c r="K46" s="145"/>
      <c r="L46" s="164"/>
      <c r="M46" s="145"/>
    </row>
    <row r="47" spans="1:13" x14ac:dyDescent="0.3">
      <c r="A47" s="163"/>
      <c r="B47" s="163"/>
      <c r="C47" s="161"/>
      <c r="D47" s="161"/>
      <c r="E47" s="161"/>
      <c r="F47" s="161"/>
      <c r="G47" s="161"/>
      <c r="H47" s="161"/>
      <c r="I47" s="161"/>
      <c r="J47" s="161"/>
      <c r="K47" s="145"/>
      <c r="L47" s="145"/>
      <c r="M47" s="145"/>
    </row>
    <row r="48" spans="1:13" x14ac:dyDescent="0.3">
      <c r="A48" s="163"/>
      <c r="B48" s="162" t="s">
        <v>75</v>
      </c>
      <c r="C48" s="161"/>
      <c r="D48" s="161"/>
      <c r="E48" s="161"/>
      <c r="F48" s="161"/>
      <c r="G48" s="161"/>
      <c r="H48" s="161"/>
      <c r="I48" s="161"/>
      <c r="J48" s="161"/>
      <c r="K48" s="145"/>
      <c r="L48" s="145"/>
      <c r="M48" s="145"/>
    </row>
    <row r="49" spans="1:13" x14ac:dyDescent="0.3">
      <c r="A49" s="160" t="s">
        <v>74</v>
      </c>
      <c r="B49" s="159" t="s">
        <v>73</v>
      </c>
      <c r="C49" s="156">
        <f t="shared" ref="C49:J49" si="7">ROUND(+C36*C41,0)</f>
        <v>484059</v>
      </c>
      <c r="D49" s="156">
        <f t="shared" si="7"/>
        <v>1351651</v>
      </c>
      <c r="E49" s="156">
        <f t="shared" si="7"/>
        <v>3235041</v>
      </c>
      <c r="F49" s="156">
        <f t="shared" si="7"/>
        <v>1109738</v>
      </c>
      <c r="G49" s="156">
        <f t="shared" si="7"/>
        <v>1265636</v>
      </c>
      <c r="H49" s="156">
        <f t="shared" si="7"/>
        <v>939425</v>
      </c>
      <c r="I49" s="156">
        <f t="shared" si="7"/>
        <v>1147276</v>
      </c>
      <c r="J49" s="156">
        <f t="shared" si="7"/>
        <v>14494917</v>
      </c>
      <c r="K49" s="149"/>
      <c r="L49" s="145"/>
      <c r="M49" s="145"/>
    </row>
    <row r="50" spans="1:13" x14ac:dyDescent="0.3">
      <c r="A50" s="158" t="s">
        <v>72</v>
      </c>
      <c r="B50" s="157" t="s">
        <v>153</v>
      </c>
      <c r="C50" s="156">
        <f t="shared" ref="C50:J50" si="8">ROUND(C46*C49,0)</f>
        <v>228717</v>
      </c>
      <c r="D50" s="156">
        <f t="shared" si="8"/>
        <v>667266</v>
      </c>
      <c r="E50" s="156">
        <f t="shared" si="8"/>
        <v>1846503</v>
      </c>
      <c r="F50" s="156">
        <f t="shared" si="8"/>
        <v>524891</v>
      </c>
      <c r="G50" s="156">
        <f t="shared" si="8"/>
        <v>781106</v>
      </c>
      <c r="H50" s="156">
        <f t="shared" si="8"/>
        <v>320750</v>
      </c>
      <c r="I50" s="156">
        <f t="shared" si="8"/>
        <v>640373</v>
      </c>
      <c r="J50" s="156">
        <f t="shared" si="8"/>
        <v>8335639</v>
      </c>
      <c r="K50" s="151"/>
      <c r="L50" s="145"/>
      <c r="M50" s="145"/>
    </row>
    <row r="51" spans="1:13" x14ac:dyDescent="0.3">
      <c r="A51" s="155"/>
      <c r="B51" s="155"/>
      <c r="C51" s="146"/>
      <c r="D51" s="146"/>
      <c r="E51" s="146"/>
      <c r="F51" s="146"/>
      <c r="G51" s="146"/>
      <c r="H51" s="146"/>
      <c r="I51" s="146"/>
      <c r="J51" s="146"/>
      <c r="K51" s="149"/>
      <c r="L51" s="145"/>
      <c r="M51" s="145"/>
    </row>
    <row r="52" spans="1:13" s="148" customFormat="1" x14ac:dyDescent="0.3">
      <c r="A52" s="154"/>
      <c r="B52" s="153" t="s">
        <v>152</v>
      </c>
      <c r="C52" s="152">
        <f t="shared" ref="C52:J52" si="9">+C50/4</f>
        <v>57179.25</v>
      </c>
      <c r="D52" s="152">
        <f t="shared" si="9"/>
        <v>166816.5</v>
      </c>
      <c r="E52" s="152">
        <f t="shared" si="9"/>
        <v>461625.75</v>
      </c>
      <c r="F52" s="152">
        <f t="shared" si="9"/>
        <v>131222.75</v>
      </c>
      <c r="G52" s="152">
        <f t="shared" si="9"/>
        <v>195276.5</v>
      </c>
      <c r="H52" s="152">
        <f t="shared" si="9"/>
        <v>80187.5</v>
      </c>
      <c r="I52" s="152">
        <f t="shared" si="9"/>
        <v>160093.25</v>
      </c>
      <c r="J52" s="152">
        <f t="shared" si="9"/>
        <v>2083909.75</v>
      </c>
      <c r="K52" s="151"/>
      <c r="L52" s="150"/>
      <c r="M52" s="150"/>
    </row>
    <row r="53" spans="1:13" x14ac:dyDescent="0.3">
      <c r="C53" s="146"/>
      <c r="D53" s="146"/>
      <c r="E53" s="146"/>
      <c r="F53" s="146"/>
      <c r="G53" s="146"/>
      <c r="H53" s="146"/>
      <c r="I53" s="146"/>
      <c r="J53" s="146"/>
      <c r="K53" s="149"/>
      <c r="L53" s="145"/>
      <c r="M53" s="145"/>
    </row>
    <row r="54" spans="1:13" x14ac:dyDescent="0.3">
      <c r="A54" s="148" t="s">
        <v>70</v>
      </c>
      <c r="C54" s="146"/>
      <c r="D54" s="146"/>
      <c r="E54" s="146"/>
      <c r="F54" s="146"/>
      <c r="G54" s="146"/>
      <c r="H54" s="147"/>
      <c r="I54" s="146"/>
      <c r="J54" s="146"/>
      <c r="K54" s="145"/>
      <c r="L54" s="145"/>
      <c r="M54" s="145"/>
    </row>
    <row r="55" spans="1:13" x14ac:dyDescent="0.3">
      <c r="C55" s="146"/>
      <c r="D55" s="146"/>
      <c r="E55" s="146"/>
      <c r="F55" s="146"/>
      <c r="G55" s="146"/>
      <c r="H55" s="146"/>
      <c r="I55" s="146"/>
      <c r="J55" s="146"/>
      <c r="K55" s="145"/>
      <c r="L55" s="145"/>
      <c r="M55" s="145"/>
    </row>
    <row r="56" spans="1:13" x14ac:dyDescent="0.3">
      <c r="C56" s="146"/>
      <c r="D56" s="146"/>
      <c r="E56" s="146"/>
      <c r="F56" s="146"/>
      <c r="G56" s="146"/>
      <c r="H56" s="146"/>
      <c r="I56" s="146"/>
      <c r="J56" s="146"/>
      <c r="K56" s="145"/>
      <c r="L56" s="145"/>
      <c r="M56" s="145"/>
    </row>
    <row r="57" spans="1:13" x14ac:dyDescent="0.3">
      <c r="C57" s="146"/>
      <c r="D57" s="146"/>
      <c r="E57" s="146"/>
      <c r="F57" s="146"/>
      <c r="G57" s="146"/>
      <c r="H57" s="146"/>
      <c r="I57" s="146"/>
      <c r="J57" s="146"/>
      <c r="K57" s="145"/>
      <c r="L57" s="145"/>
      <c r="M57" s="145"/>
    </row>
    <row r="58" spans="1:13" x14ac:dyDescent="0.3">
      <c r="C58" s="144"/>
    </row>
    <row r="59" spans="1:13" x14ac:dyDescent="0.3">
      <c r="C59" s="143"/>
    </row>
    <row r="68" spans="3:4" x14ac:dyDescent="0.3">
      <c r="C68" s="142">
        <v>74419</v>
      </c>
      <c r="D68" s="142">
        <v>85329</v>
      </c>
    </row>
    <row r="69" spans="3:4" x14ac:dyDescent="0.3">
      <c r="C69" s="142">
        <v>6153</v>
      </c>
      <c r="D69" s="142">
        <v>-4757</v>
      </c>
    </row>
    <row r="70" spans="3:4" x14ac:dyDescent="0.3">
      <c r="C70" s="142">
        <v>5468</v>
      </c>
      <c r="D70" s="142">
        <v>5468</v>
      </c>
    </row>
    <row r="71" spans="3:4" x14ac:dyDescent="0.3">
      <c r="C71" s="142">
        <v>5335</v>
      </c>
      <c r="D71" s="142">
        <v>5335</v>
      </c>
    </row>
    <row r="72" spans="3:4" x14ac:dyDescent="0.3">
      <c r="C72" s="142">
        <f>SUM(C68:C71)</f>
        <v>91375</v>
      </c>
      <c r="D72" s="142">
        <f>SUM(D68:D71)</f>
        <v>91375</v>
      </c>
    </row>
    <row r="73" spans="3:4" x14ac:dyDescent="0.3">
      <c r="C73" s="142">
        <v>4757</v>
      </c>
    </row>
    <row r="74" spans="3:4" x14ac:dyDescent="0.3">
      <c r="C74" s="142">
        <f>C72+C73</f>
        <v>96132</v>
      </c>
    </row>
  </sheetData>
  <printOptions horizontalCentered="1"/>
  <pageMargins left="0.2" right="0.2" top="0.5" bottom="0.5" header="0.3" footer="0.3"/>
  <pageSetup scale="60" orientation="landscape" r:id="rId1"/>
  <headerFooter>
    <oddFooter>&amp;L&amp;9&amp;Z&amp;F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22" zoomScale="90" zoomScaleNormal="90" workbookViewId="0">
      <selection activeCell="E6" sqref="E6"/>
    </sheetView>
  </sheetViews>
  <sheetFormatPr defaultColWidth="9.109375" defaultRowHeight="14.4" x14ac:dyDescent="0.3"/>
  <cols>
    <col min="1" max="1" width="7" style="141" bestFit="1" customWidth="1"/>
    <col min="2" max="2" width="66.5546875" style="141" bestFit="1" customWidth="1"/>
    <col min="3" max="3" width="17.44140625" style="142" bestFit="1" customWidth="1"/>
    <col min="4" max="4" width="15.6640625" style="142" bestFit="1" customWidth="1"/>
    <col min="5" max="5" width="17.44140625" style="142" bestFit="1" customWidth="1"/>
    <col min="6" max="6" width="15.6640625" style="142" bestFit="1" customWidth="1"/>
    <col min="7" max="9" width="17.44140625" style="142" bestFit="1" customWidth="1"/>
    <col min="10" max="10" width="18.33203125" style="142" bestFit="1" customWidth="1"/>
    <col min="11" max="12" width="16.109375" style="141" bestFit="1" customWidth="1"/>
    <col min="13" max="13" width="16.33203125" style="141" bestFit="1" customWidth="1"/>
    <col min="14" max="14" width="13.33203125" style="141" bestFit="1" customWidth="1"/>
    <col min="15" max="15" width="16.44140625" style="141" customWidth="1"/>
    <col min="16" max="16384" width="9.109375" style="141"/>
  </cols>
  <sheetData>
    <row r="1" spans="1:15" ht="17.399999999999999" x14ac:dyDescent="0.3">
      <c r="A1" s="205" t="s">
        <v>157</v>
      </c>
      <c r="B1" s="171"/>
      <c r="K1" s="142"/>
    </row>
    <row r="2" spans="1:15" x14ac:dyDescent="0.3">
      <c r="B2" s="150"/>
      <c r="D2" s="204"/>
      <c r="K2" s="142"/>
    </row>
    <row r="3" spans="1:15" s="148" customFormat="1" ht="27.6" x14ac:dyDescent="0.3">
      <c r="A3" s="154"/>
      <c r="B3" s="185" t="s">
        <v>106</v>
      </c>
      <c r="C3" s="183" t="s">
        <v>120</v>
      </c>
      <c r="D3" s="183" t="s">
        <v>119</v>
      </c>
      <c r="E3" s="183" t="s">
        <v>118</v>
      </c>
      <c r="F3" s="183" t="s">
        <v>117</v>
      </c>
      <c r="G3" s="183" t="s">
        <v>116</v>
      </c>
      <c r="H3" s="183" t="s">
        <v>115</v>
      </c>
      <c r="I3" s="183" t="s">
        <v>114</v>
      </c>
      <c r="J3" s="184" t="s">
        <v>113</v>
      </c>
      <c r="K3" s="184" t="s">
        <v>112</v>
      </c>
    </row>
    <row r="4" spans="1:15" x14ac:dyDescent="0.3">
      <c r="A4" s="155"/>
      <c r="B4" s="155"/>
      <c r="K4" s="142"/>
    </row>
    <row r="5" spans="1:15" x14ac:dyDescent="0.3">
      <c r="A5" s="181"/>
      <c r="B5" s="162" t="s">
        <v>100</v>
      </c>
      <c r="C5" s="203"/>
      <c r="E5" s="203"/>
      <c r="F5" s="203"/>
      <c r="G5" s="203"/>
      <c r="H5" s="203"/>
      <c r="I5" s="203"/>
      <c r="J5" s="203"/>
      <c r="K5" s="203"/>
      <c r="L5" s="202"/>
      <c r="M5" s="201"/>
    </row>
    <row r="6" spans="1:15" x14ac:dyDescent="0.3">
      <c r="A6" s="160" t="s">
        <v>99</v>
      </c>
      <c r="B6" s="177" t="s">
        <v>98</v>
      </c>
      <c r="C6" s="179">
        <v>49.48</v>
      </c>
      <c r="D6" s="179">
        <v>9.31</v>
      </c>
      <c r="E6" s="179">
        <v>42.44</v>
      </c>
      <c r="F6" s="179">
        <v>33.1</v>
      </c>
      <c r="G6" s="179">
        <v>21.84</v>
      </c>
      <c r="H6" s="179">
        <v>27.62</v>
      </c>
      <c r="I6" s="179">
        <v>61.23</v>
      </c>
      <c r="J6" s="179">
        <v>35.200000000000003</v>
      </c>
      <c r="K6" s="179">
        <v>0</v>
      </c>
      <c r="L6" s="169"/>
      <c r="M6" s="200"/>
    </row>
    <row r="7" spans="1:15" x14ac:dyDescent="0.3">
      <c r="A7" s="160" t="s">
        <v>97</v>
      </c>
      <c r="B7" s="177" t="s">
        <v>96</v>
      </c>
      <c r="C7" s="179">
        <v>42.47</v>
      </c>
      <c r="D7" s="179">
        <v>5.27</v>
      </c>
      <c r="E7" s="179">
        <v>24.11</v>
      </c>
      <c r="F7" s="179">
        <v>90.73</v>
      </c>
      <c r="G7" s="179">
        <v>0.05</v>
      </c>
      <c r="H7" s="179">
        <v>0</v>
      </c>
      <c r="I7" s="179">
        <v>153.68</v>
      </c>
      <c r="J7" s="179">
        <v>5.84</v>
      </c>
      <c r="K7" s="179">
        <v>0.86</v>
      </c>
      <c r="L7" s="169"/>
      <c r="M7" s="200"/>
    </row>
    <row r="8" spans="1:15" x14ac:dyDescent="0.3">
      <c r="A8" s="160" t="s">
        <v>95</v>
      </c>
      <c r="B8" s="177" t="s">
        <v>94</v>
      </c>
      <c r="C8" s="178">
        <v>96550.58</v>
      </c>
      <c r="D8" s="178">
        <v>85862.8</v>
      </c>
      <c r="E8" s="178">
        <v>96878.71</v>
      </c>
      <c r="F8" s="178">
        <v>93831.07</v>
      </c>
      <c r="G8" s="178">
        <v>115838.88</v>
      </c>
      <c r="H8" s="178">
        <v>92626.37</v>
      </c>
      <c r="I8" s="178">
        <v>113469.43</v>
      </c>
      <c r="J8" s="178">
        <v>108417</v>
      </c>
      <c r="K8" s="178">
        <v>0</v>
      </c>
      <c r="L8" s="169"/>
      <c r="M8" s="199"/>
    </row>
    <row r="9" spans="1:15" x14ac:dyDescent="0.3">
      <c r="A9" s="160" t="s">
        <v>93</v>
      </c>
      <c r="B9" s="177" t="s">
        <v>92</v>
      </c>
      <c r="C9" s="178">
        <v>93385.91</v>
      </c>
      <c r="D9" s="178">
        <v>27.48</v>
      </c>
      <c r="E9" s="178">
        <v>92626.37</v>
      </c>
      <c r="F9" s="178">
        <v>93831.07</v>
      </c>
      <c r="G9" s="178">
        <v>109818.65</v>
      </c>
      <c r="H9" s="178">
        <v>0</v>
      </c>
      <c r="I9" s="178">
        <v>107572.33</v>
      </c>
      <c r="J9" s="178">
        <v>102782</v>
      </c>
      <c r="K9" s="178">
        <v>154498.06</v>
      </c>
      <c r="L9" s="169"/>
      <c r="M9" s="145"/>
    </row>
    <row r="10" spans="1:15" x14ac:dyDescent="0.3">
      <c r="A10" s="160" t="s">
        <v>91</v>
      </c>
      <c r="B10" s="177" t="s">
        <v>90</v>
      </c>
      <c r="C10" s="156">
        <v>9221906.3993591312</v>
      </c>
      <c r="D10" s="156">
        <v>843281.97952760989</v>
      </c>
      <c r="E10" s="156">
        <v>6691970.4313488062</v>
      </c>
      <c r="F10" s="156">
        <v>12254956.282290697</v>
      </c>
      <c r="G10" s="156">
        <v>2674162.3505060622</v>
      </c>
      <c r="H10" s="156">
        <v>2698345.1564999996</v>
      </c>
      <c r="I10" s="156">
        <v>24764361.503106534</v>
      </c>
      <c r="J10" s="156">
        <v>4658219.204057999</v>
      </c>
      <c r="K10" s="156">
        <v>140139.55104680997</v>
      </c>
      <c r="L10" s="198"/>
      <c r="M10" s="145"/>
      <c r="O10" s="197"/>
    </row>
    <row r="11" spans="1:15" x14ac:dyDescent="0.3">
      <c r="A11" s="163"/>
      <c r="B11" s="163"/>
      <c r="C11" s="146"/>
      <c r="D11" s="146"/>
      <c r="E11" s="146"/>
      <c r="F11" s="146"/>
      <c r="G11" s="146"/>
      <c r="H11" s="146"/>
      <c r="I11" s="146"/>
      <c r="J11" s="146"/>
      <c r="K11" s="146"/>
      <c r="L11" s="164"/>
      <c r="M11" s="145"/>
    </row>
    <row r="12" spans="1:15" x14ac:dyDescent="0.3">
      <c r="A12" s="176"/>
      <c r="B12" s="162" t="s">
        <v>89</v>
      </c>
      <c r="C12" s="146"/>
      <c r="D12" s="146"/>
      <c r="E12" s="146"/>
      <c r="F12" s="146"/>
      <c r="G12" s="147"/>
      <c r="H12" s="194"/>
      <c r="I12" s="146"/>
      <c r="J12" s="146"/>
      <c r="K12" s="146"/>
      <c r="L12" s="172"/>
      <c r="M12" s="145"/>
    </row>
    <row r="13" spans="1:15" x14ac:dyDescent="0.3">
      <c r="A13" s="160" t="s">
        <v>88</v>
      </c>
      <c r="B13" s="174" t="s">
        <v>156</v>
      </c>
      <c r="C13" s="175">
        <f>Days_15GME!D4</f>
        <v>22254</v>
      </c>
      <c r="D13" s="175">
        <f>Days_15GME!D5</f>
        <v>19737</v>
      </c>
      <c r="E13" s="175">
        <f>Days_15GME!D6</f>
        <v>12333</v>
      </c>
      <c r="F13" s="175">
        <f>Days_15GME!D17</f>
        <v>10323</v>
      </c>
      <c r="G13" s="175">
        <f>Days_15GME!D7</f>
        <v>1116</v>
      </c>
      <c r="H13" s="175">
        <f>Days_15GME!D8</f>
        <v>4478</v>
      </c>
      <c r="I13" s="175">
        <f>Days_15GME!D9</f>
        <v>41378</v>
      </c>
      <c r="J13" s="175">
        <f>Days_15GME!D18</f>
        <v>16231</v>
      </c>
      <c r="K13" s="175">
        <f>Days_15GME!D10</f>
        <v>11037</v>
      </c>
      <c r="L13" s="169"/>
      <c r="M13" s="145"/>
    </row>
    <row r="14" spans="1:15" x14ac:dyDescent="0.3">
      <c r="A14" s="160" t="s">
        <v>86</v>
      </c>
      <c r="B14" s="174" t="s">
        <v>85</v>
      </c>
      <c r="C14" s="175">
        <f>74419+6153+5468+5335</f>
        <v>91375</v>
      </c>
      <c r="D14" s="175">
        <v>46107</v>
      </c>
      <c r="E14" s="175">
        <f>64292+11809+6128+4020</f>
        <v>86249</v>
      </c>
      <c r="F14" s="175">
        <f>30443+3712+5410</f>
        <v>39565</v>
      </c>
      <c r="G14" s="175">
        <f>40270+4729</f>
        <v>44999</v>
      </c>
      <c r="H14" s="175">
        <f>22355+2822+3884</f>
        <v>29061</v>
      </c>
      <c r="I14" s="175">
        <f>171309+24010+30670</f>
        <v>225989</v>
      </c>
      <c r="J14" s="175">
        <f>57140+7353+7151</f>
        <v>71644</v>
      </c>
      <c r="K14" s="175">
        <f>45663+2665+2217+2626+5486+4636</f>
        <v>63293</v>
      </c>
      <c r="L14" s="169"/>
      <c r="M14" s="145"/>
    </row>
    <row r="15" spans="1:15" x14ac:dyDescent="0.3">
      <c r="A15" s="160" t="s">
        <v>84</v>
      </c>
      <c r="B15" s="174" t="s">
        <v>83</v>
      </c>
      <c r="C15" s="173">
        <f t="shared" ref="C15:K15" si="0">+C13/C14</f>
        <v>0.24354582763337893</v>
      </c>
      <c r="D15" s="173">
        <f t="shared" si="0"/>
        <v>0.4280694905328909</v>
      </c>
      <c r="E15" s="173">
        <f t="shared" si="0"/>
        <v>0.14299296223724334</v>
      </c>
      <c r="F15" s="173">
        <f t="shared" si="0"/>
        <v>0.26091242259572855</v>
      </c>
      <c r="G15" s="173">
        <f t="shared" si="0"/>
        <v>2.4800551123358296E-2</v>
      </c>
      <c r="H15" s="173">
        <f t="shared" si="0"/>
        <v>0.15408967344551117</v>
      </c>
      <c r="I15" s="173">
        <f t="shared" si="0"/>
        <v>0.18309740739593519</v>
      </c>
      <c r="J15" s="173">
        <f t="shared" si="0"/>
        <v>0.22655072301937357</v>
      </c>
      <c r="K15" s="173">
        <f t="shared" si="0"/>
        <v>0.17437947324348665</v>
      </c>
      <c r="L15" s="193"/>
      <c r="M15" s="169"/>
    </row>
    <row r="16" spans="1:15" x14ac:dyDescent="0.3">
      <c r="A16" s="160"/>
      <c r="B16" s="171"/>
      <c r="C16" s="146"/>
      <c r="D16" s="146"/>
      <c r="E16" s="146"/>
      <c r="F16" s="146"/>
      <c r="G16" s="146"/>
      <c r="H16" s="146"/>
      <c r="I16" s="146"/>
      <c r="J16" s="146"/>
      <c r="K16" s="146"/>
      <c r="L16" s="193"/>
      <c r="M16" s="164"/>
    </row>
    <row r="17" spans="1:14" x14ac:dyDescent="0.3">
      <c r="A17" s="160"/>
      <c r="B17" s="170" t="s">
        <v>82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67"/>
      <c r="M17" s="192"/>
    </row>
    <row r="18" spans="1:14" x14ac:dyDescent="0.3">
      <c r="A18" s="160" t="s">
        <v>81</v>
      </c>
      <c r="B18" s="168" t="s">
        <v>80</v>
      </c>
      <c r="C18" s="156">
        <v>799463426</v>
      </c>
      <c r="D18" s="156">
        <v>345933051</v>
      </c>
      <c r="E18" s="156">
        <v>558157413</v>
      </c>
      <c r="F18" s="156">
        <v>239025709</v>
      </c>
      <c r="G18" s="156">
        <v>434620881</v>
      </c>
      <c r="H18" s="156">
        <v>197406205</v>
      </c>
      <c r="I18" s="156">
        <v>1551885696</v>
      </c>
      <c r="J18" s="156">
        <v>415386626</v>
      </c>
      <c r="K18" s="156">
        <v>293038528</v>
      </c>
      <c r="L18" s="167"/>
      <c r="M18" s="191"/>
      <c r="N18" s="190"/>
    </row>
    <row r="19" spans="1:14" x14ac:dyDescent="0.3">
      <c r="A19" s="160" t="s">
        <v>79</v>
      </c>
      <c r="B19" s="168" t="s">
        <v>78</v>
      </c>
      <c r="C19" s="156">
        <v>1512520851</v>
      </c>
      <c r="D19" s="156">
        <v>574512885</v>
      </c>
      <c r="E19" s="156">
        <v>1231890672</v>
      </c>
      <c r="F19" s="156">
        <v>581954467</v>
      </c>
      <c r="G19" s="156">
        <v>1081143000</v>
      </c>
      <c r="H19" s="156">
        <v>443697092</v>
      </c>
      <c r="I19" s="156">
        <v>2411937033</v>
      </c>
      <c r="J19" s="156">
        <v>892301788</v>
      </c>
      <c r="K19" s="156">
        <v>718354285</v>
      </c>
      <c r="L19" s="164"/>
      <c r="M19" s="145"/>
    </row>
    <row r="20" spans="1:14" x14ac:dyDescent="0.3">
      <c r="A20" s="160" t="s">
        <v>77</v>
      </c>
      <c r="B20" s="166" t="s">
        <v>76</v>
      </c>
      <c r="C20" s="165">
        <f t="shared" ref="C20:K20" si="1">+C18/C19</f>
        <v>0.52856357350144056</v>
      </c>
      <c r="D20" s="165">
        <f t="shared" si="1"/>
        <v>0.60213279811818321</v>
      </c>
      <c r="E20" s="165">
        <f t="shared" si="1"/>
        <v>0.45309005554350035</v>
      </c>
      <c r="F20" s="165">
        <f t="shared" si="1"/>
        <v>0.41072922806519158</v>
      </c>
      <c r="G20" s="165">
        <f t="shared" si="1"/>
        <v>0.40200129030109799</v>
      </c>
      <c r="H20" s="165">
        <f t="shared" si="1"/>
        <v>0.44491210007750059</v>
      </c>
      <c r="I20" s="165">
        <f t="shared" si="1"/>
        <v>0.64341882676337681</v>
      </c>
      <c r="J20" s="165">
        <f t="shared" si="1"/>
        <v>0.46552257496989347</v>
      </c>
      <c r="K20" s="165">
        <f t="shared" si="1"/>
        <v>0.4079303682304895</v>
      </c>
      <c r="L20" s="164"/>
      <c r="M20" s="145"/>
    </row>
    <row r="21" spans="1:14" x14ac:dyDescent="0.3">
      <c r="A21" s="163"/>
      <c r="B21" s="163"/>
      <c r="C21" s="161"/>
      <c r="D21" s="161"/>
      <c r="E21" s="161"/>
      <c r="F21" s="161"/>
      <c r="G21" s="161"/>
      <c r="H21" s="161"/>
      <c r="I21" s="161"/>
      <c r="J21" s="161"/>
      <c r="K21" s="161"/>
      <c r="L21" s="164"/>
      <c r="M21" s="145"/>
    </row>
    <row r="22" spans="1:14" x14ac:dyDescent="0.3">
      <c r="A22" s="163"/>
      <c r="B22" s="162" t="s">
        <v>75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4"/>
      <c r="M22" s="145"/>
    </row>
    <row r="23" spans="1:14" x14ac:dyDescent="0.3">
      <c r="A23" s="160" t="s">
        <v>74</v>
      </c>
      <c r="B23" s="159" t="s">
        <v>73</v>
      </c>
      <c r="C23" s="156">
        <f t="shared" ref="C23:K23" si="2">ROUND(+C10*C15,0)</f>
        <v>2245957</v>
      </c>
      <c r="D23" s="156">
        <f t="shared" si="2"/>
        <v>360983</v>
      </c>
      <c r="E23" s="156">
        <f t="shared" si="2"/>
        <v>956905</v>
      </c>
      <c r="F23" s="156">
        <f t="shared" si="2"/>
        <v>3197470</v>
      </c>
      <c r="G23" s="156">
        <f t="shared" si="2"/>
        <v>66321</v>
      </c>
      <c r="H23" s="156">
        <f t="shared" si="2"/>
        <v>415787</v>
      </c>
      <c r="I23" s="156">
        <f t="shared" si="2"/>
        <v>4534290</v>
      </c>
      <c r="J23" s="156">
        <f t="shared" si="2"/>
        <v>1055323</v>
      </c>
      <c r="K23" s="156">
        <f t="shared" si="2"/>
        <v>24437</v>
      </c>
      <c r="L23" s="164"/>
      <c r="M23" s="145"/>
    </row>
    <row r="24" spans="1:14" x14ac:dyDescent="0.3">
      <c r="A24" s="158" t="s">
        <v>72</v>
      </c>
      <c r="B24" s="157" t="s">
        <v>153</v>
      </c>
      <c r="C24" s="156">
        <f t="shared" ref="C24:K24" si="3">ROUND(C20*C23,0)</f>
        <v>1187131</v>
      </c>
      <c r="D24" s="156">
        <f t="shared" si="3"/>
        <v>217360</v>
      </c>
      <c r="E24" s="156">
        <f t="shared" si="3"/>
        <v>433564</v>
      </c>
      <c r="F24" s="156">
        <f t="shared" si="3"/>
        <v>1313294</v>
      </c>
      <c r="G24" s="156">
        <f t="shared" si="3"/>
        <v>26661</v>
      </c>
      <c r="H24" s="156">
        <f t="shared" si="3"/>
        <v>184989</v>
      </c>
      <c r="I24" s="156">
        <f t="shared" si="3"/>
        <v>2917448</v>
      </c>
      <c r="J24" s="156">
        <f t="shared" si="3"/>
        <v>491277</v>
      </c>
      <c r="K24" s="156">
        <f t="shared" si="3"/>
        <v>9969</v>
      </c>
      <c r="L24" s="164"/>
      <c r="M24" s="145"/>
    </row>
    <row r="25" spans="1:14" x14ac:dyDescent="0.3">
      <c r="A25" s="155"/>
      <c r="B25" s="155"/>
      <c r="C25" s="146"/>
      <c r="D25" s="146"/>
      <c r="E25" s="146"/>
      <c r="F25" s="146"/>
      <c r="G25" s="146"/>
      <c r="H25" s="146"/>
      <c r="I25" s="146"/>
      <c r="J25" s="146"/>
      <c r="K25" s="146"/>
      <c r="L25" s="164"/>
      <c r="M25" s="145"/>
    </row>
    <row r="26" spans="1:14" s="148" customFormat="1" x14ac:dyDescent="0.3">
      <c r="A26" s="154"/>
      <c r="B26" s="185" t="s">
        <v>152</v>
      </c>
      <c r="C26" s="189">
        <f t="shared" ref="C26:K26" si="4">+C24/4</f>
        <v>296782.75</v>
      </c>
      <c r="D26" s="189">
        <f t="shared" si="4"/>
        <v>54340</v>
      </c>
      <c r="E26" s="189">
        <f t="shared" si="4"/>
        <v>108391</v>
      </c>
      <c r="F26" s="189">
        <f t="shared" si="4"/>
        <v>328323.5</v>
      </c>
      <c r="G26" s="189">
        <f t="shared" si="4"/>
        <v>6665.25</v>
      </c>
      <c r="H26" s="189">
        <f t="shared" si="4"/>
        <v>46247.25</v>
      </c>
      <c r="I26" s="189">
        <f t="shared" si="4"/>
        <v>729362</v>
      </c>
      <c r="J26" s="189">
        <f t="shared" si="4"/>
        <v>122819.25</v>
      </c>
      <c r="K26" s="189">
        <f t="shared" si="4"/>
        <v>2492.25</v>
      </c>
      <c r="L26" s="182"/>
      <c r="M26" s="150"/>
    </row>
    <row r="27" spans="1:14" s="186" customFormat="1" ht="15" thickBot="1" x14ac:dyDescent="0.35">
      <c r="C27" s="188"/>
      <c r="D27" s="188"/>
      <c r="E27" s="188"/>
      <c r="F27" s="188"/>
      <c r="G27" s="188"/>
      <c r="H27" s="188"/>
      <c r="I27" s="188"/>
      <c r="J27" s="188"/>
      <c r="K27" s="187"/>
      <c r="L27" s="187"/>
      <c r="M27" s="187"/>
    </row>
    <row r="28" spans="1:14" x14ac:dyDescent="0.3">
      <c r="C28" s="146"/>
      <c r="D28" s="146"/>
      <c r="E28" s="146"/>
      <c r="F28" s="146"/>
      <c r="G28" s="146"/>
      <c r="H28" s="146"/>
      <c r="I28" s="146"/>
      <c r="J28" s="146"/>
      <c r="K28" s="145"/>
      <c r="L28" s="164"/>
      <c r="M28" s="145"/>
    </row>
    <row r="29" spans="1:14" s="148" customFormat="1" x14ac:dyDescent="0.3">
      <c r="A29" s="154"/>
      <c r="B29" s="185" t="s">
        <v>106</v>
      </c>
      <c r="C29" s="184" t="s">
        <v>110</v>
      </c>
      <c r="D29" s="183" t="s">
        <v>109</v>
      </c>
      <c r="E29" s="183" t="s">
        <v>107</v>
      </c>
      <c r="F29" s="183" t="s">
        <v>105</v>
      </c>
      <c r="G29" s="183" t="s">
        <v>104</v>
      </c>
      <c r="H29" s="183" t="s">
        <v>103</v>
      </c>
      <c r="I29" s="183" t="s">
        <v>102</v>
      </c>
      <c r="J29" s="183" t="s">
        <v>101</v>
      </c>
      <c r="K29" s="150"/>
      <c r="L29" s="182"/>
      <c r="M29" s="150"/>
    </row>
    <row r="30" spans="1:14" x14ac:dyDescent="0.3">
      <c r="A30" s="155"/>
      <c r="B30" s="155"/>
      <c r="C30" s="146"/>
      <c r="D30" s="146"/>
      <c r="E30" s="146"/>
      <c r="F30" s="146"/>
      <c r="G30" s="146"/>
      <c r="H30" s="146"/>
      <c r="I30" s="146"/>
      <c r="J30" s="146"/>
      <c r="K30" s="145"/>
      <c r="L30" s="164"/>
      <c r="M30" s="145"/>
    </row>
    <row r="31" spans="1:14" x14ac:dyDescent="0.3">
      <c r="A31" s="181"/>
      <c r="B31" s="162" t="s">
        <v>100</v>
      </c>
      <c r="C31" s="180"/>
      <c r="D31" s="146"/>
      <c r="E31" s="146"/>
      <c r="F31" s="146"/>
      <c r="G31" s="146"/>
      <c r="H31" s="146"/>
      <c r="I31" s="146"/>
      <c r="J31" s="146"/>
      <c r="K31" s="145"/>
      <c r="L31" s="164"/>
      <c r="M31" s="145"/>
    </row>
    <row r="32" spans="1:14" x14ac:dyDescent="0.3">
      <c r="A32" s="160" t="s">
        <v>99</v>
      </c>
      <c r="B32" s="177" t="s">
        <v>98</v>
      </c>
      <c r="C32" s="179">
        <v>17.55</v>
      </c>
      <c r="D32" s="179">
        <v>35.25</v>
      </c>
      <c r="E32" s="179">
        <v>83.6</v>
      </c>
      <c r="F32" s="179">
        <v>31.95</v>
      </c>
      <c r="G32" s="179">
        <v>29.31</v>
      </c>
      <c r="H32" s="179">
        <v>32.26</v>
      </c>
      <c r="I32" s="179">
        <v>34.130000000000003</v>
      </c>
      <c r="J32" s="179">
        <v>203.04</v>
      </c>
      <c r="K32" s="145"/>
      <c r="L32" s="164"/>
      <c r="M32" s="145"/>
    </row>
    <row r="33" spans="1:13" x14ac:dyDescent="0.3">
      <c r="A33" s="160" t="s">
        <v>97</v>
      </c>
      <c r="B33" s="177" t="s">
        <v>96</v>
      </c>
      <c r="C33" s="179">
        <v>0</v>
      </c>
      <c r="D33" s="179">
        <v>11.66</v>
      </c>
      <c r="E33" s="179">
        <v>53.86</v>
      </c>
      <c r="F33" s="179">
        <v>15.21</v>
      </c>
      <c r="G33" s="179">
        <v>23.65</v>
      </c>
      <c r="H33" s="179">
        <v>11.23</v>
      </c>
      <c r="I33" s="179">
        <v>11.1</v>
      </c>
      <c r="J33" s="179">
        <v>372.98</v>
      </c>
      <c r="K33" s="145"/>
      <c r="L33" s="164"/>
      <c r="M33" s="145"/>
    </row>
    <row r="34" spans="1:13" x14ac:dyDescent="0.3">
      <c r="A34" s="160" t="s">
        <v>95</v>
      </c>
      <c r="B34" s="177" t="s">
        <v>94</v>
      </c>
      <c r="C34" s="178">
        <v>173244.1</v>
      </c>
      <c r="D34" s="178">
        <v>151334.81</v>
      </c>
      <c r="E34" s="178">
        <v>101319.43</v>
      </c>
      <c r="F34" s="178">
        <v>94275.8</v>
      </c>
      <c r="G34" s="178">
        <v>103474</v>
      </c>
      <c r="H34" s="178">
        <v>93802</v>
      </c>
      <c r="I34" s="178">
        <v>100699.32</v>
      </c>
      <c r="J34" s="178">
        <v>94663.77</v>
      </c>
      <c r="K34" s="145"/>
      <c r="L34" s="164"/>
      <c r="M34" s="145"/>
    </row>
    <row r="35" spans="1:13" x14ac:dyDescent="0.3">
      <c r="A35" s="160" t="s">
        <v>93</v>
      </c>
      <c r="B35" s="177" t="s">
        <v>92</v>
      </c>
      <c r="C35" s="178">
        <v>0</v>
      </c>
      <c r="D35" s="178">
        <v>143469.82</v>
      </c>
      <c r="E35" s="178">
        <v>96053.81</v>
      </c>
      <c r="F35" s="178">
        <v>93398.93</v>
      </c>
      <c r="G35" s="178">
        <v>98096</v>
      </c>
      <c r="H35" s="178">
        <v>93802</v>
      </c>
      <c r="I35" s="178">
        <v>96465.9</v>
      </c>
      <c r="J35" s="178">
        <v>92799.72</v>
      </c>
      <c r="K35" s="145"/>
      <c r="L35" s="164"/>
      <c r="M35" s="145"/>
    </row>
    <row r="36" spans="1:13" x14ac:dyDescent="0.3">
      <c r="A36" s="160" t="s">
        <v>91</v>
      </c>
      <c r="B36" s="177" t="s">
        <v>90</v>
      </c>
      <c r="C36" s="156">
        <v>3206821.7506499994</v>
      </c>
      <c r="D36" s="156">
        <v>7390890.6189881694</v>
      </c>
      <c r="E36" s="156">
        <v>14390417.093356181</v>
      </c>
      <c r="F36" s="156">
        <v>4675289.7650170419</v>
      </c>
      <c r="G36" s="156">
        <v>5645725.0188149996</v>
      </c>
      <c r="H36" s="156">
        <v>4302697.3316984996</v>
      </c>
      <c r="I36" s="156">
        <v>4754320.0610902496</v>
      </c>
      <c r="J36" s="156">
        <v>56778980.934527449</v>
      </c>
      <c r="K36" s="145"/>
      <c r="L36" s="164"/>
      <c r="M36" s="145"/>
    </row>
    <row r="37" spans="1:13" x14ac:dyDescent="0.3">
      <c r="A37" s="163"/>
      <c r="B37" s="163"/>
      <c r="C37" s="146"/>
      <c r="D37" s="146"/>
      <c r="E37" s="146"/>
      <c r="F37" s="146"/>
      <c r="G37" s="146"/>
      <c r="H37" s="146"/>
      <c r="I37" s="146"/>
      <c r="J37" s="146"/>
      <c r="K37" s="145"/>
      <c r="L37" s="164"/>
      <c r="M37" s="145"/>
    </row>
    <row r="38" spans="1:13" x14ac:dyDescent="0.3">
      <c r="A38" s="176"/>
      <c r="B38" s="162" t="s">
        <v>89</v>
      </c>
      <c r="C38" s="147"/>
      <c r="D38" s="146"/>
      <c r="E38" s="146"/>
      <c r="F38" s="146"/>
      <c r="G38" s="146"/>
      <c r="H38" s="146"/>
      <c r="I38" s="146"/>
      <c r="J38" s="146"/>
      <c r="K38" s="145"/>
      <c r="L38" s="172"/>
      <c r="M38" s="145"/>
    </row>
    <row r="39" spans="1:13" x14ac:dyDescent="0.3">
      <c r="A39" s="160" t="s">
        <v>88</v>
      </c>
      <c r="B39" s="174" t="s">
        <v>156</v>
      </c>
      <c r="C39" s="175">
        <f>Days_15GME!D11</f>
        <v>8489</v>
      </c>
      <c r="D39" s="175">
        <f>Days_15GME!D12</f>
        <v>10152</v>
      </c>
      <c r="E39" s="175">
        <f>Days_15GME!D13</f>
        <v>31144</v>
      </c>
      <c r="F39" s="175">
        <f>Days_15GME!D14</f>
        <v>11798</v>
      </c>
      <c r="G39" s="175">
        <f>Days_15GME!D15</f>
        <v>23141</v>
      </c>
      <c r="H39" s="175">
        <f>Days_15GME!D16</f>
        <v>14122</v>
      </c>
      <c r="I39" s="175">
        <f>Days_15GME!D19</f>
        <v>11359</v>
      </c>
      <c r="J39" s="175">
        <f>Days_15GME!D20</f>
        <v>101799</v>
      </c>
      <c r="K39" s="145"/>
      <c r="L39" s="169"/>
      <c r="M39" s="145"/>
    </row>
    <row r="40" spans="1:13" x14ac:dyDescent="0.3">
      <c r="A40" s="160" t="s">
        <v>86</v>
      </c>
      <c r="B40" s="174" t="s">
        <v>85</v>
      </c>
      <c r="C40" s="175">
        <f>43748+7081+5787</f>
        <v>56616</v>
      </c>
      <c r="D40" s="175">
        <f>36434+12009+1761+3204+2295</f>
        <v>55703</v>
      </c>
      <c r="E40" s="175">
        <f>121040+11230+5610+14999</f>
        <v>152879</v>
      </c>
      <c r="F40" s="175">
        <f>40932+3755+1303+3921</f>
        <v>49911</v>
      </c>
      <c r="G40" s="175">
        <f>77616+6756+30719+2745</f>
        <v>117836</v>
      </c>
      <c r="H40" s="175">
        <f>49732+6719+4518+3927</f>
        <v>64896</v>
      </c>
      <c r="I40" s="175">
        <f>36448+5585+9361</f>
        <v>51394</v>
      </c>
      <c r="J40" s="175">
        <f>327743+12309+11602+9783+4031+16898+4638+8466+36782+3325</f>
        <v>435577</v>
      </c>
      <c r="K40" s="192"/>
      <c r="L40" s="169"/>
      <c r="M40" s="145"/>
    </row>
    <row r="41" spans="1:13" x14ac:dyDescent="0.3">
      <c r="A41" s="160" t="s">
        <v>84</v>
      </c>
      <c r="B41" s="174" t="s">
        <v>83</v>
      </c>
      <c r="C41" s="173">
        <f t="shared" ref="C41:J41" si="5">+C39/C40</f>
        <v>0.14993994630493146</v>
      </c>
      <c r="D41" s="173">
        <f t="shared" si="5"/>
        <v>0.18225230238945839</v>
      </c>
      <c r="E41" s="173">
        <f t="shared" si="5"/>
        <v>0.20371666481334913</v>
      </c>
      <c r="F41" s="173">
        <f t="shared" si="5"/>
        <v>0.23638075774879286</v>
      </c>
      <c r="G41" s="173">
        <f t="shared" si="5"/>
        <v>0.19638310872738382</v>
      </c>
      <c r="H41" s="173">
        <f t="shared" si="5"/>
        <v>0.21760971400394477</v>
      </c>
      <c r="I41" s="173">
        <f t="shared" si="5"/>
        <v>0.22101801766743201</v>
      </c>
      <c r="J41" s="173">
        <f t="shared" si="5"/>
        <v>0.23371068720341065</v>
      </c>
      <c r="K41" s="145"/>
      <c r="L41" s="172"/>
      <c r="M41" s="145"/>
    </row>
    <row r="42" spans="1:13" x14ac:dyDescent="0.3">
      <c r="A42" s="160"/>
      <c r="B42" s="171"/>
      <c r="C42" s="146"/>
      <c r="D42" s="146"/>
      <c r="E42" s="146"/>
      <c r="F42" s="146"/>
      <c r="G42" s="146"/>
      <c r="H42" s="146"/>
      <c r="I42" s="146"/>
      <c r="J42" s="146"/>
      <c r="K42" s="145"/>
      <c r="L42" s="167"/>
      <c r="M42" s="167"/>
    </row>
    <row r="43" spans="1:13" x14ac:dyDescent="0.3">
      <c r="A43" s="160"/>
      <c r="B43" s="170" t="s">
        <v>82</v>
      </c>
      <c r="C43" s="146"/>
      <c r="D43" s="146"/>
      <c r="E43" s="146"/>
      <c r="F43" s="146"/>
      <c r="G43" s="146"/>
      <c r="H43" s="146"/>
      <c r="I43" s="146"/>
      <c r="J43" s="146"/>
      <c r="K43" s="145"/>
      <c r="L43" s="164"/>
      <c r="M43" s="145"/>
    </row>
    <row r="44" spans="1:13" x14ac:dyDescent="0.3">
      <c r="A44" s="160" t="s">
        <v>81</v>
      </c>
      <c r="B44" s="168" t="s">
        <v>80</v>
      </c>
      <c r="C44" s="156">
        <v>574805000</v>
      </c>
      <c r="D44" s="156">
        <v>450913513</v>
      </c>
      <c r="E44" s="156">
        <v>1102155507</v>
      </c>
      <c r="F44" s="156">
        <v>284542316</v>
      </c>
      <c r="G44" s="156">
        <v>790100839</v>
      </c>
      <c r="H44" s="156">
        <v>608201036</v>
      </c>
      <c r="I44" s="156">
        <v>478761130</v>
      </c>
      <c r="J44" s="156">
        <v>4928493458</v>
      </c>
      <c r="K44" s="145"/>
      <c r="L44" s="169"/>
      <c r="M44" s="145"/>
    </row>
    <row r="45" spans="1:13" x14ac:dyDescent="0.3">
      <c r="A45" s="160" t="s">
        <v>79</v>
      </c>
      <c r="B45" s="168" t="s">
        <v>78</v>
      </c>
      <c r="C45" s="156">
        <v>1216521000</v>
      </c>
      <c r="D45" s="156">
        <v>913394783</v>
      </c>
      <c r="E45" s="156">
        <v>1930957099</v>
      </c>
      <c r="F45" s="156">
        <v>601586237</v>
      </c>
      <c r="G45" s="156">
        <v>1280210826</v>
      </c>
      <c r="H45" s="156">
        <v>1781321000</v>
      </c>
      <c r="I45" s="156">
        <v>857736453</v>
      </c>
      <c r="J45" s="156">
        <v>8570200765</v>
      </c>
      <c r="K45" s="145"/>
      <c r="L45" s="167"/>
      <c r="M45" s="167"/>
    </row>
    <row r="46" spans="1:13" x14ac:dyDescent="0.3">
      <c r="A46" s="160" t="s">
        <v>77</v>
      </c>
      <c r="B46" s="166" t="s">
        <v>76</v>
      </c>
      <c r="C46" s="165">
        <f t="shared" ref="C46:J46" si="6">+C44/C45</f>
        <v>0.47249903618597622</v>
      </c>
      <c r="D46" s="165">
        <f t="shared" si="6"/>
        <v>0.49366771235434131</v>
      </c>
      <c r="E46" s="165">
        <f t="shared" si="6"/>
        <v>0.57078197520327201</v>
      </c>
      <c r="F46" s="165">
        <f t="shared" si="6"/>
        <v>0.47298674487461723</v>
      </c>
      <c r="G46" s="165">
        <f t="shared" si="6"/>
        <v>0.61716462863281552</v>
      </c>
      <c r="H46" s="165">
        <f t="shared" si="6"/>
        <v>0.34143258626603518</v>
      </c>
      <c r="I46" s="165">
        <f t="shared" si="6"/>
        <v>0.55816810434661568</v>
      </c>
      <c r="J46" s="165">
        <f t="shared" si="6"/>
        <v>0.57507327927807306</v>
      </c>
      <c r="K46" s="145"/>
      <c r="L46" s="164"/>
      <c r="M46" s="145"/>
    </row>
    <row r="47" spans="1:13" x14ac:dyDescent="0.3">
      <c r="A47" s="163"/>
      <c r="B47" s="163"/>
      <c r="C47" s="161"/>
      <c r="D47" s="161"/>
      <c r="E47" s="161"/>
      <c r="F47" s="161"/>
      <c r="G47" s="161"/>
      <c r="H47" s="161"/>
      <c r="I47" s="161"/>
      <c r="J47" s="161"/>
      <c r="K47" s="145"/>
      <c r="L47" s="145"/>
      <c r="M47" s="145"/>
    </row>
    <row r="48" spans="1:13" x14ac:dyDescent="0.3">
      <c r="A48" s="163"/>
      <c r="B48" s="162" t="s">
        <v>75</v>
      </c>
      <c r="C48" s="161"/>
      <c r="D48" s="161"/>
      <c r="E48" s="161"/>
      <c r="F48" s="161"/>
      <c r="G48" s="161"/>
      <c r="H48" s="161"/>
      <c r="I48" s="161"/>
      <c r="J48" s="161"/>
      <c r="K48" s="145"/>
      <c r="L48" s="145"/>
      <c r="M48" s="145"/>
    </row>
    <row r="49" spans="1:13" x14ac:dyDescent="0.3">
      <c r="A49" s="160" t="s">
        <v>74</v>
      </c>
      <c r="B49" s="159" t="s">
        <v>73</v>
      </c>
      <c r="C49" s="156">
        <f t="shared" ref="C49:J49" si="7">ROUND(+C36*C41,0)</f>
        <v>480831</v>
      </c>
      <c r="D49" s="156">
        <f t="shared" si="7"/>
        <v>1347007</v>
      </c>
      <c r="E49" s="156">
        <f t="shared" si="7"/>
        <v>2931568</v>
      </c>
      <c r="F49" s="156">
        <f t="shared" si="7"/>
        <v>1105149</v>
      </c>
      <c r="G49" s="156">
        <f t="shared" si="7"/>
        <v>1108725</v>
      </c>
      <c r="H49" s="156">
        <f t="shared" si="7"/>
        <v>936309</v>
      </c>
      <c r="I49" s="156">
        <f t="shared" si="7"/>
        <v>1050790</v>
      </c>
      <c r="J49" s="156">
        <f t="shared" si="7"/>
        <v>13269855</v>
      </c>
      <c r="K49" s="145"/>
      <c r="L49" s="145"/>
      <c r="M49" s="145"/>
    </row>
    <row r="50" spans="1:13" x14ac:dyDescent="0.3">
      <c r="A50" s="158" t="s">
        <v>72</v>
      </c>
      <c r="B50" s="157" t="s">
        <v>153</v>
      </c>
      <c r="C50" s="156">
        <f t="shared" ref="C50:J50" si="8">ROUND(C46*C49,0)</f>
        <v>227192</v>
      </c>
      <c r="D50" s="156">
        <f t="shared" si="8"/>
        <v>664974</v>
      </c>
      <c r="E50" s="156">
        <f t="shared" si="8"/>
        <v>1673286</v>
      </c>
      <c r="F50" s="156">
        <f t="shared" si="8"/>
        <v>522721</v>
      </c>
      <c r="G50" s="156">
        <f t="shared" si="8"/>
        <v>684266</v>
      </c>
      <c r="H50" s="156">
        <f t="shared" si="8"/>
        <v>319686</v>
      </c>
      <c r="I50" s="156">
        <f t="shared" si="8"/>
        <v>586517</v>
      </c>
      <c r="J50" s="156">
        <f t="shared" si="8"/>
        <v>7631139</v>
      </c>
      <c r="K50" s="145"/>
      <c r="L50" s="145"/>
      <c r="M50" s="145"/>
    </row>
    <row r="51" spans="1:13" x14ac:dyDescent="0.3">
      <c r="A51" s="155"/>
      <c r="B51" s="155"/>
      <c r="C51" s="146"/>
      <c r="D51" s="146"/>
      <c r="E51" s="146"/>
      <c r="F51" s="146"/>
      <c r="G51" s="146"/>
      <c r="H51" s="146"/>
      <c r="I51" s="146"/>
      <c r="J51" s="146"/>
      <c r="K51" s="149"/>
      <c r="L51" s="145"/>
      <c r="M51" s="145"/>
    </row>
    <row r="52" spans="1:13" s="148" customFormat="1" x14ac:dyDescent="0.3">
      <c r="A52" s="154"/>
      <c r="B52" s="185" t="s">
        <v>152</v>
      </c>
      <c r="C52" s="189">
        <f t="shared" ref="C52:J52" si="9">+C50/4</f>
        <v>56798</v>
      </c>
      <c r="D52" s="189">
        <f t="shared" si="9"/>
        <v>166243.5</v>
      </c>
      <c r="E52" s="189">
        <f t="shared" si="9"/>
        <v>418321.5</v>
      </c>
      <c r="F52" s="189">
        <f t="shared" si="9"/>
        <v>130680.25</v>
      </c>
      <c r="G52" s="189">
        <f t="shared" si="9"/>
        <v>171066.5</v>
      </c>
      <c r="H52" s="189">
        <f t="shared" si="9"/>
        <v>79921.5</v>
      </c>
      <c r="I52" s="189">
        <f t="shared" si="9"/>
        <v>146629.25</v>
      </c>
      <c r="J52" s="189">
        <f t="shared" si="9"/>
        <v>1907784.75</v>
      </c>
      <c r="K52" s="151"/>
      <c r="L52" s="150"/>
      <c r="M52" s="150"/>
    </row>
    <row r="53" spans="1:13" x14ac:dyDescent="0.3">
      <c r="C53" s="146"/>
      <c r="D53" s="146"/>
      <c r="E53" s="146"/>
      <c r="F53" s="146"/>
      <c r="G53" s="146"/>
      <c r="H53" s="146"/>
      <c r="I53" s="146"/>
      <c r="J53" s="146"/>
      <c r="K53" s="149"/>
      <c r="L53" s="145"/>
      <c r="M53" s="145"/>
    </row>
    <row r="54" spans="1:13" x14ac:dyDescent="0.3">
      <c r="A54" s="148" t="s">
        <v>70</v>
      </c>
      <c r="C54" s="146"/>
      <c r="D54" s="146"/>
      <c r="E54" s="146"/>
      <c r="F54" s="146"/>
      <c r="G54" s="146"/>
      <c r="H54" s="147"/>
      <c r="I54" s="146"/>
      <c r="J54" s="146"/>
      <c r="K54" s="145"/>
      <c r="L54" s="145"/>
      <c r="M54" s="145"/>
    </row>
    <row r="55" spans="1:13" x14ac:dyDescent="0.3">
      <c r="C55" s="146"/>
      <c r="D55" s="146"/>
      <c r="E55" s="146"/>
      <c r="F55" s="146"/>
      <c r="G55" s="146"/>
      <c r="H55" s="146"/>
      <c r="I55" s="146"/>
      <c r="J55" s="146"/>
      <c r="K55" s="149"/>
      <c r="L55" s="145"/>
      <c r="M55" s="145"/>
    </row>
    <row r="56" spans="1:13" x14ac:dyDescent="0.3">
      <c r="C56" s="146"/>
      <c r="D56" s="146"/>
      <c r="E56" s="146"/>
      <c r="F56" s="146"/>
      <c r="G56" s="146"/>
      <c r="H56" s="146"/>
      <c r="I56" s="146"/>
      <c r="J56" s="146"/>
      <c r="K56" s="149"/>
      <c r="L56" s="145"/>
      <c r="M56" s="145"/>
    </row>
    <row r="57" spans="1:13" x14ac:dyDescent="0.3">
      <c r="C57" s="146"/>
      <c r="D57" s="146"/>
      <c r="E57" s="146"/>
      <c r="F57" s="146"/>
      <c r="G57" s="146"/>
      <c r="H57" s="146"/>
      <c r="I57" s="146"/>
      <c r="J57" s="146"/>
      <c r="K57" s="145"/>
      <c r="L57" s="145"/>
      <c r="M57" s="145"/>
    </row>
    <row r="58" spans="1:13" x14ac:dyDescent="0.3">
      <c r="C58" s="144"/>
    </row>
    <row r="59" spans="1:13" x14ac:dyDescent="0.3">
      <c r="C59" s="143"/>
    </row>
    <row r="68" spans="3:4" x14ac:dyDescent="0.3">
      <c r="C68" s="142">
        <v>74419</v>
      </c>
      <c r="D68" s="142">
        <v>85329</v>
      </c>
    </row>
    <row r="69" spans="3:4" x14ac:dyDescent="0.3">
      <c r="C69" s="142">
        <v>6153</v>
      </c>
      <c r="D69" s="142">
        <v>-4757</v>
      </c>
    </row>
    <row r="70" spans="3:4" x14ac:dyDescent="0.3">
      <c r="C70" s="142">
        <v>5468</v>
      </c>
      <c r="D70" s="142">
        <v>5468</v>
      </c>
    </row>
    <row r="71" spans="3:4" x14ac:dyDescent="0.3">
      <c r="C71" s="142">
        <v>5335</v>
      </c>
      <c r="D71" s="142">
        <v>5335</v>
      </c>
    </row>
    <row r="72" spans="3:4" x14ac:dyDescent="0.3">
      <c r="C72" s="142">
        <f>SUM(C68:C71)</f>
        <v>91375</v>
      </c>
      <c r="D72" s="142">
        <f>SUM(D68:D71)</f>
        <v>91375</v>
      </c>
    </row>
    <row r="73" spans="3:4" x14ac:dyDescent="0.3">
      <c r="C73" s="142">
        <v>4757</v>
      </c>
    </row>
    <row r="74" spans="3:4" x14ac:dyDescent="0.3">
      <c r="C74" s="142">
        <f>C72+C73</f>
        <v>96132</v>
      </c>
    </row>
  </sheetData>
  <printOptions horizontalCentered="1"/>
  <pageMargins left="0.2" right="0.2" top="0.5" bottom="0.5" header="0.3" footer="0.3"/>
  <pageSetup scale="60" orientation="landscape" r:id="rId1"/>
  <headerFooter>
    <oddFooter>&amp;L&amp;9&amp;Z&amp;F 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B19" sqref="B19"/>
    </sheetView>
  </sheetViews>
  <sheetFormatPr defaultColWidth="9.109375" defaultRowHeight="14.4" x14ac:dyDescent="0.3"/>
  <cols>
    <col min="1" max="1" width="22.6640625" style="119" customWidth="1"/>
    <col min="2" max="2" width="8.33203125" style="120" bestFit="1" customWidth="1"/>
    <col min="3" max="3" width="9.109375" style="119"/>
    <col min="4" max="4" width="9.109375" style="206"/>
    <col min="5" max="5" width="9.109375" style="119"/>
    <col min="6" max="6" width="14.44140625" style="119" hidden="1" customWidth="1"/>
    <col min="7" max="11" width="0" style="119" hidden="1" customWidth="1"/>
    <col min="12" max="16384" width="9.109375" style="119"/>
  </cols>
  <sheetData>
    <row r="1" spans="1:11" x14ac:dyDescent="0.3">
      <c r="A1" s="121" t="s">
        <v>160</v>
      </c>
      <c r="C1" s="120"/>
      <c r="D1" s="121"/>
      <c r="I1" s="206" t="s">
        <v>159</v>
      </c>
    </row>
    <row r="2" spans="1:11" x14ac:dyDescent="0.3">
      <c r="A2" s="121"/>
      <c r="B2" s="120" t="s">
        <v>139</v>
      </c>
      <c r="D2" s="121" t="s">
        <v>138</v>
      </c>
      <c r="F2" s="206" t="s">
        <v>158</v>
      </c>
      <c r="G2" s="120" t="s">
        <v>139</v>
      </c>
      <c r="I2" s="121" t="s">
        <v>138</v>
      </c>
    </row>
    <row r="3" spans="1:11" x14ac:dyDescent="0.3">
      <c r="A3" s="121" t="s">
        <v>137</v>
      </c>
      <c r="B3" s="120" t="s">
        <v>136</v>
      </c>
      <c r="C3" s="119" t="s">
        <v>135</v>
      </c>
      <c r="D3" s="121" t="s">
        <v>134</v>
      </c>
      <c r="F3" s="121" t="s">
        <v>137</v>
      </c>
      <c r="G3" s="120" t="s">
        <v>136</v>
      </c>
      <c r="H3" s="119" t="s">
        <v>135</v>
      </c>
      <c r="I3" s="121" t="s">
        <v>134</v>
      </c>
    </row>
    <row r="4" spans="1:11" x14ac:dyDescent="0.3">
      <c r="A4" s="210" t="s">
        <v>120</v>
      </c>
      <c r="B4" s="120">
        <f>23866+357+602</f>
        <v>24825</v>
      </c>
      <c r="C4" s="120">
        <f>2571</f>
        <v>2571</v>
      </c>
      <c r="D4" s="122">
        <f t="shared" ref="D4:D21" si="0">+B4-C4</f>
        <v>22254</v>
      </c>
      <c r="F4" s="129" t="s">
        <v>120</v>
      </c>
      <c r="G4" s="120">
        <f>23935+357+602</f>
        <v>24894</v>
      </c>
      <c r="H4" s="120">
        <f>2573</f>
        <v>2573</v>
      </c>
      <c r="I4" s="128">
        <f t="shared" ref="I4:I21" si="1">+G4-H4</f>
        <v>22321</v>
      </c>
      <c r="K4" s="128">
        <f t="shared" ref="K4:K20" si="2">I4-D4</f>
        <v>67</v>
      </c>
    </row>
    <row r="5" spans="1:11" x14ac:dyDescent="0.3">
      <c r="A5" s="210" t="s">
        <v>119</v>
      </c>
      <c r="B5" s="120">
        <f>23967</f>
        <v>23967</v>
      </c>
      <c r="C5" s="120">
        <f>4230</f>
        <v>4230</v>
      </c>
      <c r="D5" s="122">
        <f t="shared" si="0"/>
        <v>19737</v>
      </c>
      <c r="F5" s="129" t="s">
        <v>119</v>
      </c>
      <c r="G5" s="120">
        <v>23978</v>
      </c>
      <c r="H5" s="120">
        <v>4236</v>
      </c>
      <c r="I5" s="128">
        <f t="shared" si="1"/>
        <v>19742</v>
      </c>
      <c r="K5" s="128">
        <f t="shared" si="2"/>
        <v>5</v>
      </c>
    </row>
    <row r="6" spans="1:11" x14ac:dyDescent="0.3">
      <c r="A6" s="210" t="s">
        <v>118</v>
      </c>
      <c r="B6" s="120">
        <f>14080+1543+397</f>
        <v>16020</v>
      </c>
      <c r="C6" s="120">
        <f>3687</f>
        <v>3687</v>
      </c>
      <c r="D6" s="122">
        <f t="shared" si="0"/>
        <v>12333</v>
      </c>
      <c r="F6" s="129" t="s">
        <v>118</v>
      </c>
      <c r="G6" s="120">
        <f>14080+1543+397</f>
        <v>16020</v>
      </c>
      <c r="H6" s="120">
        <f>3687</f>
        <v>3687</v>
      </c>
      <c r="I6" s="128">
        <f t="shared" si="1"/>
        <v>12333</v>
      </c>
      <c r="K6" s="128">
        <f t="shared" si="2"/>
        <v>0</v>
      </c>
    </row>
    <row r="7" spans="1:11" x14ac:dyDescent="0.3">
      <c r="A7" s="210" t="s">
        <v>116</v>
      </c>
      <c r="B7" s="120">
        <f>1476</f>
        <v>1476</v>
      </c>
      <c r="C7" s="120">
        <f>360</f>
        <v>360</v>
      </c>
      <c r="D7" s="122">
        <f t="shared" si="0"/>
        <v>1116</v>
      </c>
      <c r="F7" s="129" t="s">
        <v>116</v>
      </c>
      <c r="G7" s="120">
        <f>1477</f>
        <v>1477</v>
      </c>
      <c r="H7" s="120">
        <f>360</f>
        <v>360</v>
      </c>
      <c r="I7" s="128">
        <f t="shared" si="1"/>
        <v>1117</v>
      </c>
      <c r="K7" s="128">
        <f t="shared" si="2"/>
        <v>1</v>
      </c>
    </row>
    <row r="8" spans="1:11" x14ac:dyDescent="0.3">
      <c r="A8" s="210" t="s">
        <v>115</v>
      </c>
      <c r="B8" s="120">
        <f>5262</f>
        <v>5262</v>
      </c>
      <c r="C8" s="120">
        <f>784</f>
        <v>784</v>
      </c>
      <c r="D8" s="122">
        <f t="shared" si="0"/>
        <v>4478</v>
      </c>
      <c r="F8" s="129" t="s">
        <v>115</v>
      </c>
      <c r="G8" s="120">
        <f>5268</f>
        <v>5268</v>
      </c>
      <c r="H8" s="120">
        <f>784</f>
        <v>784</v>
      </c>
      <c r="I8" s="128">
        <f t="shared" si="1"/>
        <v>4484</v>
      </c>
      <c r="K8" s="128">
        <f t="shared" si="2"/>
        <v>6</v>
      </c>
    </row>
    <row r="9" spans="1:11" x14ac:dyDescent="0.3">
      <c r="A9" s="210" t="s">
        <v>114</v>
      </c>
      <c r="B9" s="120">
        <f>44609</f>
        <v>44609</v>
      </c>
      <c r="C9" s="120">
        <f>3231</f>
        <v>3231</v>
      </c>
      <c r="D9" s="122">
        <f t="shared" si="0"/>
        <v>41378</v>
      </c>
      <c r="F9" s="129" t="s">
        <v>114</v>
      </c>
      <c r="G9" s="120">
        <f>44663</f>
        <v>44663</v>
      </c>
      <c r="H9" s="120">
        <f>3231</f>
        <v>3231</v>
      </c>
      <c r="I9" s="128">
        <f t="shared" si="1"/>
        <v>41432</v>
      </c>
      <c r="K9" s="128">
        <f t="shared" si="2"/>
        <v>54</v>
      </c>
    </row>
    <row r="10" spans="1:11" x14ac:dyDescent="0.3">
      <c r="A10" s="210" t="s">
        <v>112</v>
      </c>
      <c r="B10" s="120">
        <f>11393+2118+255</f>
        <v>13766</v>
      </c>
      <c r="C10" s="120">
        <f>2729</f>
        <v>2729</v>
      </c>
      <c r="D10" s="122">
        <f t="shared" si="0"/>
        <v>11037</v>
      </c>
      <c r="F10" s="129" t="s">
        <v>112</v>
      </c>
      <c r="G10" s="120">
        <f>11393+2118+255</f>
        <v>13766</v>
      </c>
      <c r="H10" s="120">
        <f>2729</f>
        <v>2729</v>
      </c>
      <c r="I10" s="128">
        <f t="shared" si="1"/>
        <v>11037</v>
      </c>
      <c r="K10" s="128">
        <f t="shared" si="2"/>
        <v>0</v>
      </c>
    </row>
    <row r="11" spans="1:11" x14ac:dyDescent="0.3">
      <c r="A11" s="210" t="s">
        <v>110</v>
      </c>
      <c r="B11" s="120">
        <f>9211+382</f>
        <v>9593</v>
      </c>
      <c r="C11" s="120">
        <f>1099+5</f>
        <v>1104</v>
      </c>
      <c r="D11" s="122">
        <f t="shared" si="0"/>
        <v>8489</v>
      </c>
      <c r="F11" s="129" t="s">
        <v>110</v>
      </c>
      <c r="G11" s="120">
        <f>9211+382</f>
        <v>9593</v>
      </c>
      <c r="H11" s="120">
        <f>1099+5</f>
        <v>1104</v>
      </c>
      <c r="I11" s="128">
        <f t="shared" si="1"/>
        <v>8489</v>
      </c>
      <c r="K11" s="128">
        <f t="shared" si="2"/>
        <v>0</v>
      </c>
    </row>
    <row r="12" spans="1:11" x14ac:dyDescent="0.3">
      <c r="A12" s="210" t="s">
        <v>109</v>
      </c>
      <c r="B12" s="120">
        <f>11369</f>
        <v>11369</v>
      </c>
      <c r="C12" s="120">
        <f>1217</f>
        <v>1217</v>
      </c>
      <c r="D12" s="122">
        <f t="shared" si="0"/>
        <v>10152</v>
      </c>
      <c r="F12" s="129" t="s">
        <v>109</v>
      </c>
      <c r="G12" s="120">
        <f>11371</f>
        <v>11371</v>
      </c>
      <c r="H12" s="120">
        <f>1217</f>
        <v>1217</v>
      </c>
      <c r="I12" s="128">
        <f t="shared" si="1"/>
        <v>10154</v>
      </c>
      <c r="K12" s="128">
        <f t="shared" si="2"/>
        <v>2</v>
      </c>
    </row>
    <row r="13" spans="1:11" x14ac:dyDescent="0.3">
      <c r="A13" s="210" t="s">
        <v>107</v>
      </c>
      <c r="B13" s="120">
        <f>32812+4409</f>
        <v>37221</v>
      </c>
      <c r="C13" s="120">
        <f>6077</f>
        <v>6077</v>
      </c>
      <c r="D13" s="122">
        <f t="shared" si="0"/>
        <v>31144</v>
      </c>
      <c r="F13" s="129" t="s">
        <v>107</v>
      </c>
      <c r="G13" s="120">
        <f>32812+4409</f>
        <v>37221</v>
      </c>
      <c r="H13" s="120">
        <f>6077</f>
        <v>6077</v>
      </c>
      <c r="I13" s="128">
        <f t="shared" si="1"/>
        <v>31144</v>
      </c>
      <c r="K13" s="128">
        <f t="shared" si="2"/>
        <v>0</v>
      </c>
    </row>
    <row r="14" spans="1:11" x14ac:dyDescent="0.3">
      <c r="A14" s="210" t="s">
        <v>105</v>
      </c>
      <c r="B14" s="120">
        <f>13571</f>
        <v>13571</v>
      </c>
      <c r="C14" s="120">
        <f>1773</f>
        <v>1773</v>
      </c>
      <c r="D14" s="122">
        <f t="shared" si="0"/>
        <v>11798</v>
      </c>
      <c r="F14" s="129" t="s">
        <v>105</v>
      </c>
      <c r="G14" s="120">
        <f>13571</f>
        <v>13571</v>
      </c>
      <c r="H14" s="120">
        <f>1773</f>
        <v>1773</v>
      </c>
      <c r="I14" s="128">
        <f t="shared" si="1"/>
        <v>11798</v>
      </c>
      <c r="K14" s="128">
        <f t="shared" si="2"/>
        <v>0</v>
      </c>
    </row>
    <row r="15" spans="1:11" x14ac:dyDescent="0.3">
      <c r="A15" s="210" t="s">
        <v>104</v>
      </c>
      <c r="B15" s="120">
        <f>15249+9614+292</f>
        <v>25155</v>
      </c>
      <c r="C15" s="120">
        <f>2014</f>
        <v>2014</v>
      </c>
      <c r="D15" s="122">
        <f t="shared" si="0"/>
        <v>23141</v>
      </c>
      <c r="F15" s="129" t="s">
        <v>104</v>
      </c>
      <c r="G15" s="120">
        <f>15249+9614+292</f>
        <v>25155</v>
      </c>
      <c r="H15" s="120">
        <f>2014</f>
        <v>2014</v>
      </c>
      <c r="I15" s="128">
        <f t="shared" si="1"/>
        <v>23141</v>
      </c>
      <c r="K15" s="128">
        <f t="shared" si="2"/>
        <v>0</v>
      </c>
    </row>
    <row r="16" spans="1:11" x14ac:dyDescent="0.3">
      <c r="A16" s="210" t="s">
        <v>103</v>
      </c>
      <c r="B16" s="120">
        <f>14812+251+1582</f>
        <v>16645</v>
      </c>
      <c r="C16" s="120">
        <f>2523</f>
        <v>2523</v>
      </c>
      <c r="D16" s="122">
        <f t="shared" si="0"/>
        <v>14122</v>
      </c>
      <c r="F16" s="129" t="s">
        <v>103</v>
      </c>
      <c r="G16" s="120">
        <f>14812+251+1582</f>
        <v>16645</v>
      </c>
      <c r="H16" s="120">
        <f>2523</f>
        <v>2523</v>
      </c>
      <c r="I16" s="128">
        <f t="shared" si="1"/>
        <v>14122</v>
      </c>
      <c r="K16" s="128">
        <f t="shared" si="2"/>
        <v>0</v>
      </c>
    </row>
    <row r="17" spans="1:11" x14ac:dyDescent="0.3">
      <c r="A17" s="210" t="s">
        <v>117</v>
      </c>
      <c r="B17" s="120">
        <f>9800+1018</f>
        <v>10818</v>
      </c>
      <c r="C17" s="120">
        <f>451+44</f>
        <v>495</v>
      </c>
      <c r="D17" s="122">
        <f t="shared" si="0"/>
        <v>10323</v>
      </c>
      <c r="F17" s="129" t="s">
        <v>117</v>
      </c>
      <c r="G17" s="120">
        <f>9800+1018</f>
        <v>10818</v>
      </c>
      <c r="H17" s="120">
        <f>451+44</f>
        <v>495</v>
      </c>
      <c r="I17" s="128">
        <f t="shared" si="1"/>
        <v>10323</v>
      </c>
      <c r="K17" s="128">
        <f t="shared" si="2"/>
        <v>0</v>
      </c>
    </row>
    <row r="18" spans="1:11" x14ac:dyDescent="0.3">
      <c r="A18" s="210" t="s">
        <v>113</v>
      </c>
      <c r="B18" s="120">
        <f>15509+3678</f>
        <v>19187</v>
      </c>
      <c r="C18" s="120">
        <f>2956</f>
        <v>2956</v>
      </c>
      <c r="D18" s="122">
        <f t="shared" si="0"/>
        <v>16231</v>
      </c>
      <c r="F18" s="129" t="s">
        <v>113</v>
      </c>
      <c r="G18" s="120">
        <f>15511+3678</f>
        <v>19189</v>
      </c>
      <c r="H18" s="120">
        <f>2958</f>
        <v>2958</v>
      </c>
      <c r="I18" s="128">
        <f t="shared" si="1"/>
        <v>16231</v>
      </c>
      <c r="K18" s="128">
        <f t="shared" si="2"/>
        <v>0</v>
      </c>
    </row>
    <row r="19" spans="1:11" x14ac:dyDescent="0.3">
      <c r="A19" s="210" t="s">
        <v>102</v>
      </c>
      <c r="B19" s="120">
        <f>13569</f>
        <v>13569</v>
      </c>
      <c r="C19" s="120">
        <f>2210</f>
        <v>2210</v>
      </c>
      <c r="D19" s="122">
        <f t="shared" si="0"/>
        <v>11359</v>
      </c>
      <c r="F19" s="129" t="s">
        <v>102</v>
      </c>
      <c r="G19" s="120">
        <f>13569</f>
        <v>13569</v>
      </c>
      <c r="H19" s="120">
        <f>2210</f>
        <v>2210</v>
      </c>
      <c r="I19" s="128">
        <f t="shared" si="1"/>
        <v>11359</v>
      </c>
      <c r="K19" s="128">
        <f t="shared" si="2"/>
        <v>0</v>
      </c>
    </row>
    <row r="20" spans="1:11" s="124" customFormat="1" x14ac:dyDescent="0.3">
      <c r="A20" s="209" t="s">
        <v>101</v>
      </c>
      <c r="B20" s="126">
        <f>94180+12953</f>
        <v>107133</v>
      </c>
      <c r="C20" s="126">
        <f>5334</f>
        <v>5334</v>
      </c>
      <c r="D20" s="208">
        <f t="shared" si="0"/>
        <v>101799</v>
      </c>
      <c r="F20" s="127" t="s">
        <v>101</v>
      </c>
      <c r="G20" s="126">
        <f>94719+60+12953</f>
        <v>107732</v>
      </c>
      <c r="H20" s="126">
        <f>5334</f>
        <v>5334</v>
      </c>
      <c r="I20" s="125">
        <f t="shared" si="1"/>
        <v>102398</v>
      </c>
      <c r="K20" s="125">
        <f t="shared" si="2"/>
        <v>599</v>
      </c>
    </row>
    <row r="21" spans="1:11" s="121" customFormat="1" x14ac:dyDescent="0.3">
      <c r="A21" s="123" t="s">
        <v>122</v>
      </c>
      <c r="B21" s="120">
        <f>SUM(B4:B20)</f>
        <v>394186</v>
      </c>
      <c r="C21" s="120">
        <f>SUM(C4:C20)</f>
        <v>43295</v>
      </c>
      <c r="D21" s="122">
        <f t="shared" si="0"/>
        <v>350891</v>
      </c>
      <c r="F21" s="123" t="s">
        <v>122</v>
      </c>
      <c r="G21" s="120">
        <f>SUM(G4:G20)</f>
        <v>394930</v>
      </c>
      <c r="H21" s="120">
        <f>SUM(H4:H20)</f>
        <v>43305</v>
      </c>
      <c r="I21" s="122">
        <f t="shared" si="1"/>
        <v>351625</v>
      </c>
      <c r="K21" s="122">
        <f>SUM(K4:K20)</f>
        <v>734</v>
      </c>
    </row>
    <row r="23" spans="1:11" x14ac:dyDescent="0.3">
      <c r="I23" s="128">
        <f>I21-D21</f>
        <v>734</v>
      </c>
    </row>
    <row r="24" spans="1:11" x14ac:dyDescent="0.3">
      <c r="I24" s="207">
        <f>I23/D21</f>
        <v>2.0918176869740178E-3</v>
      </c>
    </row>
  </sheetData>
  <pageMargins left="0.45" right="0.45" top="0.75" bottom="0.75" header="0.3" footer="0.3"/>
  <pageSetup orientation="portrait" r:id="rId1"/>
  <headerFooter>
    <oddFooter>&amp;L&amp;9&amp;Z&amp;F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$100,000DSH</vt:lpstr>
      <vt:lpstr>SFY16_GMEsummary</vt:lpstr>
      <vt:lpstr>SFY16_GME</vt:lpstr>
      <vt:lpstr>Days_16GME</vt:lpstr>
      <vt:lpstr>SFY15 GME Summary</vt:lpstr>
      <vt:lpstr>Orig GME SFY15</vt:lpstr>
      <vt:lpstr>Corrected GME SFY15</vt:lpstr>
      <vt:lpstr>Days_15GME</vt:lpstr>
      <vt:lpstr>'$100,000DSH'!main_content</vt:lpstr>
      <vt:lpstr>'$100,000DSH'!Print_Area</vt:lpstr>
      <vt:lpstr>'Corrected GME SFY15'!Print_Area</vt:lpstr>
      <vt:lpstr>'Orig GME SFY15'!Print_Area</vt:lpstr>
      <vt:lpstr>'SFY15 GME Summary'!Print_Area</vt:lpstr>
      <vt:lpstr>SFY16_GME!Print_Area</vt:lpstr>
      <vt:lpstr>SFY16_GMEsummary!Print_Area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Hudson, James M</cp:lastModifiedBy>
  <dcterms:created xsi:type="dcterms:W3CDTF">2015-09-21T13:32:29Z</dcterms:created>
  <dcterms:modified xsi:type="dcterms:W3CDTF">2017-06-15T19:05:40Z</dcterms:modified>
</cp:coreProperties>
</file>