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120" windowWidth="18195" windowHeight="12330" activeTab="1"/>
  </bookViews>
  <sheets>
    <sheet name="Legislation" sheetId="24" r:id="rId1"/>
    <sheet name="Summary 2019" sheetId="29" r:id="rId2"/>
    <sheet name="IP Supp Combo" sheetId="5" r:id="rId3"/>
    <sheet name="Small" sheetId="4" state="hidden" r:id="rId4"/>
    <sheet name="Small Rev" sheetId="30" r:id="rId5"/>
    <sheet name="Mid" sheetId="11" r:id="rId6"/>
    <sheet name="OP Supp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2">#REF!</definedName>
    <definedName name="\p" localSheetId="5">#REF!</definedName>
    <definedName name="\p" localSheetId="4">#REF!</definedName>
    <definedName name="\p" localSheetId="1">#REF!</definedName>
    <definedName name="\p">#REF!</definedName>
    <definedName name="\s" localSheetId="2">#REF!</definedName>
    <definedName name="\s" localSheetId="5">#REF!</definedName>
    <definedName name="\s" localSheetId="4">#REF!</definedName>
    <definedName name="\s" localSheetId="1">#REF!</definedName>
    <definedName name="\s">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localSheetId="1" hidden="1">#REF!</definedName>
    <definedName name="_Fill" hidden="1">#REF!</definedName>
    <definedName name="_fy13" localSheetId="5">#REF!</definedName>
    <definedName name="_fy13" localSheetId="4">#REF!</definedName>
    <definedName name="_fy13" localSheetId="1">#REF!</definedName>
    <definedName name="_fy13">#REF!</definedName>
    <definedName name="_T2" localSheetId="5">#REF!</definedName>
    <definedName name="_T2" localSheetId="4">#REF!</definedName>
    <definedName name="_T2" localSheetId="1">#REF!</definedName>
    <definedName name="_T2">#REF!</definedName>
    <definedName name="_t3" localSheetId="2">#REF!</definedName>
    <definedName name="_t3" localSheetId="5">#REF!</definedName>
    <definedName name="_t3" localSheetId="4">#REF!</definedName>
    <definedName name="_t3" localSheetId="1">#REF!</definedName>
    <definedName name="_t3">#REF!</definedName>
    <definedName name="A" localSheetId="2">#REF!</definedName>
    <definedName name="A" localSheetId="5">#REF!</definedName>
    <definedName name="A" localSheetId="4">#REF!</definedName>
    <definedName name="A" localSheetId="1">#REF!</definedName>
    <definedName name="A">#REF!</definedName>
    <definedName name="BaseRates" localSheetId="5">#REF!</definedName>
    <definedName name="BaseRates" localSheetId="4">#REF!</definedName>
    <definedName name="BaseRates" localSheetId="1">#REF!</definedName>
    <definedName name="BaseRates">#REF!</definedName>
    <definedName name="CAT_SUMM" localSheetId="5">#REF!</definedName>
    <definedName name="CAT_SUMM" localSheetId="4">#REF!</definedName>
    <definedName name="CAT_SUMM" localSheetId="1">#REF!</definedName>
    <definedName name="CAT_SUMM">#REF!</definedName>
    <definedName name="codes" localSheetId="2">#REF!</definedName>
    <definedName name="codes" localSheetId="5">#REF!</definedName>
    <definedName name="codes" localSheetId="4">#REF!</definedName>
    <definedName name="codes" localSheetId="1">#REF!</definedName>
    <definedName name="codes">#REF!</definedName>
    <definedName name="COPIES" localSheetId="2">#REF!</definedName>
    <definedName name="COPIES" localSheetId="5">#REF!</definedName>
    <definedName name="COPIES" localSheetId="4">#REF!</definedName>
    <definedName name="COPIES" localSheetId="1">#REF!</definedName>
    <definedName name="COPIES">#REF!</definedName>
    <definedName name="COSImpact" localSheetId="5">#REF!</definedName>
    <definedName name="COSImpact" localSheetId="4">#REF!</definedName>
    <definedName name="COSImpact" localSheetId="1">#REF!</definedName>
    <definedName name="COSImpact">#REF!</definedName>
    <definedName name="cost2charges" localSheetId="5">#REF!</definedName>
    <definedName name="cost2charges" localSheetId="4">#REF!</definedName>
    <definedName name="cost2charges" localSheetId="1">#REF!</definedName>
    <definedName name="cost2charges">#REF!</definedName>
    <definedName name="COUNTER" localSheetId="2">#REF!</definedName>
    <definedName name="COUNTER" localSheetId="5">#REF!</definedName>
    <definedName name="COUNTER" localSheetId="4">#REF!</definedName>
    <definedName name="COUNTER" localSheetId="1">#REF!</definedName>
    <definedName name="COUNTER">#REF!</definedName>
    <definedName name="crextract">[1]crextract!$A$4:$T$34</definedName>
    <definedName name="CY2001_AllPIPFinal" localSheetId="2">#REF!</definedName>
    <definedName name="CY2001_AllPIPFinal" localSheetId="5">#REF!</definedName>
    <definedName name="CY2001_AllPIPFinal" localSheetId="4">#REF!</definedName>
    <definedName name="CY2001_AllPIPFinal" localSheetId="1">#REF!</definedName>
    <definedName name="CY2001_AllPIPFinal">#REF!</definedName>
    <definedName name="CY2001Summary_Final" localSheetId="2">#REF!</definedName>
    <definedName name="CY2001Summary_Final" localSheetId="5">#REF!</definedName>
    <definedName name="CY2001Summary_Final" localSheetId="4">#REF!</definedName>
    <definedName name="CY2001Summary_Final" localSheetId="1">#REF!</definedName>
    <definedName name="CY2001Summary_Final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>#REF!</definedName>
    <definedName name="DAYS_SUMM" localSheetId="5">#REF!</definedName>
    <definedName name="DAYS_SUMM" localSheetId="4">#REF!</definedName>
    <definedName name="DAYS_SUMM" localSheetId="1">#REF!</definedName>
    <definedName name="DAYS_SUMM">#REF!</definedName>
    <definedName name="Disch_desc">[2]Lists!$G$3:$G$57</definedName>
    <definedName name="DRG_Label" localSheetId="5">#REF!</definedName>
    <definedName name="DRG_Label" localSheetId="4">#REF!</definedName>
    <definedName name="DRG_Label" localSheetId="1">#REF!</definedName>
    <definedName name="DRG_Label">#REF!</definedName>
    <definedName name="DRG_Num">[2]Lists!$A$3:$A$323</definedName>
    <definedName name="DRG_SUMM" localSheetId="5">#REF!</definedName>
    <definedName name="DRG_SUMM" localSheetId="4">#REF!</definedName>
    <definedName name="DRG_SUMM" localSheetId="1">#REF!</definedName>
    <definedName name="DRG_SUMM">#REF!</definedName>
    <definedName name="EnhancedpayChk" localSheetId="5">#REF!</definedName>
    <definedName name="EnhancedpayChk" localSheetId="4">#REF!</definedName>
    <definedName name="EnhancedpayChk" localSheetId="1">#REF!</definedName>
    <definedName name="EnhancedpayChk">#REF!</definedName>
    <definedName name="FFY05_DSH_Query" localSheetId="2">#REF!</definedName>
    <definedName name="FFY05_DSH_Query" localSheetId="5">#REF!</definedName>
    <definedName name="FFY05_DSH_Query" localSheetId="4">#REF!</definedName>
    <definedName name="FFY05_DSH_Query" localSheetId="1">#REF!</definedName>
    <definedName name="FFY05_DSH_Query">#REF!</definedName>
    <definedName name="FFY05_DSH_QUERY_1" localSheetId="2">#REF!</definedName>
    <definedName name="FFY05_DSH_QUERY_1" localSheetId="5">#REF!</definedName>
    <definedName name="FFY05_DSH_QUERY_1" localSheetId="4">#REF!</definedName>
    <definedName name="FFY05_DSH_QUERY_1" localSheetId="1">#REF!</definedName>
    <definedName name="FFY05_DSH_QUERY_1">#REF!</definedName>
    <definedName name="hart." localSheetId="2" hidden="1">#REF!</definedName>
    <definedName name="hart." localSheetId="5" hidden="1">#REF!</definedName>
    <definedName name="hart." localSheetId="4" hidden="1">#REF!</definedName>
    <definedName name="hart." localSheetId="1" hidden="1">#REF!</definedName>
    <definedName name="hart." hidden="1">#REF!</definedName>
    <definedName name="HVASUMRYb" localSheetId="5">#REF!</definedName>
    <definedName name="HVASUMRYb" localSheetId="4">#REF!</definedName>
    <definedName name="HVASUMRYb" localSheetId="1">#REF!</definedName>
    <definedName name="HVASUMRYb">#REF!</definedName>
    <definedName name="IncludeFlag">[3]Lookup!$C$19:$C$20</definedName>
    <definedName name="KY_CORRELATION" localSheetId="5">#REF!</definedName>
    <definedName name="KY_CORRELATION" localSheetId="4">#REF!</definedName>
    <definedName name="KY_CORRELATION" localSheetId="1">#REF!</definedName>
    <definedName name="KY_CORRELATION">#REF!</definedName>
    <definedName name="LABELS" localSheetId="5">#REF!</definedName>
    <definedName name="LABELS" localSheetId="4">#REF!</definedName>
    <definedName name="LABELS" localSheetId="1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5">#REF!</definedName>
    <definedName name="MDC_Label" localSheetId="4">#REF!</definedName>
    <definedName name="MDC_Label" localSheetId="1">#REF!</definedName>
    <definedName name="MDC_Label">#REF!</definedName>
    <definedName name="MMMWEIGHTS_IMPACT_SUMMARY_936" localSheetId="5">#REF!</definedName>
    <definedName name="MMMWEIGHTS_IMPACT_SUMMARY_936" localSheetId="4">#REF!</definedName>
    <definedName name="MMMWEIGHTS_IMPACT_SUMMARY_936" localSheetId="1">#REF!</definedName>
    <definedName name="MMMWEIGHTS_IMPACT_SUMMARY_936">#REF!</definedName>
    <definedName name="NeonateSUMRY2b" localSheetId="5">#REF!</definedName>
    <definedName name="NeonateSUMRY2b" localSheetId="4">#REF!</definedName>
    <definedName name="NeonateSUMRY2b" localSheetId="1">#REF!</definedName>
    <definedName name="NeonateSUMRY2b">#REF!</definedName>
    <definedName name="PIP11_PaidMemo" localSheetId="2">#REF!</definedName>
    <definedName name="PIP11_PaidMemo" localSheetId="5">#REF!</definedName>
    <definedName name="PIP11_PaidMemo" localSheetId="4">#REF!</definedName>
    <definedName name="PIP11_PaidMemo" localSheetId="1">#REF!</definedName>
    <definedName name="PIP11_PaidMemo">#REF!</definedName>
    <definedName name="PIP11_PaidMemo_f" localSheetId="2">#REF!</definedName>
    <definedName name="PIP11_PaidMemo_f" localSheetId="5">#REF!</definedName>
    <definedName name="PIP11_PaidMemo_f" localSheetId="4">#REF!</definedName>
    <definedName name="PIP11_PaidMemo_f" localSheetId="1">#REF!</definedName>
    <definedName name="PIP11_PaidMemo_f">#REF!</definedName>
    <definedName name="PIP11_PaidMemo_final" localSheetId="2">#REF!</definedName>
    <definedName name="PIP11_PaidMemo_final" localSheetId="5">#REF!</definedName>
    <definedName name="PIP11_PaidMemo_final" localSheetId="4">#REF!</definedName>
    <definedName name="PIP11_PaidMemo_final" localSheetId="1">#REF!</definedName>
    <definedName name="PIP11_PaidMemo_final">#REF!</definedName>
    <definedName name="PIP11_PaidMemo_final_n" localSheetId="2">#REF!</definedName>
    <definedName name="PIP11_PaidMemo_final_n" localSheetId="5">#REF!</definedName>
    <definedName name="PIP11_PaidMemo_final_n" localSheetId="4">#REF!</definedName>
    <definedName name="PIP11_PaidMemo_final_n" localSheetId="1">#REF!</definedName>
    <definedName name="PIP11_PaidMemo_final_n">#REF!</definedName>
    <definedName name="PIP12_PaidMemo_f" localSheetId="2">#REF!</definedName>
    <definedName name="PIP12_PaidMemo_f" localSheetId="5">#REF!</definedName>
    <definedName name="PIP12_PaidMemo_f" localSheetId="4">#REF!</definedName>
    <definedName name="PIP12_PaidMemo_f" localSheetId="1">#REF!</definedName>
    <definedName name="PIP12_PaidMemo_f">#REF!</definedName>
    <definedName name="PIP12_PaidMemo_final" localSheetId="2">#REF!</definedName>
    <definedName name="PIP12_PaidMemo_final" localSheetId="5">#REF!</definedName>
    <definedName name="PIP12_PaidMemo_final" localSheetId="4">#REF!</definedName>
    <definedName name="PIP12_PaidMemo_final" localSheetId="1">#REF!</definedName>
    <definedName name="PIP12_PaidMemo_final">#REF!</definedName>
    <definedName name="PIP12_PaidMemo_final_n" localSheetId="2">#REF!</definedName>
    <definedName name="PIP12_PaidMemo_final_n" localSheetId="5">#REF!</definedName>
    <definedName name="PIP12_PaidMemo_final_n" localSheetId="4">#REF!</definedName>
    <definedName name="PIP12_PaidMemo_final_n" localSheetId="1">#REF!</definedName>
    <definedName name="PIP12_PaidMemo_final_n">#REF!</definedName>
    <definedName name="PIP13_PaidMemo_f" localSheetId="2">#REF!</definedName>
    <definedName name="PIP13_PaidMemo_f" localSheetId="5">#REF!</definedName>
    <definedName name="PIP13_PaidMemo_f" localSheetId="4">#REF!</definedName>
    <definedName name="PIP13_PaidMemo_f" localSheetId="1">#REF!</definedName>
    <definedName name="PIP13_PaidMemo_f">#REF!</definedName>
    <definedName name="PIP13_PaidMemo_final" localSheetId="2">#REF!</definedName>
    <definedName name="PIP13_PaidMemo_final" localSheetId="5">#REF!</definedName>
    <definedName name="PIP13_PaidMemo_final" localSheetId="4">#REF!</definedName>
    <definedName name="PIP13_PaidMemo_final" localSheetId="1">#REF!</definedName>
    <definedName name="PIP13_PaidMemo_final">#REF!</definedName>
    <definedName name="PIP13_PaidMemo_final_n" localSheetId="2">#REF!</definedName>
    <definedName name="PIP13_PaidMemo_final_n" localSheetId="5">#REF!</definedName>
    <definedName name="PIP13_PaidMemo_final_n" localSheetId="4">#REF!</definedName>
    <definedName name="PIP13_PaidMemo_final_n" localSheetId="1">#REF!</definedName>
    <definedName name="PIP13_PaidMemo_final_n">#REF!</definedName>
    <definedName name="PIP14_PaidMemo_f" localSheetId="2">#REF!</definedName>
    <definedName name="PIP14_PaidMemo_f" localSheetId="5">#REF!</definedName>
    <definedName name="PIP14_PaidMemo_f" localSheetId="4">#REF!</definedName>
    <definedName name="PIP14_PaidMemo_f" localSheetId="1">#REF!</definedName>
    <definedName name="PIP14_PaidMemo_f">#REF!</definedName>
    <definedName name="PIP14_PaidMemo_final" localSheetId="2">#REF!</definedName>
    <definedName name="PIP14_PaidMemo_final" localSheetId="5">#REF!</definedName>
    <definedName name="PIP14_PaidMemo_final" localSheetId="4">#REF!</definedName>
    <definedName name="PIP14_PaidMemo_final" localSheetId="1">#REF!</definedName>
    <definedName name="PIP14_PaidMemo_final">#REF!</definedName>
    <definedName name="PIP14_PaidMemo_final_n" localSheetId="2">#REF!</definedName>
    <definedName name="PIP14_PaidMemo_final_n" localSheetId="5">#REF!</definedName>
    <definedName name="PIP14_PaidMemo_final_n" localSheetId="4">#REF!</definedName>
    <definedName name="PIP14_PaidMemo_final_n" localSheetId="1">#REF!</definedName>
    <definedName name="PIP14_PaidMemo_final_n">#REF!</definedName>
    <definedName name="PolicyImpact" localSheetId="5">#REF!</definedName>
    <definedName name="PolicyImpact" localSheetId="4">#REF!</definedName>
    <definedName name="PolicyImpact" localSheetId="1">#REF!</definedName>
    <definedName name="PolicyImpact">#REF!</definedName>
    <definedName name="pps_3std" localSheetId="5">#REF!</definedName>
    <definedName name="pps_3std" localSheetId="4">#REF!</definedName>
    <definedName name="pps_3std" localSheetId="1">#REF!</definedName>
    <definedName name="pps_3std">#REF!</definedName>
    <definedName name="PricingCDImpact" localSheetId="5">#REF!</definedName>
    <definedName name="PricingCDImpact" localSheetId="4">#REF!</definedName>
    <definedName name="PricingCDImpact" localSheetId="1">#REF!</definedName>
    <definedName name="PricingCDImpact">#REF!</definedName>
    <definedName name="PRINT" localSheetId="2">#REF!</definedName>
    <definedName name="PRINT" localSheetId="5">#REF!</definedName>
    <definedName name="PRINT" localSheetId="4">#REF!</definedName>
    <definedName name="PRINT" localSheetId="1">#REF!</definedName>
    <definedName name="PRINT">#REF!</definedName>
    <definedName name="_xlnm.Print_Area" localSheetId="2">'IP Supp Combo'!$B$1:$I$37</definedName>
    <definedName name="_xlnm.Print_Area" localSheetId="1">'Summary 2019'!$A$1:$M$36</definedName>
    <definedName name="_xlnm.Print_Area">#REF!</definedName>
    <definedName name="PRINT_AREA_MI" localSheetId="2">#REF!</definedName>
    <definedName name="PRINT_AREA_MI" localSheetId="5">#REF!</definedName>
    <definedName name="PRINT_AREA_MI" localSheetId="4">#REF!</definedName>
    <definedName name="PRINT_AREA_MI" localSheetId="1">#REF!</definedName>
    <definedName name="PRINT_AREA_MI">#REF!</definedName>
    <definedName name="_xlnm.Print_Titles" localSheetId="2">#REF!</definedName>
    <definedName name="_xlnm.Print_Titles">#REF!</definedName>
    <definedName name="PRINT_TITLES_MI" localSheetId="2">#REF!</definedName>
    <definedName name="PRINT_TITLES_MI" localSheetId="5">#REF!</definedName>
    <definedName name="PRINT_TITLES_MI" localSheetId="4">#REF!</definedName>
    <definedName name="PRINT_TITLES_MI" localSheetId="1">#REF!</definedName>
    <definedName name="PRINT_TITLES_MI">#REF!</definedName>
    <definedName name="prov_name">[5]Medicaid!$A$3</definedName>
    <definedName name="PROVIDER_SUMM" localSheetId="5">#REF!</definedName>
    <definedName name="PROVIDER_SUMM" localSheetId="4">#REF!</definedName>
    <definedName name="PROVIDER_SUMM" localSheetId="1">#REF!</definedName>
    <definedName name="PROVIDER_SUMM">#REF!</definedName>
    <definedName name="ProvNum">[6]Main!$A$4</definedName>
    <definedName name="PROVSUMMARY" localSheetId="5">#REF!</definedName>
    <definedName name="PROVSUMMARY" localSheetId="4">#REF!</definedName>
    <definedName name="PROVSUMMARY" localSheetId="1">#REF!</definedName>
    <definedName name="PROVSUMMARY">#REF!</definedName>
    <definedName name="rate" localSheetId="2">#REF!</definedName>
    <definedName name="rate" localSheetId="5">#REF!</definedName>
    <definedName name="rate" localSheetId="4">#REF!</definedName>
    <definedName name="rate" localSheetId="1">#REF!</definedName>
    <definedName name="rate">#REF!</definedName>
    <definedName name="RateTypeAssignment">[3]Lookup!$E$4:$E$39</definedName>
    <definedName name="Sample_Impact_base" localSheetId="5">#REF!</definedName>
    <definedName name="Sample_Impact_base" localSheetId="4">#REF!</definedName>
    <definedName name="Sample_Impact_base" localSheetId="1">#REF!</definedName>
    <definedName name="Sample_Impact_base">#REF!</definedName>
    <definedName name="SOI">[2]Lists!$D$3:$D$6</definedName>
    <definedName name="STATUS_BY_SFY" localSheetId="5">#REF!</definedName>
    <definedName name="STATUS_BY_SFY" localSheetId="4">#REF!</definedName>
    <definedName name="STATUS_BY_SFY" localSheetId="1">#REF!</definedName>
    <definedName name="STATUS_BY_SFY">#REF!</definedName>
    <definedName name="SvcImpact" localSheetId="5">#REF!</definedName>
    <definedName name="SvcImpact" localSheetId="4">#REF!</definedName>
    <definedName name="SvcImpact" localSheetId="1">#REF!</definedName>
    <definedName name="SvcImpact">#REF!</definedName>
    <definedName name="SVCLEVEL" localSheetId="5">#REF!</definedName>
    <definedName name="SVCLEVEL" localSheetId="4">#REF!</definedName>
    <definedName name="SVCLEVEL" localSheetId="1">#REF!</definedName>
    <definedName name="SVCLEVEL">#REF!</definedName>
    <definedName name="SVCSUMRY" localSheetId="5">#REF!</definedName>
    <definedName name="SVCSUMRY" localSheetId="4">#REF!</definedName>
    <definedName name="SVCSUMRY" localSheetId="1">#REF!</definedName>
    <definedName name="SVCSUMRY">#REF!</definedName>
    <definedName name="TblStep_1" localSheetId="2">#REF!</definedName>
    <definedName name="TblStep_1" localSheetId="5">#REF!</definedName>
    <definedName name="TblStep_1" localSheetId="4">#REF!</definedName>
    <definedName name="TblStep_1" localSheetId="1">#REF!</definedName>
    <definedName name="TblStep_1">#REF!</definedName>
    <definedName name="TOTAL" localSheetId="5">#REF!</definedName>
    <definedName name="TOTAL" localSheetId="4">#REF!</definedName>
    <definedName name="TOTAL" localSheetId="1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M42" i="30" l="1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15" i="30"/>
  <c r="L12" i="30"/>
  <c r="K12" i="30"/>
  <c r="J12" i="30"/>
  <c r="J33" i="29"/>
  <c r="C8" i="29" l="1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7" i="29"/>
  <c r="L17" i="30"/>
  <c r="J30" i="30"/>
  <c r="J21" i="30"/>
  <c r="J19" i="30"/>
  <c r="J17" i="30"/>
  <c r="G11" i="30" l="1"/>
  <c r="I42" i="30" l="1"/>
  <c r="C42" i="30"/>
  <c r="D24" i="30" s="1"/>
  <c r="E40" i="30"/>
  <c r="E39" i="30"/>
  <c r="E38" i="30"/>
  <c r="E37" i="30"/>
  <c r="E36" i="30"/>
  <c r="E35" i="30"/>
  <c r="E34" i="30"/>
  <c r="E33" i="30"/>
  <c r="E32" i="30"/>
  <c r="E31" i="30"/>
  <c r="E30" i="30"/>
  <c r="D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D17" i="30"/>
  <c r="E16" i="30"/>
  <c r="E15" i="30"/>
  <c r="D19" i="30" l="1"/>
  <c r="D21" i="30"/>
  <c r="D42" i="30"/>
  <c r="E42" i="30"/>
  <c r="F30" i="30" s="1"/>
  <c r="G30" i="30" s="1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7" i="29"/>
  <c r="E34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9" i="7"/>
  <c r="G11" i="11"/>
  <c r="F8" i="29" s="1"/>
  <c r="G15" i="11"/>
  <c r="F12" i="29" s="1"/>
  <c r="G18" i="11"/>
  <c r="F15" i="29" s="1"/>
  <c r="G19" i="11"/>
  <c r="F16" i="29" s="1"/>
  <c r="G23" i="11"/>
  <c r="F21" i="29" s="1"/>
  <c r="G26" i="11"/>
  <c r="F23" i="29" s="1"/>
  <c r="G27" i="11"/>
  <c r="F24" i="29" s="1"/>
  <c r="G31" i="11"/>
  <c r="F27" i="29" s="1"/>
  <c r="G34" i="11"/>
  <c r="F31" i="29" s="1"/>
  <c r="G35" i="11"/>
  <c r="F32" i="29" s="1"/>
  <c r="G12" i="11"/>
  <c r="F9" i="29" s="1"/>
  <c r="E10" i="11"/>
  <c r="E37" i="11" s="1"/>
  <c r="F10" i="11" s="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K30" i="30" l="1"/>
  <c r="L30" i="30" s="1"/>
  <c r="F36" i="30"/>
  <c r="G36" i="30" s="1"/>
  <c r="F24" i="30"/>
  <c r="G24" i="30" s="1"/>
  <c r="F34" i="30"/>
  <c r="G34" i="30" s="1"/>
  <c r="F28" i="30"/>
  <c r="G28" i="30" s="1"/>
  <c r="F18" i="30"/>
  <c r="G18" i="30" s="1"/>
  <c r="F23" i="30"/>
  <c r="G23" i="30" s="1"/>
  <c r="F32" i="30"/>
  <c r="G32" i="30" s="1"/>
  <c r="F26" i="30"/>
  <c r="G26" i="30" s="1"/>
  <c r="F16" i="30"/>
  <c r="G16" i="30" s="1"/>
  <c r="F29" i="30"/>
  <c r="G29" i="30" s="1"/>
  <c r="F27" i="30"/>
  <c r="G27" i="30" s="1"/>
  <c r="F25" i="30"/>
  <c r="G25" i="30" s="1"/>
  <c r="F20" i="30"/>
  <c r="G20" i="30" s="1"/>
  <c r="F15" i="30"/>
  <c r="F37" i="30"/>
  <c r="G37" i="30" s="1"/>
  <c r="F31" i="30"/>
  <c r="G31" i="30" s="1"/>
  <c r="F17" i="30"/>
  <c r="G17" i="30" s="1"/>
  <c r="F39" i="30"/>
  <c r="G39" i="30" s="1"/>
  <c r="F35" i="30"/>
  <c r="G35" i="30" s="1"/>
  <c r="F33" i="30"/>
  <c r="G33" i="30" s="1"/>
  <c r="F22" i="30"/>
  <c r="G22" i="30" s="1"/>
  <c r="F38" i="30"/>
  <c r="G38" i="30" s="1"/>
  <c r="F21" i="30"/>
  <c r="G21" i="30" s="1"/>
  <c r="K21" i="30" s="1"/>
  <c r="L21" i="30" s="1"/>
  <c r="F40" i="30"/>
  <c r="G40" i="30" s="1"/>
  <c r="F19" i="30"/>
  <c r="G19" i="30" s="1"/>
  <c r="K19" i="30" s="1"/>
  <c r="L19" i="30" s="1"/>
  <c r="G30" i="11"/>
  <c r="F26" i="29" s="1"/>
  <c r="G22" i="11"/>
  <c r="F19" i="29" s="1"/>
  <c r="G14" i="11"/>
  <c r="F11" i="29" s="1"/>
  <c r="G33" i="11"/>
  <c r="F30" i="29" s="1"/>
  <c r="G29" i="11"/>
  <c r="F25" i="29" s="1"/>
  <c r="G25" i="11"/>
  <c r="F22" i="29" s="1"/>
  <c r="G21" i="11"/>
  <c r="F18" i="29" s="1"/>
  <c r="G17" i="11"/>
  <c r="F14" i="29" s="1"/>
  <c r="G13" i="11"/>
  <c r="F10" i="29" s="1"/>
  <c r="G10" i="11"/>
  <c r="F7" i="29" s="1"/>
  <c r="G32" i="11"/>
  <c r="F29" i="29" s="1"/>
  <c r="G28" i="11"/>
  <c r="F28" i="29" s="1"/>
  <c r="G24" i="11"/>
  <c r="F20" i="29" s="1"/>
  <c r="G20" i="11"/>
  <c r="F17" i="29" s="1"/>
  <c r="G16" i="11"/>
  <c r="F13" i="29" s="1"/>
  <c r="G33" i="29"/>
  <c r="F28" i="11"/>
  <c r="F12" i="11"/>
  <c r="F32" i="11"/>
  <c r="F24" i="11"/>
  <c r="F20" i="11"/>
  <c r="F16" i="11"/>
  <c r="F35" i="11"/>
  <c r="F31" i="11"/>
  <c r="F27" i="11"/>
  <c r="F23" i="11"/>
  <c r="F19" i="11"/>
  <c r="F15" i="11"/>
  <c r="F11" i="11"/>
  <c r="F33" i="11"/>
  <c r="F29" i="11"/>
  <c r="F25" i="11"/>
  <c r="F21" i="11"/>
  <c r="F17" i="11"/>
  <c r="F13" i="11"/>
  <c r="F34" i="11"/>
  <c r="F30" i="11"/>
  <c r="F26" i="11"/>
  <c r="F22" i="11"/>
  <c r="F18" i="11"/>
  <c r="F14" i="11"/>
  <c r="J42" i="30" l="1"/>
  <c r="K17" i="30"/>
  <c r="K42" i="30" s="1"/>
  <c r="F42" i="30"/>
  <c r="G15" i="30"/>
  <c r="G42" i="30" s="1"/>
  <c r="F33" i="29"/>
  <c r="F37" i="11"/>
  <c r="G37" i="11"/>
  <c r="F26" i="5" l="1"/>
  <c r="F27" i="5"/>
  <c r="F28" i="5"/>
  <c r="F29" i="5"/>
  <c r="F30" i="5"/>
  <c r="F31" i="5"/>
  <c r="F32" i="5"/>
  <c r="F33" i="5"/>
  <c r="F34" i="5"/>
  <c r="F35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0" i="5"/>
  <c r="L42" i="30" l="1"/>
  <c r="F36" i="5"/>
  <c r="G11" i="5" s="1"/>
  <c r="H11" i="5" s="1"/>
  <c r="D8" i="29" s="1"/>
  <c r="G30" i="5" l="1"/>
  <c r="H30" i="5" s="1"/>
  <c r="D27" i="29" s="1"/>
  <c r="G14" i="4"/>
  <c r="G18" i="4"/>
  <c r="G22" i="4"/>
  <c r="G26" i="4"/>
  <c r="G30" i="4"/>
  <c r="G34" i="4"/>
  <c r="G17" i="4"/>
  <c r="G25" i="4"/>
  <c r="G33" i="4"/>
  <c r="G11" i="4"/>
  <c r="G15" i="4"/>
  <c r="G19" i="4"/>
  <c r="G23" i="4"/>
  <c r="G27" i="4"/>
  <c r="G31" i="4"/>
  <c r="G35" i="4"/>
  <c r="G12" i="4"/>
  <c r="G16" i="4"/>
  <c r="G20" i="4"/>
  <c r="G24" i="4"/>
  <c r="G28" i="4"/>
  <c r="G32" i="4"/>
  <c r="G10" i="4"/>
  <c r="G13" i="4"/>
  <c r="G21" i="4"/>
  <c r="G29" i="4"/>
  <c r="G35" i="5"/>
  <c r="H35" i="5" s="1"/>
  <c r="D32" i="29" s="1"/>
  <c r="G24" i="5"/>
  <c r="H24" i="5" s="1"/>
  <c r="D21" i="29" s="1"/>
  <c r="G23" i="5"/>
  <c r="H23" i="5" s="1"/>
  <c r="D20" i="29" s="1"/>
  <c r="G33" i="5"/>
  <c r="H33" i="5" s="1"/>
  <c r="D30" i="29" s="1"/>
  <c r="G17" i="5"/>
  <c r="H17" i="5" s="1"/>
  <c r="D14" i="29" s="1"/>
  <c r="G34" i="5"/>
  <c r="H34" i="5" s="1"/>
  <c r="D31" i="29" s="1"/>
  <c r="G14" i="5"/>
  <c r="H14" i="5" s="1"/>
  <c r="D11" i="29" s="1"/>
  <c r="G29" i="5"/>
  <c r="H29" i="5" s="1"/>
  <c r="D26" i="29" s="1"/>
  <c r="G13" i="5"/>
  <c r="H13" i="5" s="1"/>
  <c r="D10" i="29" s="1"/>
  <c r="G20" i="5"/>
  <c r="H20" i="5" s="1"/>
  <c r="D17" i="29" s="1"/>
  <c r="G19" i="5"/>
  <c r="H19" i="5" s="1"/>
  <c r="D16" i="29" s="1"/>
  <c r="G10" i="5"/>
  <c r="H10" i="5" s="1"/>
  <c r="D7" i="29" s="1"/>
  <c r="G27" i="5"/>
  <c r="H27" i="5" s="1"/>
  <c r="D24" i="29" s="1"/>
  <c r="G18" i="5"/>
  <c r="H18" i="5" s="1"/>
  <c r="D15" i="29" s="1"/>
  <c r="G25" i="5"/>
  <c r="H25" i="5" s="1"/>
  <c r="D22" i="29" s="1"/>
  <c r="G32" i="5"/>
  <c r="H32" i="5" s="1"/>
  <c r="D29" i="29" s="1"/>
  <c r="G16" i="5"/>
  <c r="H16" i="5" s="1"/>
  <c r="D13" i="29" s="1"/>
  <c r="G15" i="5"/>
  <c r="H15" i="5" s="1"/>
  <c r="D12" i="29" s="1"/>
  <c r="G26" i="5"/>
  <c r="H26" i="5" s="1"/>
  <c r="D23" i="29" s="1"/>
  <c r="G31" i="5"/>
  <c r="H31" i="5" s="1"/>
  <c r="D28" i="29" s="1"/>
  <c r="G22" i="5"/>
  <c r="H22" i="5" s="1"/>
  <c r="D19" i="29" s="1"/>
  <c r="G21" i="5"/>
  <c r="H21" i="5" s="1"/>
  <c r="D18" i="29" s="1"/>
  <c r="G28" i="5"/>
  <c r="H28" i="5" s="1"/>
  <c r="D25" i="29" s="1"/>
  <c r="G12" i="5"/>
  <c r="H12" i="5" s="1"/>
  <c r="D9" i="29" s="1"/>
  <c r="D33" i="29" l="1"/>
  <c r="C33" i="29"/>
  <c r="H36" i="5"/>
  <c r="G36" i="5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10" i="4"/>
  <c r="E37" i="4" l="1"/>
  <c r="F29" i="4" s="1"/>
  <c r="F13" i="4"/>
  <c r="F21" i="4"/>
  <c r="F17" i="4"/>
  <c r="F25" i="4"/>
  <c r="F33" i="4"/>
  <c r="F24" i="4"/>
  <c r="F16" i="4"/>
  <c r="F35" i="4"/>
  <c r="F27" i="4"/>
  <c r="F23" i="4"/>
  <c r="F19" i="4"/>
  <c r="F32" i="4"/>
  <c r="F20" i="4"/>
  <c r="F12" i="4"/>
  <c r="F34" i="4"/>
  <c r="F30" i="4"/>
  <c r="F26" i="4"/>
  <c r="F22" i="4"/>
  <c r="F18" i="4"/>
  <c r="F14" i="4"/>
  <c r="F10" i="4"/>
  <c r="F15" i="4" l="1"/>
  <c r="F31" i="4"/>
  <c r="F28" i="4"/>
  <c r="F11" i="4"/>
  <c r="F37" i="4" s="1"/>
  <c r="D36" i="5" l="1"/>
  <c r="E34" i="5" s="1"/>
  <c r="I34" i="5" s="1"/>
  <c r="E31" i="29" s="1"/>
  <c r="E8" i="5"/>
  <c r="E6" i="5"/>
  <c r="E5" i="5"/>
  <c r="E4" i="5"/>
  <c r="C37" i="11"/>
  <c r="D34" i="11" s="1"/>
  <c r="O37" i="4"/>
  <c r="N37" i="4"/>
  <c r="C37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D25" i="4"/>
  <c r="H25" i="4" s="1"/>
  <c r="I24" i="4"/>
  <c r="H24" i="4"/>
  <c r="I23" i="4"/>
  <c r="H23" i="4"/>
  <c r="I22" i="4"/>
  <c r="H22" i="4"/>
  <c r="I21" i="4"/>
  <c r="H21" i="4"/>
  <c r="I20" i="4"/>
  <c r="H20" i="4"/>
  <c r="H19" i="4"/>
  <c r="D19" i="4"/>
  <c r="I19" i="4" s="1"/>
  <c r="I18" i="4"/>
  <c r="H18" i="4"/>
  <c r="I17" i="4"/>
  <c r="H17" i="4"/>
  <c r="D16" i="4"/>
  <c r="I16" i="4" s="1"/>
  <c r="I15" i="4"/>
  <c r="H15" i="4"/>
  <c r="H14" i="4"/>
  <c r="D14" i="4"/>
  <c r="I14" i="4" s="1"/>
  <c r="I13" i="4"/>
  <c r="H13" i="4"/>
  <c r="I12" i="4"/>
  <c r="I37" i="4" s="1"/>
  <c r="D12" i="4"/>
  <c r="H12" i="4" s="1"/>
  <c r="I11" i="4"/>
  <c r="H11" i="4"/>
  <c r="I10" i="4"/>
  <c r="H10" i="4"/>
  <c r="B35" i="7"/>
  <c r="C33" i="7" s="1"/>
  <c r="C26" i="7"/>
  <c r="C15" i="7"/>
  <c r="C10" i="7"/>
  <c r="H31" i="29" l="1"/>
  <c r="M31" i="29" s="1"/>
  <c r="K31" i="29"/>
  <c r="L31" i="29" s="1"/>
  <c r="D17" i="11"/>
  <c r="D19" i="11"/>
  <c r="D11" i="11"/>
  <c r="D33" i="11"/>
  <c r="D27" i="11"/>
  <c r="D25" i="11"/>
  <c r="D13" i="11"/>
  <c r="D21" i="11"/>
  <c r="D29" i="11"/>
  <c r="D15" i="11"/>
  <c r="D23" i="11"/>
  <c r="D31" i="11"/>
  <c r="E17" i="5"/>
  <c r="I17" i="5" s="1"/>
  <c r="E14" i="29" s="1"/>
  <c r="E24" i="5"/>
  <c r="I24" i="5" s="1"/>
  <c r="E21" i="29" s="1"/>
  <c r="E33" i="5"/>
  <c r="I33" i="5" s="1"/>
  <c r="E30" i="29" s="1"/>
  <c r="E16" i="5"/>
  <c r="I16" i="5" s="1"/>
  <c r="E13" i="29" s="1"/>
  <c r="E25" i="5"/>
  <c r="I25" i="5" s="1"/>
  <c r="E22" i="29" s="1"/>
  <c r="E32" i="5"/>
  <c r="I32" i="5" s="1"/>
  <c r="E29" i="29" s="1"/>
  <c r="E10" i="5"/>
  <c r="I10" i="5" s="1"/>
  <c r="E7" i="29" s="1"/>
  <c r="K7" i="29" s="1"/>
  <c r="D10" i="7"/>
  <c r="D26" i="7"/>
  <c r="D15" i="7"/>
  <c r="D33" i="7"/>
  <c r="C18" i="7"/>
  <c r="C23" i="7"/>
  <c r="D37" i="4"/>
  <c r="H16" i="4"/>
  <c r="H37" i="4" s="1"/>
  <c r="C31" i="7"/>
  <c r="C9" i="7"/>
  <c r="C12" i="7"/>
  <c r="C17" i="7"/>
  <c r="C20" i="7"/>
  <c r="C25" i="7"/>
  <c r="C28" i="7"/>
  <c r="C11" i="7"/>
  <c r="C14" i="7"/>
  <c r="C19" i="7"/>
  <c r="C22" i="7"/>
  <c r="C27" i="7"/>
  <c r="C30" i="7"/>
  <c r="C34" i="7"/>
  <c r="C13" i="7"/>
  <c r="C16" i="7"/>
  <c r="C21" i="7"/>
  <c r="C24" i="7"/>
  <c r="C29" i="7"/>
  <c r="C32" i="7"/>
  <c r="D12" i="11"/>
  <c r="D16" i="11"/>
  <c r="D20" i="11"/>
  <c r="D24" i="11"/>
  <c r="D28" i="11"/>
  <c r="D32" i="11"/>
  <c r="D10" i="11"/>
  <c r="D14" i="11"/>
  <c r="D18" i="11"/>
  <c r="D22" i="11"/>
  <c r="D26" i="11"/>
  <c r="D30" i="11"/>
  <c r="D35" i="11"/>
  <c r="E19" i="5"/>
  <c r="I19" i="5" s="1"/>
  <c r="E16" i="29" s="1"/>
  <c r="E23" i="5"/>
  <c r="I23" i="5" s="1"/>
  <c r="E20" i="29" s="1"/>
  <c r="E20" i="5"/>
  <c r="I20" i="5" s="1"/>
  <c r="E17" i="29" s="1"/>
  <c r="E21" i="5"/>
  <c r="I21" i="5" s="1"/>
  <c r="E18" i="29" s="1"/>
  <c r="E35" i="5"/>
  <c r="I35" i="5" s="1"/>
  <c r="E32" i="29" s="1"/>
  <c r="E11" i="5"/>
  <c r="I11" i="5" s="1"/>
  <c r="E8" i="29" s="1"/>
  <c r="E12" i="5"/>
  <c r="I12" i="5" s="1"/>
  <c r="E9" i="29" s="1"/>
  <c r="E13" i="5"/>
  <c r="I13" i="5" s="1"/>
  <c r="E10" i="29" s="1"/>
  <c r="E15" i="5"/>
  <c r="I15" i="5" s="1"/>
  <c r="E12" i="29" s="1"/>
  <c r="E27" i="5"/>
  <c r="I27" i="5" s="1"/>
  <c r="E24" i="29" s="1"/>
  <c r="E28" i="5"/>
  <c r="I28" i="5" s="1"/>
  <c r="E25" i="29" s="1"/>
  <c r="E29" i="5"/>
  <c r="I29" i="5" s="1"/>
  <c r="E26" i="29" s="1"/>
  <c r="E31" i="5"/>
  <c r="I31" i="5" s="1"/>
  <c r="E28" i="29" s="1"/>
  <c r="E14" i="5"/>
  <c r="I14" i="5" s="1"/>
  <c r="E11" i="29" s="1"/>
  <c r="E18" i="5"/>
  <c r="I18" i="5" s="1"/>
  <c r="E15" i="29" s="1"/>
  <c r="E22" i="5"/>
  <c r="I22" i="5" s="1"/>
  <c r="E19" i="29" s="1"/>
  <c r="E26" i="5"/>
  <c r="I26" i="5" s="1"/>
  <c r="E23" i="29" s="1"/>
  <c r="E30" i="5"/>
  <c r="I30" i="5" s="1"/>
  <c r="E27" i="29" s="1"/>
  <c r="H27" i="29" l="1"/>
  <c r="K27" i="29"/>
  <c r="L27" i="29" s="1"/>
  <c r="H11" i="29"/>
  <c r="K11" i="29"/>
  <c r="L11" i="29" s="1"/>
  <c r="H20" i="29"/>
  <c r="K20" i="29"/>
  <c r="L20" i="29" s="1"/>
  <c r="H21" i="29"/>
  <c r="K21" i="29"/>
  <c r="L21" i="29" s="1"/>
  <c r="H23" i="29"/>
  <c r="K23" i="29"/>
  <c r="L23" i="29" s="1"/>
  <c r="H32" i="29"/>
  <c r="K32" i="29"/>
  <c r="L32" i="29" s="1"/>
  <c r="H22" i="29"/>
  <c r="K22" i="29"/>
  <c r="L22" i="29" s="1"/>
  <c r="H19" i="29"/>
  <c r="K19" i="29"/>
  <c r="L19" i="29" s="1"/>
  <c r="H26" i="29"/>
  <c r="K26" i="29"/>
  <c r="L26" i="29" s="1"/>
  <c r="H10" i="29"/>
  <c r="K10" i="29"/>
  <c r="L10" i="29" s="1"/>
  <c r="H18" i="29"/>
  <c r="K18" i="29"/>
  <c r="L18" i="29" s="1"/>
  <c r="H13" i="29"/>
  <c r="K13" i="29"/>
  <c r="L13" i="29" s="1"/>
  <c r="H24" i="29"/>
  <c r="K24" i="29"/>
  <c r="L24" i="29" s="1"/>
  <c r="H8" i="29"/>
  <c r="K8" i="29"/>
  <c r="L8" i="29" s="1"/>
  <c r="H29" i="29"/>
  <c r="K29" i="29"/>
  <c r="L29" i="29" s="1"/>
  <c r="H28" i="29"/>
  <c r="K28" i="29"/>
  <c r="L28" i="29" s="1"/>
  <c r="H12" i="29"/>
  <c r="K12" i="29"/>
  <c r="L12" i="29" s="1"/>
  <c r="H16" i="29"/>
  <c r="K16" i="29"/>
  <c r="L16" i="29" s="1"/>
  <c r="H14" i="29"/>
  <c r="K14" i="29"/>
  <c r="L14" i="29" s="1"/>
  <c r="H15" i="29"/>
  <c r="K15" i="29"/>
  <c r="L15" i="29" s="1"/>
  <c r="H25" i="29"/>
  <c r="K25" i="29"/>
  <c r="L25" i="29" s="1"/>
  <c r="H9" i="29"/>
  <c r="K9" i="29"/>
  <c r="L9" i="29" s="1"/>
  <c r="H17" i="29"/>
  <c r="K17" i="29"/>
  <c r="L17" i="29" s="1"/>
  <c r="L7" i="29"/>
  <c r="H30" i="29"/>
  <c r="M30" i="29" s="1"/>
  <c r="K30" i="29"/>
  <c r="L30" i="29" s="1"/>
  <c r="E33" i="29"/>
  <c r="H33" i="29" s="1"/>
  <c r="H35" i="29" s="1"/>
  <c r="H7" i="29"/>
  <c r="D29" i="7"/>
  <c r="D13" i="7"/>
  <c r="D22" i="7"/>
  <c r="D28" i="7"/>
  <c r="D12" i="7"/>
  <c r="D18" i="7"/>
  <c r="D24" i="7"/>
  <c r="D34" i="7"/>
  <c r="D19" i="7"/>
  <c r="D25" i="7"/>
  <c r="D9" i="7"/>
  <c r="D21" i="7"/>
  <c r="D30" i="7"/>
  <c r="D14" i="7"/>
  <c r="D20" i="7"/>
  <c r="D32" i="7"/>
  <c r="D16" i="7"/>
  <c r="D27" i="7"/>
  <c r="D11" i="7"/>
  <c r="D17" i="7"/>
  <c r="D31" i="7"/>
  <c r="D23" i="7"/>
  <c r="C35" i="7"/>
  <c r="J14" i="4"/>
  <c r="D37" i="11"/>
  <c r="J18" i="4"/>
  <c r="J12" i="4"/>
  <c r="J31" i="4"/>
  <c r="J17" i="4"/>
  <c r="J11" i="4"/>
  <c r="J22" i="4"/>
  <c r="J13" i="4"/>
  <c r="J28" i="4"/>
  <c r="J32" i="4"/>
  <c r="J16" i="4"/>
  <c r="J19" i="4"/>
  <c r="J23" i="4"/>
  <c r="J25" i="4"/>
  <c r="J29" i="4"/>
  <c r="J33" i="4"/>
  <c r="G37" i="4"/>
  <c r="J10" i="4"/>
  <c r="J21" i="4"/>
  <c r="J27" i="4"/>
  <c r="J35" i="4"/>
  <c r="J15" i="4"/>
  <c r="J20" i="4"/>
  <c r="J24" i="4"/>
  <c r="J26" i="4"/>
  <c r="J30" i="4"/>
  <c r="J34" i="4"/>
  <c r="E36" i="5"/>
  <c r="M7" i="29" l="1"/>
  <c r="M16" i="29"/>
  <c r="M8" i="29"/>
  <c r="M10" i="29"/>
  <c r="M21" i="29"/>
  <c r="M9" i="29"/>
  <c r="M15" i="29"/>
  <c r="M28" i="29"/>
  <c r="M13" i="29"/>
  <c r="M19" i="29"/>
  <c r="M32" i="29"/>
  <c r="M11" i="29"/>
  <c r="M17" i="29"/>
  <c r="M25" i="29"/>
  <c r="M14" i="29"/>
  <c r="M12" i="29"/>
  <c r="M29" i="29"/>
  <c r="M24" i="29"/>
  <c r="M18" i="29"/>
  <c r="M26" i="29"/>
  <c r="M22" i="29"/>
  <c r="M23" i="29"/>
  <c r="M20" i="29"/>
  <c r="M27" i="29"/>
  <c r="K33" i="29"/>
  <c r="L33" i="29"/>
  <c r="I36" i="5"/>
  <c r="J37" i="4"/>
  <c r="J34" i="29" l="1"/>
  <c r="M33" i="29"/>
  <c r="E35" i="7"/>
  <c r="D35" i="7"/>
</calcChain>
</file>

<file path=xl/sharedStrings.xml><?xml version="1.0" encoding="utf-8"?>
<sst xmlns="http://schemas.openxmlformats.org/spreadsheetml/2006/main" count="496" uniqueCount="117">
  <si>
    <t>Payments</t>
  </si>
  <si>
    <t>Capped</t>
  </si>
  <si>
    <t>OP</t>
  </si>
  <si>
    <t>Supplemental</t>
  </si>
  <si>
    <t>Hospital</t>
  </si>
  <si>
    <t>Total</t>
  </si>
  <si>
    <t>Hospitals</t>
  </si>
  <si>
    <t>Pool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</si>
  <si>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</si>
  <si>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</si>
  <si>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</si>
  <si>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</si>
  <si>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</si>
  <si>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</si>
  <si>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</si>
  <si>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</si>
  <si>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</si>
  <si>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</si>
  <si>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</si>
  <si>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</si>
  <si>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</si>
  <si>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</si>
  <si>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</si>
  <si>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</si>
  <si>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</si>
  <si>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</si>
  <si>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</si>
  <si>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</si>
  <si>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</si>
  <si>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</si>
  <si>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</si>
  <si>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</si>
  <si>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</si>
  <si>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</si>
  <si>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TOTALS</t>
  </si>
  <si>
    <t>Provider ID</t>
  </si>
  <si>
    <t>Medicaid</t>
  </si>
  <si>
    <t>Inpatient</t>
  </si>
  <si>
    <t>New</t>
  </si>
  <si>
    <t>%</t>
  </si>
  <si>
    <t>Payment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</si>
  <si>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</si>
  <si>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</si>
  <si>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</si>
  <si>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</si>
  <si>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</si>
  <si>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</si>
  <si>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</si>
  <si>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</si>
  <si>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</si>
  <si>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</si>
  <si>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</si>
  <si>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</si>
  <si>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004041885</t>
  </si>
  <si>
    <t>004041810</t>
  </si>
  <si>
    <t>004041778</t>
  </si>
  <si>
    <t>004041794</t>
  </si>
  <si>
    <t>004041943</t>
  </si>
  <si>
    <t>004041729</t>
  </si>
  <si>
    <t>004221800</t>
  </si>
  <si>
    <t>004041620</t>
  </si>
  <si>
    <t>004041760</t>
  </si>
  <si>
    <t>004041893</t>
  </si>
  <si>
    <t>004041661</t>
  </si>
  <si>
    <t>004041653</t>
  </si>
  <si>
    <t>004041828</t>
  </si>
  <si>
    <t>004041836</t>
  </si>
  <si>
    <t>TOTAL</t>
  </si>
  <si>
    <t>No Cap</t>
  </si>
  <si>
    <t>Cap</t>
  </si>
  <si>
    <t>Revenue</t>
  </si>
  <si>
    <t xml:space="preserve">up to 1st </t>
  </si>
  <si>
    <t>DNBRY / N.MILFRD</t>
  </si>
  <si>
    <t>HOSP.CENTRAL CT</t>
  </si>
  <si>
    <t xml:space="preserve">LAWRNCE &amp; MEM. </t>
  </si>
  <si>
    <t>Outpatient</t>
  </si>
  <si>
    <t>Supp</t>
  </si>
  <si>
    <t>Revenues</t>
  </si>
  <si>
    <t>FFY 2016</t>
  </si>
  <si>
    <t>Diff</t>
  </si>
  <si>
    <t>between</t>
  </si>
  <si>
    <t>2015 and 2016 alloc</t>
  </si>
  <si>
    <t>OHCA</t>
  </si>
  <si>
    <t>Capped %</t>
  </si>
  <si>
    <t>Uncapped</t>
  </si>
  <si>
    <t>IP Small</t>
  </si>
  <si>
    <t>IP Capped</t>
  </si>
  <si>
    <t>IP Uncapped</t>
  </si>
  <si>
    <t>IP Midsized</t>
  </si>
  <si>
    <t>SFY 2019 Small Hospital Pool</t>
  </si>
  <si>
    <t>SFY 2019 Mid-Sized Hospital Pool</t>
  </si>
  <si>
    <t>SFY 2019 Outpatient Supplemental Payments</t>
  </si>
  <si>
    <t>SFY19 General Inpatient Supplemental Payments</t>
  </si>
  <si>
    <t>SFY 2019 Supplemental Payments</t>
  </si>
  <si>
    <t>SFY 2019</t>
  </si>
  <si>
    <t>Main Inpatient</t>
  </si>
  <si>
    <t>1st Qtr</t>
  </si>
  <si>
    <t>2nd Qtr</t>
  </si>
  <si>
    <t>3rd Qtr</t>
  </si>
  <si>
    <t>Actual Paid</t>
  </si>
  <si>
    <t xml:space="preserve">Hungerford was acquired by Hartford during SFY 2018 and only qualified for 3 quarters of payments for SFY 2018. </t>
  </si>
  <si>
    <t>= (7) - (8) / 3</t>
  </si>
  <si>
    <t>= (9)</t>
  </si>
  <si>
    <t>= (7) - (8) - (9) - (10)</t>
  </si>
  <si>
    <t>Original Annual</t>
  </si>
  <si>
    <t>Hungerford Lapse</t>
  </si>
  <si>
    <t>4th Qtr</t>
  </si>
  <si>
    <t>Hungerford's annual payment for SFY2018 was calculated at $3,009,036.  This amount should be deducted from the amount available in SFY 2019.</t>
  </si>
  <si>
    <t>Paid 9-11-18</t>
  </si>
  <si>
    <t>Revised</t>
  </si>
  <si>
    <t>Hungerford Adj.</t>
  </si>
  <si>
    <t>Legislated Amount</t>
  </si>
  <si>
    <t>Based on</t>
  </si>
  <si>
    <t>Corrected</t>
  </si>
  <si>
    <t>Total SFY 2019</t>
  </si>
  <si>
    <t>The first quarter payment for SFY 2019 was calculated using the full $12.8 million therefore the last three quarters are revised below so that total payments for the year are correct.</t>
  </si>
  <si>
    <t>Note: Small hospital pool payments will be lower if any currently qualifying hospital is acquired or merges with another hospital. It becomes ineligible for payment in the quarter following acquisition/merger.  1st quarter payments were calculated using annual amount of $12.8 million.  The remaining quarters were adjusted to remove $3 million that lapsed due to the Hungerford acquisition by Hartford.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</si>
</sst>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0.0000%"/>
    <numFmt numFmtId="168" formatCode="&quot;$&quot;#,##0.00"/>
    <numFmt numFmtId="169" formatCode="0_);\(0\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Calibri"/>
      <family val="2"/>
      <scheme val="minor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Arial Unicode MS"/>
      <family val="2"/>
    </font>
    <font>
      <sz val="12"/>
      <color theme="1"/>
      <name val="Arial Unicode MS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9" fillId="0" borderId="0"/>
    <xf numFmtId="0" fontId="17" fillId="0" borderId="0"/>
    <xf numFmtId="0" fontId="19" fillId="0" borderId="0"/>
    <xf numFmtId="0" fontId="21" fillId="0" borderId="0"/>
    <xf numFmtId="9" fontId="19" fillId="0" borderId="0" applyFont="0" applyFill="0" applyBorder="0" applyAlignment="0" applyProtection="0"/>
    <xf numFmtId="0" fontId="19" fillId="0" borderId="0"/>
    <xf numFmtId="0" fontId="2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4" borderId="0" applyNumberFormat="0" applyBorder="0" applyAlignment="0" applyProtection="0"/>
    <xf numFmtId="0" fontId="1" fillId="30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7" borderId="0" applyNumberFormat="0" applyBorder="0" applyAlignment="0" applyProtection="0"/>
    <xf numFmtId="0" fontId="1" fillId="19" borderId="0" applyNumberFormat="0" applyBorder="0" applyAlignment="0" applyProtection="0"/>
    <xf numFmtId="0" fontId="22" fillId="38" borderId="0" applyNumberFormat="0" applyBorder="0" applyAlignment="0" applyProtection="0"/>
    <xf numFmtId="0" fontId="1" fillId="23" borderId="0" applyNumberFormat="0" applyBorder="0" applyAlignment="0" applyProtection="0"/>
    <xf numFmtId="0" fontId="22" fillId="35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23" fillId="40" borderId="0" applyNumberFormat="0" applyBorder="0" applyAlignment="0" applyProtection="0"/>
    <xf numFmtId="0" fontId="16" fillId="12" borderId="0" applyNumberFormat="0" applyBorder="0" applyAlignment="0" applyProtection="0"/>
    <xf numFmtId="0" fontId="23" fillId="36" borderId="0" applyNumberFormat="0" applyBorder="0" applyAlignment="0" applyProtection="0"/>
    <xf numFmtId="0" fontId="16" fillId="16" borderId="0" applyNumberFormat="0" applyBorder="0" applyAlignment="0" applyProtection="0"/>
    <xf numFmtId="0" fontId="23" fillId="37" borderId="0" applyNumberFormat="0" applyBorder="0" applyAlignment="0" applyProtection="0"/>
    <xf numFmtId="0" fontId="16" fillId="20" borderId="0" applyNumberFormat="0" applyBorder="0" applyAlignment="0" applyProtection="0"/>
    <xf numFmtId="0" fontId="23" fillId="41" borderId="0" applyNumberFormat="0" applyBorder="0" applyAlignment="0" applyProtection="0"/>
    <xf numFmtId="0" fontId="16" fillId="24" borderId="0" applyNumberFormat="0" applyBorder="0" applyAlignment="0" applyProtection="0"/>
    <xf numFmtId="0" fontId="23" fillId="42" borderId="0" applyNumberFormat="0" applyBorder="0" applyAlignment="0" applyProtection="0"/>
    <xf numFmtId="0" fontId="16" fillId="28" borderId="0" applyNumberFormat="0" applyBorder="0" applyAlignment="0" applyProtection="0"/>
    <xf numFmtId="0" fontId="23" fillId="43" borderId="0" applyNumberFormat="0" applyBorder="0" applyAlignment="0" applyProtection="0"/>
    <xf numFmtId="0" fontId="16" fillId="32" borderId="0" applyNumberFormat="0" applyBorder="0" applyAlignment="0" applyProtection="0"/>
    <xf numFmtId="0" fontId="23" fillId="44" borderId="0" applyNumberFormat="0" applyBorder="0" applyAlignment="0" applyProtection="0"/>
    <xf numFmtId="0" fontId="16" fillId="9" borderId="0" applyNumberFormat="0" applyBorder="0" applyAlignment="0" applyProtection="0"/>
    <xf numFmtId="0" fontId="23" fillId="45" borderId="0" applyNumberFormat="0" applyBorder="0" applyAlignment="0" applyProtection="0"/>
    <xf numFmtId="0" fontId="16" fillId="13" borderId="0" applyNumberFormat="0" applyBorder="0" applyAlignment="0" applyProtection="0"/>
    <xf numFmtId="0" fontId="23" fillId="46" borderId="0" applyNumberFormat="0" applyBorder="0" applyAlignment="0" applyProtection="0"/>
    <xf numFmtId="0" fontId="16" fillId="17" borderId="0" applyNumberFormat="0" applyBorder="0" applyAlignment="0" applyProtection="0"/>
    <xf numFmtId="0" fontId="23" fillId="41" borderId="0" applyNumberFormat="0" applyBorder="0" applyAlignment="0" applyProtection="0"/>
    <xf numFmtId="0" fontId="16" fillId="21" borderId="0" applyNumberFormat="0" applyBorder="0" applyAlignment="0" applyProtection="0"/>
    <xf numFmtId="0" fontId="23" fillId="42" borderId="0" applyNumberFormat="0" applyBorder="0" applyAlignment="0" applyProtection="0"/>
    <xf numFmtId="0" fontId="16" fillId="25" borderId="0" applyNumberFormat="0" applyBorder="0" applyAlignment="0" applyProtection="0"/>
    <xf numFmtId="0" fontId="23" fillId="47" borderId="0" applyNumberFormat="0" applyBorder="0" applyAlignment="0" applyProtection="0"/>
    <xf numFmtId="0" fontId="16" fillId="29" borderId="0" applyNumberFormat="0" applyBorder="0" applyAlignment="0" applyProtection="0"/>
    <xf numFmtId="0" fontId="24" fillId="48" borderId="0" applyNumberFormat="0" applyBorder="0" applyAlignment="0" applyProtection="0"/>
    <xf numFmtId="0" fontId="6" fillId="3" borderId="0" applyNumberFormat="0" applyBorder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25" fillId="49" borderId="16" applyNumberFormat="0" applyAlignment="0" applyProtection="0"/>
    <xf numFmtId="0" fontId="10" fillId="6" borderId="4" applyNumberFormat="0" applyAlignment="0" applyProtection="0"/>
    <xf numFmtId="0" fontId="26" fillId="50" borderId="17" applyNumberFormat="0" applyAlignment="0" applyProtection="0"/>
    <xf numFmtId="0" fontId="12" fillId="7" borderId="7" applyNumberFormat="0" applyAlignment="0" applyProtection="0"/>
    <xf numFmtId="43" fontId="27" fillId="0" borderId="0" applyFont="0" applyFill="0" applyBorder="0" applyAlignment="0" applyProtection="0"/>
    <xf numFmtId="37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51" borderId="0" applyNumberFormat="0" applyBorder="0" applyAlignment="0" applyProtection="0"/>
    <xf numFmtId="0" fontId="5" fillId="2" borderId="0" applyNumberFormat="0" applyBorder="0" applyAlignment="0" applyProtection="0"/>
    <xf numFmtId="0" fontId="34" fillId="0" borderId="18" applyNumberFormat="0" applyFill="0" applyAlignment="0" applyProtection="0"/>
    <xf numFmtId="0" fontId="2" fillId="0" borderId="1" applyNumberFormat="0" applyFill="0" applyAlignment="0" applyProtection="0"/>
    <xf numFmtId="0" fontId="35" fillId="0" borderId="19" applyNumberFormat="0" applyFill="0" applyAlignment="0" applyProtection="0"/>
    <xf numFmtId="0" fontId="3" fillId="0" borderId="2" applyNumberFormat="0" applyFill="0" applyAlignment="0" applyProtection="0"/>
    <xf numFmtId="0" fontId="36" fillId="0" borderId="20" applyNumberFormat="0" applyFill="0" applyAlignment="0" applyProtection="0"/>
    <xf numFmtId="0" fontId="4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8" fillId="5" borderId="4" applyNumberFormat="0" applyAlignment="0" applyProtection="0"/>
    <xf numFmtId="0" fontId="38" fillId="0" borderId="21" applyNumberFormat="0" applyFill="0" applyAlignment="0" applyProtection="0"/>
    <xf numFmtId="0" fontId="11" fillId="0" borderId="6" applyNumberFormat="0" applyFill="0" applyAlignment="0" applyProtection="0"/>
    <xf numFmtId="0" fontId="39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1" fillId="0" borderId="0"/>
    <xf numFmtId="38" fontId="2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40" fillId="0" borderId="0"/>
    <xf numFmtId="0" fontId="19" fillId="0" borderId="0"/>
    <xf numFmtId="38" fontId="2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22" fillId="53" borderId="22" applyNumberFormat="0" applyFont="0" applyAlignment="0" applyProtection="0"/>
    <xf numFmtId="0" fontId="1" fillId="8" borderId="8" applyNumberFormat="0" applyFon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41" fillId="49" borderId="23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  <xf numFmtId="5" fontId="19" fillId="0" borderId="11">
      <alignment horizontal="right" vertical="top"/>
    </xf>
    <xf numFmtId="0" fontId="19" fillId="0" borderId="0" applyNumberFormat="0" applyFont="0" applyBorder="0">
      <alignment horizontal="centerContinuous"/>
    </xf>
    <xf numFmtId="0" fontId="43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1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9" fillId="0" borderId="0"/>
    <xf numFmtId="0" fontId="19" fillId="0" borderId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21" fillId="0" borderId="0"/>
    <xf numFmtId="0" fontId="21" fillId="0" borderId="0"/>
    <xf numFmtId="0" fontId="55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176">
    <xf numFmtId="0" fontId="0" fillId="0" borderId="0" xfId="0"/>
    <xf numFmtId="164" fontId="0" fillId="0" borderId="10" xfId="1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0" xfId="0" applyFont="1" applyAlignment="1">
      <alignment horizontal="center"/>
    </xf>
    <xf numFmtId="10" fontId="20" fillId="0" borderId="14" xfId="216" applyNumberFormat="1" applyFont="1" applyBorder="1" applyAlignment="1" applyProtection="1">
      <alignment horizontal="right" vertical="top"/>
    </xf>
    <xf numFmtId="0" fontId="18" fillId="0" borderId="13" xfId="5" applyFont="1" applyBorder="1" applyAlignment="1">
      <alignment horizontal="center"/>
    </xf>
    <xf numFmtId="0" fontId="18" fillId="0" borderId="15" xfId="5" applyFont="1" applyBorder="1" applyAlignment="1">
      <alignment horizontal="center"/>
    </xf>
    <xf numFmtId="0" fontId="19" fillId="0" borderId="15" xfId="4" applyFont="1" applyBorder="1" applyAlignment="1" applyProtection="1">
      <alignment horizontal="center"/>
    </xf>
    <xf numFmtId="6" fontId="20" fillId="0" borderId="12" xfId="163" applyNumberFormat="1" applyFont="1" applyFill="1" applyBorder="1" applyAlignment="1" applyProtection="1">
      <alignment horizontal="center"/>
    </xf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9" fillId="0" borderId="14" xfId="6" applyFont="1" applyFill="1" applyBorder="1" applyAlignment="1" applyProtection="1">
      <alignment horizontal="left"/>
    </xf>
    <xf numFmtId="5" fontId="19" fillId="0" borderId="14" xfId="7" applyNumberFormat="1" applyFont="1" applyFill="1" applyBorder="1" applyAlignment="1" applyProtection="1">
      <alignment horizontal="right" vertical="top"/>
    </xf>
    <xf numFmtId="0" fontId="20" fillId="0" borderId="13" xfId="163" applyFont="1" applyFill="1" applyBorder="1" applyAlignment="1" applyProtection="1">
      <alignment horizontal="center"/>
    </xf>
    <xf numFmtId="0" fontId="19" fillId="0" borderId="13" xfId="4" applyFont="1" applyBorder="1" applyAlignment="1" applyProtection="1">
      <alignment horizontal="center"/>
    </xf>
    <xf numFmtId="5" fontId="20" fillId="0" borderId="14" xfId="7" applyNumberFormat="1" applyFont="1" applyFill="1" applyBorder="1" applyAlignment="1" applyProtection="1">
      <alignment horizontal="right" vertical="top"/>
    </xf>
    <xf numFmtId="0" fontId="19" fillId="0" borderId="12" xfId="4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164" fontId="0" fillId="0" borderId="0" xfId="1" applyNumberFormat="1" applyFont="1"/>
    <xf numFmtId="0" fontId="19" fillId="0" borderId="12" xfId="163" applyFont="1" applyBorder="1" applyAlignment="1" applyProtection="1">
      <alignment horizontal="center"/>
    </xf>
    <xf numFmtId="0" fontId="19" fillId="0" borderId="15" xfId="163" applyFont="1" applyBorder="1" applyAlignment="1" applyProtection="1">
      <alignment horizontal="center"/>
    </xf>
    <xf numFmtId="0" fontId="20" fillId="0" borderId="15" xfId="163" applyFont="1" applyFill="1" applyBorder="1" applyAlignment="1" applyProtection="1">
      <alignment horizontal="center"/>
    </xf>
    <xf numFmtId="10" fontId="19" fillId="0" borderId="14" xfId="216" applyNumberFormat="1" applyFont="1" applyBorder="1" applyAlignment="1" applyProtection="1">
      <alignment horizontal="right" vertical="top"/>
    </xf>
    <xf numFmtId="165" fontId="19" fillId="0" borderId="14" xfId="216" applyNumberFormat="1" applyFont="1" applyFill="1" applyBorder="1" applyAlignment="1" applyProtection="1">
      <alignment horizontal="right" vertical="top"/>
    </xf>
    <xf numFmtId="0" fontId="20" fillId="0" borderId="14" xfId="6" applyFont="1" applyFill="1" applyBorder="1" applyAlignment="1" applyProtection="1">
      <alignment horizontal="left"/>
    </xf>
    <xf numFmtId="0" fontId="18" fillId="0" borderId="0" xfId="3" applyFont="1" applyProtection="1">
      <protection locked="0"/>
    </xf>
    <xf numFmtId="0" fontId="50" fillId="0" borderId="0" xfId="3" applyFont="1" applyProtection="1">
      <protection locked="0"/>
    </xf>
    <xf numFmtId="5" fontId="18" fillId="0" borderId="0" xfId="3" applyNumberFormat="1" applyFont="1" applyProtection="1">
      <protection locked="0"/>
    </xf>
    <xf numFmtId="166" fontId="18" fillId="0" borderId="0" xfId="3" applyNumberFormat="1" applyFont="1" applyProtection="1">
      <protection locked="0"/>
    </xf>
    <xf numFmtId="0" fontId="18" fillId="0" borderId="0" xfId="3" applyFont="1" applyProtection="1"/>
    <xf numFmtId="0" fontId="50" fillId="0" borderId="0" xfId="3" applyFont="1" applyProtection="1"/>
    <xf numFmtId="0" fontId="51" fillId="0" borderId="0" xfId="3" applyFont="1" applyProtection="1"/>
    <xf numFmtId="0" fontId="20" fillId="0" borderId="25" xfId="4" applyFont="1" applyBorder="1" applyProtection="1"/>
    <xf numFmtId="0" fontId="20" fillId="0" borderId="12" xfId="4" applyFont="1" applyBorder="1" applyProtection="1"/>
    <xf numFmtId="0" fontId="19" fillId="0" borderId="12" xfId="4" applyFont="1" applyBorder="1" applyAlignment="1" applyProtection="1">
      <alignment horizontal="center"/>
    </xf>
    <xf numFmtId="0" fontId="19" fillId="0" borderId="26" xfId="4" applyFont="1" applyBorder="1" applyProtection="1"/>
    <xf numFmtId="0" fontId="18" fillId="0" borderId="13" xfId="3" applyFont="1" applyBorder="1" applyProtection="1"/>
    <xf numFmtId="0" fontId="19" fillId="0" borderId="26" xfId="4" applyFont="1" applyBorder="1" applyAlignment="1" applyProtection="1">
      <alignment horizontal="left"/>
    </xf>
    <xf numFmtId="0" fontId="19" fillId="0" borderId="13" xfId="4" applyFont="1" applyBorder="1" applyProtection="1"/>
    <xf numFmtId="5" fontId="19" fillId="0" borderId="13" xfId="4" applyNumberFormat="1" applyFont="1" applyBorder="1" applyAlignment="1" applyProtection="1">
      <alignment horizontal="center" wrapText="1"/>
    </xf>
    <xf numFmtId="0" fontId="19" fillId="0" borderId="26" xfId="4" applyFont="1" applyBorder="1" applyAlignment="1" applyProtection="1">
      <alignment horizontal="center"/>
    </xf>
    <xf numFmtId="0" fontId="52" fillId="0" borderId="14" xfId="3" applyFont="1" applyBorder="1" applyProtection="1"/>
    <xf numFmtId="0" fontId="19" fillId="0" borderId="12" xfId="6" applyFont="1" applyFill="1" applyBorder="1" applyAlignment="1" applyProtection="1">
      <alignment horizontal="left"/>
    </xf>
    <xf numFmtId="0" fontId="19" fillId="0" borderId="12" xfId="6" quotePrefix="1" applyFont="1" applyFill="1" applyBorder="1" applyAlignment="1" applyProtection="1">
      <alignment horizontal="left"/>
    </xf>
    <xf numFmtId="165" fontId="18" fillId="0" borderId="0" xfId="3" applyNumberFormat="1" applyFont="1" applyProtection="1"/>
    <xf numFmtId="0" fontId="19" fillId="0" borderId="13" xfId="6" applyFont="1" applyFill="1" applyBorder="1" applyAlignment="1" applyProtection="1">
      <alignment horizontal="left"/>
    </xf>
    <xf numFmtId="0" fontId="19" fillId="0" borderId="13" xfId="6" quotePrefix="1" applyFont="1" applyFill="1" applyBorder="1" applyAlignment="1" applyProtection="1">
      <alignment horizontal="left"/>
    </xf>
    <xf numFmtId="0" fontId="52" fillId="0" borderId="28" xfId="3" applyFont="1" applyFill="1" applyBorder="1" applyProtection="1"/>
    <xf numFmtId="0" fontId="19" fillId="0" borderId="13" xfId="9" applyFont="1" applyFill="1" applyBorder="1" applyProtection="1"/>
    <xf numFmtId="0" fontId="19" fillId="0" borderId="13" xfId="9" quotePrefix="1" applyFont="1" applyFill="1" applyBorder="1" applyProtection="1"/>
    <xf numFmtId="0" fontId="19" fillId="0" borderId="15" xfId="9" applyFont="1" applyFill="1" applyBorder="1" applyProtection="1"/>
    <xf numFmtId="0" fontId="19" fillId="0" borderId="15" xfId="9" quotePrefix="1" applyFont="1" applyFill="1" applyBorder="1" applyProtection="1"/>
    <xf numFmtId="0" fontId="20" fillId="0" borderId="28" xfId="6" applyFont="1" applyFill="1" applyBorder="1" applyAlignment="1" applyProtection="1">
      <alignment horizontal="left"/>
    </xf>
    <xf numFmtId="0" fontId="20" fillId="0" borderId="15" xfId="6" applyFont="1" applyFill="1" applyBorder="1" applyAlignment="1" applyProtection="1">
      <alignment horizontal="left"/>
    </xf>
    <xf numFmtId="5" fontId="20" fillId="0" borderId="0" xfId="7" applyNumberFormat="1" applyFont="1" applyFill="1" applyBorder="1" applyAlignment="1" applyProtection="1">
      <alignment horizontal="right" vertical="top"/>
    </xf>
    <xf numFmtId="168" fontId="50" fillId="0" borderId="0" xfId="3" applyNumberFormat="1" applyFont="1" applyProtection="1"/>
    <xf numFmtId="38" fontId="18" fillId="0" borderId="0" xfId="3" applyNumberFormat="1" applyFont="1" applyProtection="1"/>
    <xf numFmtId="5" fontId="19" fillId="0" borderId="12" xfId="7" applyNumberFormat="1" applyFont="1" applyFill="1" applyBorder="1" applyAlignment="1" applyProtection="1">
      <alignment horizontal="right"/>
    </xf>
    <xf numFmtId="167" fontId="19" fillId="0" borderId="12" xfId="8" applyNumberFormat="1" applyFont="1" applyBorder="1" applyAlignment="1" applyProtection="1">
      <alignment horizontal="right"/>
    </xf>
    <xf numFmtId="5" fontId="19" fillId="0" borderId="12" xfId="7" applyNumberFormat="1" applyFont="1" applyBorder="1" applyAlignment="1" applyProtection="1">
      <alignment horizontal="right"/>
    </xf>
    <xf numFmtId="0" fontId="18" fillId="0" borderId="0" xfId="3" applyFont="1" applyAlignment="1" applyProtection="1"/>
    <xf numFmtId="5" fontId="19" fillId="0" borderId="13" xfId="7" applyNumberFormat="1" applyFont="1" applyFill="1" applyBorder="1" applyAlignment="1" applyProtection="1">
      <alignment horizontal="right"/>
    </xf>
    <xf numFmtId="167" fontId="19" fillId="0" borderId="13" xfId="8" applyNumberFormat="1" applyFont="1" applyBorder="1" applyAlignment="1" applyProtection="1">
      <alignment horizontal="right"/>
    </xf>
    <xf numFmtId="5" fontId="19" fillId="0" borderId="15" xfId="7" applyNumberFormat="1" applyFont="1" applyFill="1" applyBorder="1" applyAlignment="1" applyProtection="1">
      <alignment horizontal="right"/>
    </xf>
    <xf numFmtId="167" fontId="19" fillId="0" borderId="15" xfId="8" applyNumberFormat="1" applyFont="1" applyBorder="1" applyAlignment="1" applyProtection="1">
      <alignment horizontal="right"/>
    </xf>
    <xf numFmtId="165" fontId="19" fillId="0" borderId="15" xfId="7" applyNumberFormat="1" applyFont="1" applyBorder="1" applyAlignment="1" applyProtection="1">
      <alignment horizontal="right"/>
    </xf>
    <xf numFmtId="167" fontId="19" fillId="0" borderId="15" xfId="2" applyNumberFormat="1" applyFont="1" applyFill="1" applyBorder="1" applyAlignment="1" applyProtection="1">
      <alignment horizontal="right"/>
    </xf>
    <xf numFmtId="5" fontId="20" fillId="0" borderId="15" xfId="7" applyNumberFormat="1" applyFont="1" applyFill="1" applyBorder="1" applyAlignment="1" applyProtection="1">
      <alignment horizontal="right"/>
    </xf>
    <xf numFmtId="5" fontId="20" fillId="0" borderId="14" xfId="7" applyNumberFormat="1" applyFont="1" applyFill="1" applyBorder="1" applyAlignment="1" applyProtection="1">
      <alignment horizontal="right"/>
    </xf>
    <xf numFmtId="5" fontId="20" fillId="0" borderId="0" xfId="7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/>
    </xf>
    <xf numFmtId="6" fontId="0" fillId="0" borderId="10" xfId="0" applyNumberFormat="1" applyBorder="1"/>
    <xf numFmtId="6" fontId="0" fillId="0" borderId="0" xfId="0" applyNumberFormat="1"/>
    <xf numFmtId="10" fontId="0" fillId="0" borderId="0" xfId="2" applyNumberFormat="1" applyFont="1"/>
    <xf numFmtId="6" fontId="0" fillId="0" borderId="0" xfId="0" applyNumberFormat="1" applyFont="1"/>
    <xf numFmtId="10" fontId="0" fillId="0" borderId="10" xfId="2" applyNumberFormat="1" applyFont="1" applyBorder="1"/>
    <xf numFmtId="10" fontId="0" fillId="0" borderId="0" xfId="0" applyNumberFormat="1"/>
    <xf numFmtId="6" fontId="15" fillId="0" borderId="0" xfId="0" applyNumberFormat="1" applyFont="1"/>
    <xf numFmtId="0" fontId="0" fillId="0" borderId="0" xfId="0" applyBorder="1" applyAlignment="1">
      <alignment horizontal="center"/>
    </xf>
    <xf numFmtId="164" fontId="15" fillId="0" borderId="0" xfId="0" applyNumberFormat="1" applyFont="1"/>
    <xf numFmtId="0" fontId="53" fillId="0" borderId="0" xfId="0" applyFont="1" applyBorder="1" applyAlignment="1">
      <alignment horizontal="center"/>
    </xf>
    <xf numFmtId="0" fontId="53" fillId="0" borderId="0" xfId="0" applyFont="1" applyAlignment="1">
      <alignment horizontal="center"/>
    </xf>
    <xf numFmtId="164" fontId="0" fillId="0" borderId="10" xfId="0" applyNumberFormat="1" applyBorder="1"/>
    <xf numFmtId="5" fontId="0" fillId="0" borderId="0" xfId="0" applyNumberFormat="1"/>
    <xf numFmtId="5" fontId="19" fillId="0" borderId="14" xfId="7" applyNumberFormat="1" applyFont="1" applyFill="1" applyBorder="1" applyAlignment="1" applyProtection="1">
      <alignment horizontal="right"/>
    </xf>
    <xf numFmtId="10" fontId="19" fillId="0" borderId="14" xfId="216" applyNumberFormat="1" applyFont="1" applyBorder="1" applyAlignment="1" applyProtection="1">
      <alignment horizontal="right"/>
    </xf>
    <xf numFmtId="165" fontId="19" fillId="0" borderId="14" xfId="216" applyNumberFormat="1" applyFont="1" applyFill="1" applyBorder="1" applyAlignment="1" applyProtection="1">
      <alignment horizontal="right"/>
    </xf>
    <xf numFmtId="0" fontId="0" fillId="0" borderId="0" xfId="0" applyAlignment="1"/>
    <xf numFmtId="10" fontId="20" fillId="0" borderId="14" xfId="216" applyNumberFormat="1" applyFont="1" applyBorder="1" applyAlignment="1" applyProtection="1">
      <alignment horizontal="right"/>
    </xf>
    <xf numFmtId="164" fontId="15" fillId="0" borderId="0" xfId="0" applyNumberFormat="1" applyFont="1" applyFill="1"/>
    <xf numFmtId="5" fontId="20" fillId="0" borderId="15" xfId="4" applyNumberFormat="1" applyFont="1" applyFill="1" applyBorder="1" applyAlignment="1" applyProtection="1">
      <alignment horizontal="center" wrapText="1"/>
    </xf>
    <xf numFmtId="5" fontId="19" fillId="0" borderId="14" xfId="7" applyNumberFormat="1" applyFont="1" applyBorder="1" applyAlignment="1" applyProtection="1">
      <alignment horizontal="right"/>
    </xf>
    <xf numFmtId="0" fontId="51" fillId="0" borderId="0" xfId="3" applyFont="1" applyAlignment="1" applyProtection="1">
      <alignment horizontal="center"/>
    </xf>
    <xf numFmtId="167" fontId="20" fillId="0" borderId="15" xfId="7" applyNumberFormat="1" applyFont="1" applyFill="1" applyBorder="1" applyAlignment="1" applyProtection="1">
      <alignment horizontal="right"/>
    </xf>
    <xf numFmtId="5" fontId="19" fillId="0" borderId="25" xfId="7" applyNumberFormat="1" applyFont="1" applyBorder="1" applyAlignment="1" applyProtection="1">
      <alignment horizontal="right"/>
    </xf>
    <xf numFmtId="5" fontId="19" fillId="0" borderId="26" xfId="7" applyNumberFormat="1" applyFont="1" applyBorder="1" applyAlignment="1" applyProtection="1">
      <alignment horizontal="right"/>
    </xf>
    <xf numFmtId="5" fontId="19" fillId="0" borderId="29" xfId="7" applyNumberFormat="1" applyFont="1" applyBorder="1" applyAlignment="1" applyProtection="1">
      <alignment horizontal="right"/>
    </xf>
    <xf numFmtId="167" fontId="19" fillId="0" borderId="25" xfId="8" applyNumberFormat="1" applyFont="1" applyBorder="1" applyAlignment="1" applyProtection="1">
      <alignment horizontal="right"/>
    </xf>
    <xf numFmtId="167" fontId="19" fillId="0" borderId="26" xfId="8" applyNumberFormat="1" applyFont="1" applyBorder="1" applyAlignment="1" applyProtection="1">
      <alignment horizontal="right"/>
    </xf>
    <xf numFmtId="167" fontId="19" fillId="0" borderId="29" xfId="8" applyNumberFormat="1" applyFont="1" applyBorder="1" applyAlignment="1" applyProtection="1">
      <alignment horizontal="right"/>
    </xf>
    <xf numFmtId="164" fontId="0" fillId="0" borderId="0" xfId="1" applyNumberFormat="1" applyFont="1" applyBorder="1"/>
    <xf numFmtId="0" fontId="19" fillId="0" borderId="12" xfId="4" applyFont="1" applyBorder="1" applyAlignment="1" applyProtection="1">
      <alignment horizontal="left"/>
    </xf>
    <xf numFmtId="0" fontId="19" fillId="0" borderId="12" xfId="4" applyFont="1" applyBorder="1" applyProtection="1"/>
    <xf numFmtId="0" fontId="19" fillId="0" borderId="13" xfId="4" applyFont="1" applyBorder="1" applyAlignment="1" applyProtection="1">
      <alignment horizontal="left"/>
    </xf>
    <xf numFmtId="0" fontId="19" fillId="0" borderId="15" xfId="4" applyFont="1" applyBorder="1" applyAlignment="1" applyProtection="1">
      <alignment horizontal="left"/>
    </xf>
    <xf numFmtId="0" fontId="19" fillId="0" borderId="15" xfId="4" applyFont="1" applyBorder="1" applyProtection="1"/>
    <xf numFmtId="6" fontId="15" fillId="54" borderId="10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15" fillId="0" borderId="0" xfId="1" applyNumberFormat="1" applyFont="1" applyBorder="1"/>
    <xf numFmtId="0" fontId="0" fillId="0" borderId="0" xfId="0" applyFont="1" applyBorder="1" applyAlignment="1">
      <alignment horizontal="center"/>
    </xf>
    <xf numFmtId="0" fontId="46" fillId="0" borderId="0" xfId="0" applyFont="1"/>
    <xf numFmtId="0" fontId="19" fillId="0" borderId="25" xfId="4" applyFont="1" applyBorder="1" applyAlignment="1" applyProtection="1">
      <alignment horizontal="center"/>
    </xf>
    <xf numFmtId="5" fontId="19" fillId="0" borderId="26" xfId="4" applyNumberFormat="1" applyFont="1" applyBorder="1" applyAlignment="1" applyProtection="1">
      <alignment horizontal="center" wrapText="1"/>
    </xf>
    <xf numFmtId="5" fontId="19" fillId="0" borderId="15" xfId="4" applyNumberFormat="1" applyFont="1" applyBorder="1" applyAlignment="1" applyProtection="1">
      <alignment horizontal="center" wrapText="1"/>
    </xf>
    <xf numFmtId="165" fontId="0" fillId="0" borderId="0" xfId="0" applyNumberFormat="1"/>
    <xf numFmtId="165" fontId="20" fillId="0" borderId="14" xfId="7" applyNumberFormat="1" applyFont="1" applyFill="1" applyBorder="1" applyAlignment="1" applyProtection="1">
      <alignment horizontal="right" vertical="top"/>
    </xf>
    <xf numFmtId="165" fontId="19" fillId="0" borderId="12" xfId="7" applyNumberFormat="1" applyFont="1" applyBorder="1" applyAlignment="1" applyProtection="1">
      <alignment horizontal="right"/>
    </xf>
    <xf numFmtId="165" fontId="19" fillId="0" borderId="13" xfId="7" applyNumberFormat="1" applyFont="1" applyBorder="1" applyAlignment="1" applyProtection="1">
      <alignment horizontal="right"/>
    </xf>
    <xf numFmtId="6" fontId="15" fillId="0" borderId="10" xfId="0" applyNumberFormat="1" applyFont="1" applyFill="1" applyBorder="1"/>
    <xf numFmtId="5" fontId="20" fillId="0" borderId="13" xfId="4" applyNumberFormat="1" applyFont="1" applyFill="1" applyBorder="1" applyAlignment="1" applyProtection="1">
      <alignment horizontal="center" wrapText="1"/>
    </xf>
    <xf numFmtId="5" fontId="20" fillId="0" borderId="26" xfId="4" applyNumberFormat="1" applyFont="1" applyFill="1" applyBorder="1" applyAlignment="1" applyProtection="1">
      <alignment horizontal="center" wrapText="1"/>
    </xf>
    <xf numFmtId="0" fontId="19" fillId="0" borderId="25" xfId="4" applyFont="1" applyFill="1" applyBorder="1" applyAlignment="1" applyProtection="1">
      <alignment horizontal="center"/>
    </xf>
    <xf numFmtId="0" fontId="19" fillId="0" borderId="29" xfId="163" applyFont="1" applyBorder="1" applyAlignment="1" applyProtection="1">
      <alignment horizontal="center"/>
    </xf>
    <xf numFmtId="6" fontId="20" fillId="0" borderId="27" xfId="163" applyNumberFormat="1" applyFont="1" applyFill="1" applyBorder="1" applyAlignment="1" applyProtection="1">
      <alignment horizontal="center"/>
    </xf>
    <xf numFmtId="0" fontId="18" fillId="0" borderId="11" xfId="5" applyFont="1" applyBorder="1" applyAlignment="1">
      <alignment horizontal="center"/>
    </xf>
    <xf numFmtId="0" fontId="18" fillId="0" borderId="30" xfId="5" applyFont="1" applyBorder="1" applyAlignment="1">
      <alignment horizontal="center"/>
    </xf>
    <xf numFmtId="6" fontId="20" fillId="0" borderId="13" xfId="163" applyNumberFormat="1" applyFont="1" applyFill="1" applyBorder="1" applyAlignment="1" applyProtection="1">
      <alignment horizontal="center"/>
    </xf>
    <xf numFmtId="0" fontId="18" fillId="0" borderId="12" xfId="0" applyFont="1" applyBorder="1" applyAlignment="1">
      <alignment horizontal="center"/>
    </xf>
    <xf numFmtId="0" fontId="19" fillId="0" borderId="0" xfId="6" quotePrefix="1" applyFont="1" applyFill="1" applyBorder="1" applyAlignment="1" applyProtection="1">
      <alignment horizontal="center"/>
    </xf>
    <xf numFmtId="0" fontId="19" fillId="0" borderId="0" xfId="9" quotePrefix="1" applyFont="1" applyFill="1" applyBorder="1" applyAlignment="1" applyProtection="1">
      <alignment horizontal="center"/>
    </xf>
    <xf numFmtId="0" fontId="19" fillId="0" borderId="10" xfId="9" quotePrefix="1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0" fontId="18" fillId="0" borderId="13" xfId="0" applyFont="1" applyBorder="1" applyAlignment="1">
      <alignment horizontal="center"/>
    </xf>
    <xf numFmtId="6" fontId="20" fillId="0" borderId="0" xfId="163" applyNumberFormat="1" applyFont="1" applyFill="1" applyBorder="1" applyAlignment="1" applyProtection="1">
      <alignment horizontal="center"/>
    </xf>
    <xf numFmtId="5" fontId="20" fillId="0" borderId="10" xfId="163" applyNumberFormat="1" applyFont="1" applyFill="1" applyBorder="1" applyAlignment="1" applyProtection="1">
      <alignment horizontal="center"/>
    </xf>
    <xf numFmtId="165" fontId="19" fillId="0" borderId="0" xfId="216" applyNumberFormat="1" applyFont="1" applyFill="1" applyBorder="1" applyAlignment="1" applyProtection="1">
      <alignment horizontal="right"/>
    </xf>
    <xf numFmtId="165" fontId="0" fillId="0" borderId="0" xfId="0" applyNumberFormat="1" applyAlignment="1"/>
    <xf numFmtId="165" fontId="20" fillId="0" borderId="14" xfId="7" applyNumberFormat="1" applyFont="1" applyFill="1" applyBorder="1" applyAlignment="1" applyProtection="1">
      <alignment horizontal="right"/>
    </xf>
    <xf numFmtId="0" fontId="15" fillId="0" borderId="0" xfId="0" applyFont="1" applyAlignment="1"/>
    <xf numFmtId="0" fontId="56" fillId="0" borderId="0" xfId="0" applyFont="1"/>
    <xf numFmtId="165" fontId="56" fillId="0" borderId="0" xfId="0" applyNumberFormat="1" applyFont="1" applyAlignment="1"/>
    <xf numFmtId="0" fontId="18" fillId="0" borderId="0" xfId="0" applyFont="1"/>
    <xf numFmtId="0" fontId="57" fillId="0" borderId="0" xfId="0" applyFont="1"/>
    <xf numFmtId="165" fontId="18" fillId="0" borderId="0" xfId="0" applyNumberFormat="1" applyFont="1" applyAlignment="1"/>
    <xf numFmtId="0" fontId="5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right"/>
    </xf>
    <xf numFmtId="169" fontId="0" fillId="0" borderId="0" xfId="0" applyNumberFormat="1" applyAlignment="1">
      <alignment horizontal="center"/>
    </xf>
    <xf numFmtId="7" fontId="56" fillId="0" borderId="14" xfId="0" applyNumberFormat="1" applyFont="1" applyBorder="1" applyAlignment="1"/>
    <xf numFmtId="0" fontId="56" fillId="0" borderId="14" xfId="0" applyFont="1" applyBorder="1" applyAlignment="1"/>
    <xf numFmtId="165" fontId="56" fillId="0" borderId="14" xfId="0" applyNumberFormat="1" applyFont="1" applyBorder="1" applyAlignment="1"/>
    <xf numFmtId="6" fontId="18" fillId="0" borderId="13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6" fontId="18" fillId="0" borderId="13" xfId="0" applyNumberFormat="1" applyFont="1" applyBorder="1"/>
    <xf numFmtId="0" fontId="0" fillId="0" borderId="10" xfId="0" applyFill="1" applyBorder="1" applyAlignment="1">
      <alignment horizontal="center"/>
    </xf>
    <xf numFmtId="164" fontId="0" fillId="0" borderId="0" xfId="0" applyNumberFormat="1" applyBorder="1"/>
    <xf numFmtId="164" fontId="0" fillId="0" borderId="10" xfId="0" applyNumberFormat="1" applyFont="1" applyBorder="1"/>
    <xf numFmtId="164" fontId="0" fillId="0" borderId="0" xfId="0" applyNumberFormat="1" applyFont="1" applyBorder="1"/>
    <xf numFmtId="164" fontId="1" fillId="0" borderId="0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15" fillId="0" borderId="31" xfId="0" applyNumberFormat="1" applyFont="1" applyBorder="1"/>
    <xf numFmtId="0" fontId="59" fillId="0" borderId="0" xfId="0" quotePrefix="1" applyFont="1"/>
    <xf numFmtId="0" fontId="57" fillId="0" borderId="12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6" fontId="18" fillId="0" borderId="12" xfId="0" applyNumberFormat="1" applyFont="1" applyBorder="1" applyAlignment="1">
      <alignment horizontal="center"/>
    </xf>
    <xf numFmtId="0" fontId="59" fillId="0" borderId="0" xfId="0" quotePrefix="1" applyFont="1" applyAlignment="1">
      <alignment horizontal="center"/>
    </xf>
    <xf numFmtId="0" fontId="60" fillId="0" borderId="0" xfId="0" applyFont="1" applyBorder="1" applyAlignment="1">
      <alignment horizontal="center"/>
    </xf>
    <xf numFmtId="6" fontId="0" fillId="0" borderId="10" xfId="0" applyNumberFormat="1" applyFont="1" applyBorder="1"/>
    <xf numFmtId="164" fontId="15" fillId="0" borderId="32" xfId="0" applyNumberFormat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69">
    <cellStyle name="£Z_x0004_Ç_x0006_^_x0004_" xfId="249"/>
    <cellStyle name="20% - Accent1 2" xfId="10"/>
    <cellStyle name="20% - Accent1 3" xfId="11"/>
    <cellStyle name="20% - Accent2 2" xfId="12"/>
    <cellStyle name="20% - Accent2 2 2" xfId="13"/>
    <cellStyle name="20% - Accent2 3" xfId="14"/>
    <cellStyle name="20% - Accent2 4" xfId="15"/>
    <cellStyle name="20% - Accent3 2" xfId="16"/>
    <cellStyle name="20% - Accent3 2 2" xfId="17"/>
    <cellStyle name="20% - Accent3 3" xfId="18"/>
    <cellStyle name="20% - Accent3 4" xfId="19"/>
    <cellStyle name="20% - Accent4 2" xfId="20"/>
    <cellStyle name="20% - Accent4 2 2" xfId="21"/>
    <cellStyle name="20% - Accent4 3" xfId="22"/>
    <cellStyle name="20% - Accent4 4" xfId="23"/>
    <cellStyle name="20% - Accent5 2" xfId="24"/>
    <cellStyle name="20% - Accent5 2 2" xfId="25"/>
    <cellStyle name="20% - Accent5 3" xfId="26"/>
    <cellStyle name="20% - Accent5 4" xfId="27"/>
    <cellStyle name="20% - Accent6 2" xfId="28"/>
    <cellStyle name="20% - Accent6 3" xfId="29"/>
    <cellStyle name="40% - Accent1 2" xfId="30"/>
    <cellStyle name="40% - Accent1 3" xfId="31"/>
    <cellStyle name="40% - Accent2 2" xfId="32"/>
    <cellStyle name="40% - Accent2 3" xfId="33"/>
    <cellStyle name="40% - Accent3 2" xfId="34"/>
    <cellStyle name="40% - Accent3 3" xfId="35"/>
    <cellStyle name="40% - Accent4 2" xfId="36"/>
    <cellStyle name="40% - Accent4 3" xfId="37"/>
    <cellStyle name="40% - Accent5 2" xfId="38"/>
    <cellStyle name="40% - Accent5 3" xfId="39"/>
    <cellStyle name="40% - Accent6 2" xfId="40"/>
    <cellStyle name="40% - Accent6 3" xfId="41"/>
    <cellStyle name="60% - Accent1 2" xfId="42"/>
    <cellStyle name="60% - Accent1 3" xfId="43"/>
    <cellStyle name="60% - Accent2 2" xfId="44"/>
    <cellStyle name="60% - Accent2 3" xfId="45"/>
    <cellStyle name="60% - Accent3 2" xfId="46"/>
    <cellStyle name="60% - Accent3 3" xfId="47"/>
    <cellStyle name="60% - Accent4 2" xfId="48"/>
    <cellStyle name="60% - Accent4 3" xfId="49"/>
    <cellStyle name="60% - Accent5 2" xfId="50"/>
    <cellStyle name="60% - Accent5 3" xfId="51"/>
    <cellStyle name="60% - Accent6 2" xfId="52"/>
    <cellStyle name="60% - Accent6 3" xfId="53"/>
    <cellStyle name="Accent1 2" xfId="54"/>
    <cellStyle name="Accent1 3" xfId="55"/>
    <cellStyle name="Accent2 2" xfId="56"/>
    <cellStyle name="Accent2 3" xfId="57"/>
    <cellStyle name="Accent3 2" xfId="58"/>
    <cellStyle name="Accent3 3" xfId="59"/>
    <cellStyle name="Accent4 2" xfId="60"/>
    <cellStyle name="Accent4 3" xfId="61"/>
    <cellStyle name="Accent5 2" xfId="62"/>
    <cellStyle name="Accent5 3" xfId="63"/>
    <cellStyle name="Accent6 2" xfId="64"/>
    <cellStyle name="Accent6 3" xfId="65"/>
    <cellStyle name="Bad 2" xfId="66"/>
    <cellStyle name="Bad 3" xfId="67"/>
    <cellStyle name="Calculation 2" xfId="68"/>
    <cellStyle name="Calculation 2 2" xfId="69"/>
    <cellStyle name="Calculation 2 3" xfId="70"/>
    <cellStyle name="Calculation 3" xfId="71"/>
    <cellStyle name="Check Cell 2" xfId="72"/>
    <cellStyle name="Check Cell 3" xfId="73"/>
    <cellStyle name="Comma" xfId="1" builtinId="3"/>
    <cellStyle name="Comma 10" xfId="74"/>
    <cellStyle name="Comma 11" xfId="75"/>
    <cellStyle name="Comma 12" xfId="76"/>
    <cellStyle name="Comma 2" xfId="77"/>
    <cellStyle name="Comma 2 2" xfId="78"/>
    <cellStyle name="Comma 2 2 2" xfId="79"/>
    <cellStyle name="Comma 2 3" xfId="80"/>
    <cellStyle name="Comma 2 3 2" xfId="81"/>
    <cellStyle name="Comma 2 4" xfId="82"/>
    <cellStyle name="Comma 2 5" xfId="83"/>
    <cellStyle name="Comma 2 6" xfId="250"/>
    <cellStyle name="Comma 2 7" xfId="256"/>
    <cellStyle name="Comma 2 8" xfId="260"/>
    <cellStyle name="Comma 2 9" xfId="261"/>
    <cellStyle name="Comma 2 9 2" xfId="262"/>
    <cellStyle name="Comma 3" xfId="84"/>
    <cellStyle name="Comma 3 2" xfId="85"/>
    <cellStyle name="Comma 3 2 2" xfId="86"/>
    <cellStyle name="Comma 3 3" xfId="87"/>
    <cellStyle name="Comma 3 4" xfId="88"/>
    <cellStyle name="Comma 4" xfId="89"/>
    <cellStyle name="Comma 4 2" xfId="90"/>
    <cellStyle name="Comma 4 2 2" xfId="91"/>
    <cellStyle name="Comma 4 3" xfId="92"/>
    <cellStyle name="Comma 4 4" xfId="93"/>
    <cellStyle name="Comma 5" xfId="94"/>
    <cellStyle name="Comma 5 2" xfId="95"/>
    <cellStyle name="Comma 5 2 2" xfId="96"/>
    <cellStyle name="Comma 5 3" xfId="258"/>
    <cellStyle name="Comma 6" xfId="97"/>
    <cellStyle name="Comma 6 2" xfId="98"/>
    <cellStyle name="Comma 7" xfId="99"/>
    <cellStyle name="Comma 7 2" xfId="100"/>
    <cellStyle name="Comma 7 3" xfId="101"/>
    <cellStyle name="Comma 7 3 2" xfId="102"/>
    <cellStyle name="Comma 8" xfId="103"/>
    <cellStyle name="Comma 8 2" xfId="104"/>
    <cellStyle name="Comma 9" xfId="105"/>
    <cellStyle name="Comma 9 2" xfId="106"/>
    <cellStyle name="Currency 10" xfId="107"/>
    <cellStyle name="Currency 11" xfId="108"/>
    <cellStyle name="Currency 2" xfId="109"/>
    <cellStyle name="Currency 2 2" xfId="110"/>
    <cellStyle name="Currency 2 2 2" xfId="111"/>
    <cellStyle name="Currency 2 3" xfId="112"/>
    <cellStyle name="Currency 2 3 2" xfId="113"/>
    <cellStyle name="Currency 2 4" xfId="114"/>
    <cellStyle name="Currency 2 5" xfId="115"/>
    <cellStyle name="Currency 3" xfId="116"/>
    <cellStyle name="Currency 3 2" xfId="117"/>
    <cellStyle name="Currency 3 3" xfId="118"/>
    <cellStyle name="Currency 4" xfId="119"/>
    <cellStyle name="Currency 4 2" xfId="120"/>
    <cellStyle name="Currency 4 3" xfId="121"/>
    <cellStyle name="Currency 5" xfId="122"/>
    <cellStyle name="Currency 5 2" xfId="123"/>
    <cellStyle name="Currency 6" xfId="124"/>
    <cellStyle name="Currency 6 2" xfId="125"/>
    <cellStyle name="Currency 7" xfId="126"/>
    <cellStyle name="Currency 7 2" xfId="127"/>
    <cellStyle name="Currency 7 3" xfId="128"/>
    <cellStyle name="Currency 8" xfId="129"/>
    <cellStyle name="Currency 8 2" xfId="130"/>
    <cellStyle name="Currency 9" xfId="131"/>
    <cellStyle name="Explanatory Text 2" xfId="132"/>
    <cellStyle name="Explanatory Text 3" xfId="133"/>
    <cellStyle name="Followed Hyperlink 2" xfId="251"/>
    <cellStyle name="Good 2" xfId="134"/>
    <cellStyle name="Good 3" xfId="135"/>
    <cellStyle name="Heading 1 2" xfId="136"/>
    <cellStyle name="Heading 1 3" xfId="137"/>
    <cellStyle name="Heading 2 2" xfId="138"/>
    <cellStyle name="Heading 2 3" xfId="139"/>
    <cellStyle name="Heading 3 2" xfId="140"/>
    <cellStyle name="Heading 3 3" xfId="141"/>
    <cellStyle name="Heading 4 2" xfId="142"/>
    <cellStyle name="Heading 4 3" xfId="143"/>
    <cellStyle name="Hyperlink 2" xfId="252"/>
    <cellStyle name="Input 2" xfId="144"/>
    <cellStyle name="Input 2 2" xfId="145"/>
    <cellStyle name="Input 2 3" xfId="146"/>
    <cellStyle name="Input 3" xfId="147"/>
    <cellStyle name="Linked Cell 2" xfId="148"/>
    <cellStyle name="Linked Cell 3" xfId="149"/>
    <cellStyle name="Neutral 2" xfId="150"/>
    <cellStyle name="Neutral 3" xfId="151"/>
    <cellStyle name="Normal" xfId="0" builtinId="0"/>
    <cellStyle name="Normal 10" xfId="152"/>
    <cellStyle name="Normal 10 10" xfId="153"/>
    <cellStyle name="Normal 10 2" xfId="154"/>
    <cellStyle name="Normal 10 3" xfId="155"/>
    <cellStyle name="Normal 11" xfId="3"/>
    <cellStyle name="Normal 12" xfId="156"/>
    <cellStyle name="Normal 13" xfId="157"/>
    <cellStyle name="Normal 14" xfId="158"/>
    <cellStyle name="Normal 14 2" xfId="159"/>
    <cellStyle name="Normal 15" xfId="160"/>
    <cellStyle name="Normal 16" xfId="161"/>
    <cellStyle name="Normal 17" xfId="255"/>
    <cellStyle name="Normal 2" xfId="4"/>
    <cellStyle name="Normal 2 2" xfId="162"/>
    <cellStyle name="Normal 2 2 2" xfId="163"/>
    <cellStyle name="Normal 2 2 2 2" xfId="164"/>
    <cellStyle name="Normal 2 2 3" xfId="165"/>
    <cellStyle name="Normal 2 3" xfId="166"/>
    <cellStyle name="Normal 2 3 2" xfId="167"/>
    <cellStyle name="Normal 2 4" xfId="168"/>
    <cellStyle name="Normal 2 5" xfId="169"/>
    <cellStyle name="Normal 2 6" xfId="263"/>
    <cellStyle name="Normal 2 7" xfId="264"/>
    <cellStyle name="Normal 2 7 2" xfId="265"/>
    <cellStyle name="Normal 3" xfId="170"/>
    <cellStyle name="Normal 3 2" xfId="171"/>
    <cellStyle name="Normal 3 2 2" xfId="253"/>
    <cellStyle name="Normal 3 3" xfId="172"/>
    <cellStyle name="Normal 3 3 2" xfId="173"/>
    <cellStyle name="Normal 3 4" xfId="174"/>
    <cellStyle name="Normal 4" xfId="175"/>
    <cellStyle name="Normal 4 10" xfId="176"/>
    <cellStyle name="Normal 4 2" xfId="9"/>
    <cellStyle name="Normal 4 2 2" xfId="177"/>
    <cellStyle name="Normal 4 2_Sheet2" xfId="178"/>
    <cellStyle name="Normal 4 3" xfId="179"/>
    <cellStyle name="Normal 4 3 2" xfId="180"/>
    <cellStyle name="Normal 4 4" xfId="181"/>
    <cellStyle name="Normal 4 4 2" xfId="182"/>
    <cellStyle name="Normal 4 5" xfId="183"/>
    <cellStyle name="Normal 4 6" xfId="184"/>
    <cellStyle name="Normal 4 7" xfId="185"/>
    <cellStyle name="Normal 4 8" xfId="186"/>
    <cellStyle name="Normal 4 9" xfId="187"/>
    <cellStyle name="Normal 4_Sheet2" xfId="188"/>
    <cellStyle name="Normal 5" xfId="189"/>
    <cellStyle name="Normal 5 2" xfId="190"/>
    <cellStyle name="Normal 5 3" xfId="191"/>
    <cellStyle name="Normal 5 3 2" xfId="192"/>
    <cellStyle name="Normal 5 4" xfId="193"/>
    <cellStyle name="Normal 5 5" xfId="194"/>
    <cellStyle name="Normal 5_Sheet2" xfId="195"/>
    <cellStyle name="Normal 6" xfId="196"/>
    <cellStyle name="Normal 6 2" xfId="197"/>
    <cellStyle name="Normal 6 2 2" xfId="198"/>
    <cellStyle name="Normal 65" xfId="199"/>
    <cellStyle name="Normal 7" xfId="200"/>
    <cellStyle name="Normal 7 2" xfId="201"/>
    <cellStyle name="Normal 8" xfId="202"/>
    <cellStyle name="Normal 8 2" xfId="5"/>
    <cellStyle name="Normal 8 3" xfId="257"/>
    <cellStyle name="Normal 9" xfId="203"/>
    <cellStyle name="Normal 9 2" xfId="204"/>
    <cellStyle name="Normal 9 3" xfId="205"/>
    <cellStyle name="Normal 94" xfId="206"/>
    <cellStyle name="Normal_FY2009_NEW_ULA_DSH_ANAL" xfId="6"/>
    <cellStyle name="Normal_Report550(Statewide) 1 " xfId="7"/>
    <cellStyle name="Note 2" xfId="207"/>
    <cellStyle name="Note 2 2" xfId="208"/>
    <cellStyle name="Note 2 3" xfId="209"/>
    <cellStyle name="Note 3" xfId="210"/>
    <cellStyle name="Output 2" xfId="211"/>
    <cellStyle name="Output 2 2" xfId="212"/>
    <cellStyle name="Output 2 3" xfId="213"/>
    <cellStyle name="Output 3" xfId="214"/>
    <cellStyle name="Percent" xfId="2" builtinId="5"/>
    <cellStyle name="Percent 10" xfId="215"/>
    <cellStyle name="Percent 2" xfId="8"/>
    <cellStyle name="Percent 2 2" xfId="216"/>
    <cellStyle name="Percent 2 3" xfId="217"/>
    <cellStyle name="Percent 2 3 2" xfId="218"/>
    <cellStyle name="Percent 2 4" xfId="254"/>
    <cellStyle name="Percent 2 5" xfId="266"/>
    <cellStyle name="Percent 2 6" xfId="267"/>
    <cellStyle name="Percent 2 6 2" xfId="268"/>
    <cellStyle name="Percent 3" xfId="219"/>
    <cellStyle name="Percent 3 2" xfId="220"/>
    <cellStyle name="Percent 3 2 2" xfId="221"/>
    <cellStyle name="Percent 3 3" xfId="222"/>
    <cellStyle name="Percent 3 4" xfId="259"/>
    <cellStyle name="Percent 4" xfId="223"/>
    <cellStyle name="Percent 4 2" xfId="224"/>
    <cellStyle name="Percent 4 2 2" xfId="225"/>
    <cellStyle name="Percent 4 3" xfId="226"/>
    <cellStyle name="Percent 4 4" xfId="227"/>
    <cellStyle name="Percent 5" xfId="228"/>
    <cellStyle name="Percent 5 2" xfId="229"/>
    <cellStyle name="Percent 5 3" xfId="230"/>
    <cellStyle name="Percent 5 4" xfId="231"/>
    <cellStyle name="Percent 5 5" xfId="232"/>
    <cellStyle name="Percent 6" xfId="233"/>
    <cellStyle name="Percent 6 2" xfId="234"/>
    <cellStyle name="Percent 6 3" xfId="235"/>
    <cellStyle name="Percent 7" xfId="236"/>
    <cellStyle name="Percent 8" xfId="237"/>
    <cellStyle name="Percent 9" xfId="238"/>
    <cellStyle name="rowhead_tbls1_13_a" xfId="239"/>
    <cellStyle name="Style 1" xfId="240"/>
    <cellStyle name="tablename" xfId="241"/>
    <cellStyle name="Title 2" xfId="242"/>
    <cellStyle name="Total 2" xfId="243"/>
    <cellStyle name="Total 2 2" xfId="244"/>
    <cellStyle name="Total 2 3" xfId="245"/>
    <cellStyle name="Total 3" xfId="246"/>
    <cellStyle name="Warning Text 2" xfId="247"/>
    <cellStyle name="Warning Text 3" xfId="248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418286</xdr:colOff>
      <xdr:row>21</xdr:row>
      <xdr:rowOff>9072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514286" cy="36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8</xdr:col>
      <xdr:colOff>151772</xdr:colOff>
      <xdr:row>28</xdr:row>
      <xdr:rowOff>190381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1050"/>
          <a:ext cx="5028572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7</xdr:col>
      <xdr:colOff>580419</xdr:colOff>
      <xdr:row>67</xdr:row>
      <xdr:rowOff>189572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43550"/>
          <a:ext cx="4847619" cy="74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447086</xdr:colOff>
      <xdr:row>74</xdr:row>
      <xdr:rowOff>180833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163550"/>
          <a:ext cx="4714286" cy="1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K29" sqref="K29"/>
    </sheetView>
  </sheetViews>
  <sheetFormatPr defaultRowHeight="15"/>
  <sheetData>
    <row r="1" spans="1:1" ht="15.75">
      <c r="A1" s="116"/>
    </row>
    <row r="24" spans="1:1" ht="15.75">
      <c r="A24" s="1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workbookViewId="0">
      <selection activeCell="A2" sqref="A2"/>
    </sheetView>
  </sheetViews>
  <sheetFormatPr defaultRowHeight="15"/>
  <cols>
    <col min="1" max="1" width="14.85546875" style="13" customWidth="1"/>
    <col min="2" max="2" width="14.140625" style="13" bestFit="1" customWidth="1"/>
    <col min="3" max="3" width="13.28515625" style="13" bestFit="1" customWidth="1"/>
    <col min="4" max="5" width="13.7109375" style="13" customWidth="1"/>
    <col min="6" max="6" width="14.28515625" style="13" bestFit="1" customWidth="1"/>
    <col min="7" max="7" width="13.5703125" style="13" bestFit="1" customWidth="1"/>
    <col min="8" max="8" width="15.28515625" style="13" bestFit="1" customWidth="1"/>
    <col min="9" max="9" width="2.5703125" style="13" customWidth="1"/>
    <col min="10" max="11" width="15.28515625" style="13" bestFit="1" customWidth="1"/>
    <col min="12" max="12" width="12.42578125" style="13" customWidth="1"/>
    <col min="13" max="13" width="15.28515625" style="13" bestFit="1" customWidth="1"/>
    <col min="14" max="16384" width="9.140625" style="13"/>
  </cols>
  <sheetData>
    <row r="1" spans="1:13" s="21" customFormat="1"/>
    <row r="2" spans="1:13" ht="15.75">
      <c r="A2" s="116" t="s">
        <v>93</v>
      </c>
      <c r="B2" s="116"/>
      <c r="C2" s="94"/>
      <c r="D2" s="94"/>
      <c r="E2" s="94"/>
      <c r="F2" s="94"/>
      <c r="G2" s="94"/>
    </row>
    <row r="3" spans="1:13">
      <c r="A3" s="21"/>
      <c r="B3" s="21"/>
      <c r="C3" s="172" t="s">
        <v>109</v>
      </c>
      <c r="D3" s="86"/>
      <c r="E3" s="75"/>
      <c r="F3" s="85"/>
      <c r="G3" s="85"/>
    </row>
    <row r="4" spans="1:13">
      <c r="C4" s="113" t="s">
        <v>85</v>
      </c>
      <c r="D4" s="113" t="s">
        <v>86</v>
      </c>
      <c r="E4" s="113" t="s">
        <v>87</v>
      </c>
      <c r="F4" s="113" t="s">
        <v>88</v>
      </c>
      <c r="G4" s="115" t="s">
        <v>75</v>
      </c>
    </row>
    <row r="5" spans="1:13">
      <c r="A5" s="2"/>
      <c r="B5" s="2" t="s">
        <v>95</v>
      </c>
      <c r="C5" s="113" t="s">
        <v>4</v>
      </c>
      <c r="D5" s="113" t="s">
        <v>3</v>
      </c>
      <c r="E5" s="113" t="s">
        <v>3</v>
      </c>
      <c r="F5" s="113" t="s">
        <v>4</v>
      </c>
      <c r="G5" s="113" t="s">
        <v>3</v>
      </c>
      <c r="H5" s="113" t="s">
        <v>5</v>
      </c>
      <c r="J5" s="83" t="s">
        <v>108</v>
      </c>
      <c r="K5" s="2"/>
      <c r="L5" s="2"/>
      <c r="M5" s="2"/>
    </row>
    <row r="6" spans="1:13">
      <c r="A6" s="10" t="s">
        <v>6</v>
      </c>
      <c r="B6" s="10" t="s">
        <v>35</v>
      </c>
      <c r="C6" s="112" t="s">
        <v>7</v>
      </c>
      <c r="D6" s="112" t="s">
        <v>0</v>
      </c>
      <c r="E6" s="112" t="s">
        <v>0</v>
      </c>
      <c r="F6" s="112" t="s">
        <v>7</v>
      </c>
      <c r="G6" s="112" t="s">
        <v>0</v>
      </c>
      <c r="H6" s="112" t="s">
        <v>0</v>
      </c>
      <c r="J6" s="160" t="s">
        <v>96</v>
      </c>
      <c r="K6" s="160" t="s">
        <v>97</v>
      </c>
      <c r="L6" s="160" t="s">
        <v>98</v>
      </c>
      <c r="M6" s="160" t="s">
        <v>106</v>
      </c>
    </row>
    <row r="7" spans="1:13">
      <c r="A7" s="13" t="s">
        <v>8</v>
      </c>
      <c r="B7" s="134" t="s">
        <v>41</v>
      </c>
      <c r="C7" s="23">
        <f>VLOOKUP(A7,'Small Rev'!$A$15:$G$40,7,FALSE)</f>
        <v>0</v>
      </c>
      <c r="D7" s="23">
        <f>VLOOKUP(A7,'IP Supp Combo'!$B$10:$I$35,7,FALSE)</f>
        <v>6613249</v>
      </c>
      <c r="E7" s="23">
        <f>VLOOKUP(A7,'IP Supp Combo'!$B$10:$I$35,8,FALSE)</f>
        <v>2358776</v>
      </c>
      <c r="F7" s="23">
        <f>VLOOKUP(A7,Mid!$A$10:$G$35,7,FALSE)</f>
        <v>0</v>
      </c>
      <c r="G7" s="23">
        <f>VLOOKUP(A7,'OP Supp'!$A$9:$E$34,5,FALSE)</f>
        <v>2489142</v>
      </c>
      <c r="H7" s="22">
        <f>SUM(C7:G7)</f>
        <v>11461167</v>
      </c>
      <c r="J7" s="22">
        <v>2865292</v>
      </c>
      <c r="K7" s="22">
        <f>(SUM(D7:G7)/4)+VLOOKUP('Summary 2019'!A7,'Small Rev'!$A$15:$L$40,10,FALSE)</f>
        <v>2865291.75</v>
      </c>
      <c r="L7" s="22">
        <f>K7</f>
        <v>2865291.75</v>
      </c>
      <c r="M7" s="22">
        <f>H7-SUM(J7:L7)</f>
        <v>2865291.5</v>
      </c>
    </row>
    <row r="8" spans="1:13">
      <c r="A8" s="13" t="s">
        <v>9</v>
      </c>
      <c r="B8" s="134" t="s">
        <v>42</v>
      </c>
      <c r="C8" s="23">
        <f>VLOOKUP(A8,'Small Rev'!$A$15:$G$40,7,FALSE)</f>
        <v>0</v>
      </c>
      <c r="D8" s="23">
        <f>VLOOKUP(A8,'IP Supp Combo'!$B$10:$I$35,7,FALSE)</f>
        <v>24399520</v>
      </c>
      <c r="E8" s="23">
        <f>VLOOKUP(A8,'IP Supp Combo'!$B$10:$I$35,8,FALSE)</f>
        <v>8702683</v>
      </c>
      <c r="F8" s="23">
        <f>VLOOKUP(A8,Mid!$A$10:$G$35,7,FALSE)</f>
        <v>0</v>
      </c>
      <c r="G8" s="23">
        <f>VLOOKUP(A8,'OP Supp'!$A$9:$E$34,5,FALSE)</f>
        <v>5002423</v>
      </c>
      <c r="H8" s="22">
        <f t="shared" ref="H8:H32" si="0">SUM(C8:G8)</f>
        <v>38104626</v>
      </c>
      <c r="J8" s="22">
        <v>9526157</v>
      </c>
      <c r="K8" s="22">
        <f>(SUM(D8:G8)/4)+VLOOKUP('Summary 2019'!A8,'Small Rev'!$A$15:$L$40,10,FALSE)</f>
        <v>9526156.5</v>
      </c>
      <c r="L8" s="22">
        <f t="shared" ref="L8:L32" si="1">K8</f>
        <v>9526156.5</v>
      </c>
      <c r="M8" s="22">
        <f t="shared" ref="M8:M32" si="2">H8-SUM(J8:L8)</f>
        <v>9526156</v>
      </c>
    </row>
    <row r="9" spans="1:13">
      <c r="A9" s="13" t="s">
        <v>10</v>
      </c>
      <c r="B9" s="134" t="s">
        <v>43</v>
      </c>
      <c r="C9" s="23">
        <f>VLOOKUP(A9,'Small Rev'!$A$15:$G$40,7,FALSE)</f>
        <v>3009037</v>
      </c>
      <c r="D9" s="23">
        <f>VLOOKUP(A9,'IP Supp Combo'!$B$10:$I$35,7,FALSE)</f>
        <v>4070544</v>
      </c>
      <c r="E9" s="23">
        <f>VLOOKUP(A9,'IP Supp Combo'!$B$10:$I$35,8,FALSE)</f>
        <v>1451859</v>
      </c>
      <c r="F9" s="23">
        <f>VLOOKUP(A9,Mid!$A$10:$G$35,7,FALSE)</f>
        <v>0</v>
      </c>
      <c r="G9" s="23">
        <f>VLOOKUP(A9,'OP Supp'!$A$9:$E$34,5,FALSE)</f>
        <v>1448351</v>
      </c>
      <c r="H9" s="22">
        <f t="shared" si="0"/>
        <v>9979791</v>
      </c>
      <c r="J9" s="22">
        <v>2724996</v>
      </c>
      <c r="K9" s="22">
        <f>(SUM(D9:G9)/4)+VLOOKUP('Summary 2019'!A9,'Small Rev'!$A$15:$L$40,10,FALSE)</f>
        <v>2418264.5</v>
      </c>
      <c r="L9" s="22">
        <f t="shared" si="1"/>
        <v>2418264.5</v>
      </c>
      <c r="M9" s="22">
        <f t="shared" si="2"/>
        <v>2418266</v>
      </c>
    </row>
    <row r="10" spans="1:13">
      <c r="A10" s="11" t="s">
        <v>11</v>
      </c>
      <c r="B10" s="134" t="s">
        <v>44</v>
      </c>
      <c r="C10" s="23">
        <f>VLOOKUP(A10,'Small Rev'!$A$15:$G$40,7,FALSE)</f>
        <v>0</v>
      </c>
      <c r="D10" s="23">
        <f>VLOOKUP(A10,'IP Supp Combo'!$B$10:$I$35,7,FALSE)</f>
        <v>9889752</v>
      </c>
      <c r="E10" s="23">
        <f>VLOOKUP(A10,'IP Supp Combo'!$B$10:$I$35,8,FALSE)</f>
        <v>3527421</v>
      </c>
      <c r="F10" s="23">
        <f>VLOOKUP(A10,Mid!$A$10:$G$35,7,FALSE)</f>
        <v>15824390</v>
      </c>
      <c r="G10" s="23">
        <f>VLOOKUP(A10,'OP Supp'!$A$9:$E$34,5,FALSE)</f>
        <v>2825366</v>
      </c>
      <c r="H10" s="22">
        <f t="shared" si="0"/>
        <v>32066929</v>
      </c>
      <c r="J10" s="22">
        <v>8016732</v>
      </c>
      <c r="K10" s="22">
        <f>(SUM(D10:G10)/4)+VLOOKUP('Summary 2019'!A10,'Small Rev'!$A$15:$L$40,10,FALSE)</f>
        <v>8016732.25</v>
      </c>
      <c r="L10" s="22">
        <f t="shared" si="1"/>
        <v>8016732.25</v>
      </c>
      <c r="M10" s="22">
        <f t="shared" si="2"/>
        <v>8016732.5</v>
      </c>
    </row>
    <row r="11" spans="1:13">
      <c r="A11" s="12" t="s">
        <v>12</v>
      </c>
      <c r="B11" s="134" t="s">
        <v>45</v>
      </c>
      <c r="C11" s="23">
        <f>VLOOKUP(A11,'Small Rev'!$A$15:$G$40,7,FALSE)</f>
        <v>3009037</v>
      </c>
      <c r="D11" s="23">
        <f>VLOOKUP(A11,'IP Supp Combo'!$B$10:$I$35,7,FALSE)</f>
        <v>2814170</v>
      </c>
      <c r="E11" s="23">
        <f>VLOOKUP(A11,'IP Supp Combo'!$B$10:$I$35,8,FALSE)</f>
        <v>1003742</v>
      </c>
      <c r="F11" s="23">
        <f>VLOOKUP(A11,Mid!$A$10:$G$35,7,FALSE)</f>
        <v>0</v>
      </c>
      <c r="G11" s="23">
        <f>VLOOKUP(A11,'OP Supp'!$A$9:$E$34,5,FALSE)</f>
        <v>1152514</v>
      </c>
      <c r="H11" s="22">
        <f t="shared" si="0"/>
        <v>7979463</v>
      </c>
      <c r="J11" s="22">
        <v>2224914</v>
      </c>
      <c r="K11" s="22">
        <f>(SUM(D11:G11)/4)+VLOOKUP('Summary 2019'!A11,'Small Rev'!$A$15:$L$40,10,FALSE)</f>
        <v>1918182.5</v>
      </c>
      <c r="L11" s="22">
        <f t="shared" si="1"/>
        <v>1918182.5</v>
      </c>
      <c r="M11" s="22">
        <f t="shared" si="2"/>
        <v>1918184</v>
      </c>
    </row>
    <row r="12" spans="1:13">
      <c r="A12" s="12" t="s">
        <v>13</v>
      </c>
      <c r="B12" s="134" t="s">
        <v>46</v>
      </c>
      <c r="C12" s="23">
        <f>VLOOKUP(A12,'Small Rev'!$A$15:$G$40,7,FALSE)</f>
        <v>0</v>
      </c>
      <c r="D12" s="23">
        <f>VLOOKUP(A12,'IP Supp Combo'!$B$10:$I$35,7,FALSE)</f>
        <v>1501487</v>
      </c>
      <c r="E12" s="23">
        <f>VLOOKUP(A12,'IP Supp Combo'!$B$10:$I$35,8,FALSE)</f>
        <v>535542</v>
      </c>
      <c r="F12" s="23">
        <f>VLOOKUP(A12,Mid!$A$10:$G$35,7,FALSE)</f>
        <v>3430740</v>
      </c>
      <c r="G12" s="23">
        <f>VLOOKUP(A12,'OP Supp'!$A$9:$E$34,5,FALSE)</f>
        <v>585456</v>
      </c>
      <c r="H12" s="22">
        <f t="shared" si="0"/>
        <v>6053225</v>
      </c>
      <c r="J12" s="22">
        <v>1513306</v>
      </c>
      <c r="K12" s="22">
        <f>(SUM(D12:G12)/4)+VLOOKUP('Summary 2019'!A12,'Small Rev'!$A$15:$L$40,10,FALSE)</f>
        <v>1513306.25</v>
      </c>
      <c r="L12" s="22">
        <f t="shared" si="1"/>
        <v>1513306.25</v>
      </c>
      <c r="M12" s="22">
        <f t="shared" si="2"/>
        <v>1513306.5</v>
      </c>
    </row>
    <row r="13" spans="1:13">
      <c r="A13" s="12" t="s">
        <v>14</v>
      </c>
      <c r="B13" s="134" t="s">
        <v>47</v>
      </c>
      <c r="C13" s="23">
        <f>VLOOKUP(A13,'Small Rev'!$A$15:$G$40,7,FALSE)</f>
        <v>3009037</v>
      </c>
      <c r="D13" s="23">
        <f>VLOOKUP(A13,'IP Supp Combo'!$B$10:$I$35,7,FALSE)</f>
        <v>4019328</v>
      </c>
      <c r="E13" s="23">
        <f>VLOOKUP(A13,'IP Supp Combo'!$B$10:$I$35,8,FALSE)</f>
        <v>1433591</v>
      </c>
      <c r="F13" s="23">
        <f>VLOOKUP(A13,Mid!$A$10:$G$35,7,FALSE)</f>
        <v>0</v>
      </c>
      <c r="G13" s="23">
        <f>VLOOKUP(A13,'OP Supp'!$A$9:$E$34,5,FALSE)</f>
        <v>1409530</v>
      </c>
      <c r="H13" s="22">
        <f t="shared" si="0"/>
        <v>9871486</v>
      </c>
      <c r="J13" s="22">
        <v>2697920</v>
      </c>
      <c r="K13" s="22">
        <f>(SUM(D13:G13)/4)+VLOOKUP('Summary 2019'!A13,'Small Rev'!$A$15:$L$40,10,FALSE)</f>
        <v>2391188.25</v>
      </c>
      <c r="L13" s="22">
        <f t="shared" si="1"/>
        <v>2391188.25</v>
      </c>
      <c r="M13" s="22">
        <f t="shared" si="2"/>
        <v>2391189.5</v>
      </c>
    </row>
    <row r="14" spans="1:13">
      <c r="A14" s="12" t="s">
        <v>15</v>
      </c>
      <c r="B14" s="134" t="s">
        <v>48</v>
      </c>
      <c r="C14" s="23">
        <f>VLOOKUP(A14,'Small Rev'!$A$15:$G$40,7,FALSE)</f>
        <v>0</v>
      </c>
      <c r="D14" s="23">
        <f>VLOOKUP(A14,'IP Supp Combo'!$B$10:$I$35,7,FALSE)</f>
        <v>35479040</v>
      </c>
      <c r="E14" s="23">
        <f>VLOOKUP(A14,'IP Supp Combo'!$B$10:$I$35,8,FALSE)</f>
        <v>12654464</v>
      </c>
      <c r="F14" s="23">
        <f>VLOOKUP(A14,Mid!$A$10:$G$35,7,FALSE)</f>
        <v>0</v>
      </c>
      <c r="G14" s="23">
        <f>VLOOKUP(A14,'OP Supp'!$A$9:$E$34,5,FALSE)</f>
        <v>6264007</v>
      </c>
      <c r="H14" s="22">
        <f t="shared" si="0"/>
        <v>54397511</v>
      </c>
      <c r="J14" s="22">
        <v>13599378</v>
      </c>
      <c r="K14" s="22">
        <f>(SUM(D14:G14)/4)+VLOOKUP('Summary 2019'!A14,'Small Rev'!$A$15:$L$40,10,FALSE)</f>
        <v>13599377.75</v>
      </c>
      <c r="L14" s="22">
        <f t="shared" si="1"/>
        <v>13599377.75</v>
      </c>
      <c r="M14" s="22">
        <f t="shared" si="2"/>
        <v>13599377.5</v>
      </c>
    </row>
    <row r="15" spans="1:13">
      <c r="A15" s="12" t="s">
        <v>16</v>
      </c>
      <c r="B15" s="135" t="s">
        <v>49</v>
      </c>
      <c r="C15" s="23">
        <f>VLOOKUP(A15,'Small Rev'!$A$15:$G$40,7,FALSE)</f>
        <v>0</v>
      </c>
      <c r="D15" s="23">
        <f>VLOOKUP(A15,'IP Supp Combo'!$B$10:$I$35,7,FALSE)</f>
        <v>9919239</v>
      </c>
      <c r="E15" s="23">
        <f>VLOOKUP(A15,'IP Supp Combo'!$B$10:$I$35,8,FALSE)</f>
        <v>3537938</v>
      </c>
      <c r="F15" s="23">
        <f>VLOOKUP(A15,Mid!$A$10:$G$35,7,FALSE)</f>
        <v>0</v>
      </c>
      <c r="G15" s="23">
        <f>VLOOKUP(A15,'OP Supp'!$A$9:$E$34,5,FALSE)</f>
        <v>3814987</v>
      </c>
      <c r="H15" s="22">
        <f t="shared" si="0"/>
        <v>17272164</v>
      </c>
      <c r="J15" s="22">
        <v>4318041</v>
      </c>
      <c r="K15" s="22">
        <f>(SUM(D15:G15)/4)+VLOOKUP('Summary 2019'!A15,'Small Rev'!$A$15:$L$40,10,FALSE)</f>
        <v>4318041</v>
      </c>
      <c r="L15" s="22">
        <f t="shared" si="1"/>
        <v>4318041</v>
      </c>
      <c r="M15" s="22">
        <f t="shared" si="2"/>
        <v>4318041</v>
      </c>
    </row>
    <row r="16" spans="1:13">
      <c r="A16" s="12" t="s">
        <v>17</v>
      </c>
      <c r="B16" s="134" t="s">
        <v>50</v>
      </c>
      <c r="C16" s="23">
        <f>VLOOKUP(A16,'Small Rev'!$A$15:$G$40,7,FALSE)</f>
        <v>0</v>
      </c>
      <c r="D16" s="23">
        <f>VLOOKUP(A16,'IP Supp Combo'!$B$10:$I$35,7,FALSE)</f>
        <v>2624893</v>
      </c>
      <c r="E16" s="23">
        <f>VLOOKUP(A16,'IP Supp Combo'!$B$10:$I$35,8,FALSE)</f>
        <v>936232</v>
      </c>
      <c r="F16" s="23">
        <f>VLOOKUP(A16,Mid!$A$10:$G$35,7,FALSE)</f>
        <v>0</v>
      </c>
      <c r="G16" s="23">
        <f>VLOOKUP(A16,'OP Supp'!$A$9:$E$34,5,FALSE)</f>
        <v>1102827</v>
      </c>
      <c r="H16" s="22">
        <f t="shared" si="0"/>
        <v>4663952</v>
      </c>
      <c r="J16" s="22">
        <v>1165988</v>
      </c>
      <c r="K16" s="22">
        <f>(SUM(D16:G16)/4)+VLOOKUP('Summary 2019'!A16,'Small Rev'!$A$15:$L$40,10,FALSE)</f>
        <v>1165988</v>
      </c>
      <c r="L16" s="22">
        <f t="shared" si="1"/>
        <v>1165988</v>
      </c>
      <c r="M16" s="22">
        <f t="shared" si="2"/>
        <v>1165988</v>
      </c>
    </row>
    <row r="17" spans="1:13">
      <c r="A17" s="12" t="s">
        <v>18</v>
      </c>
      <c r="B17" s="134" t="s">
        <v>51</v>
      </c>
      <c r="C17" s="23">
        <f>VLOOKUP(A17,'Small Rev'!$A$15:$G$40,7,FALSE)</f>
        <v>0</v>
      </c>
      <c r="D17" s="23">
        <f>VLOOKUP(A17,'IP Supp Combo'!$B$10:$I$35,7,FALSE)</f>
        <v>1801275</v>
      </c>
      <c r="E17" s="23">
        <f>VLOOKUP(A17,'IP Supp Combo'!$B$10:$I$35,8,FALSE)</f>
        <v>642469</v>
      </c>
      <c r="F17" s="23">
        <f>VLOOKUP(A17,Mid!$A$10:$G$35,7,FALSE)</f>
        <v>0</v>
      </c>
      <c r="G17" s="23">
        <f>VLOOKUP(A17,'OP Supp'!$A$9:$E$34,5,FALSE)</f>
        <v>353908</v>
      </c>
      <c r="H17" s="22">
        <f t="shared" si="0"/>
        <v>2797652</v>
      </c>
      <c r="J17" s="22">
        <v>699413</v>
      </c>
      <c r="K17" s="22">
        <f>(SUM(D17:G17)/4)+VLOOKUP('Summary 2019'!A17,'Small Rev'!$A$15:$L$40,10,FALSE)</f>
        <v>699413</v>
      </c>
      <c r="L17" s="22">
        <f t="shared" si="1"/>
        <v>699413</v>
      </c>
      <c r="M17" s="22">
        <f t="shared" si="2"/>
        <v>699413</v>
      </c>
    </row>
    <row r="18" spans="1:13">
      <c r="A18" s="12" t="s">
        <v>19</v>
      </c>
      <c r="B18" s="135" t="s">
        <v>52</v>
      </c>
      <c r="C18" s="23">
        <f>VLOOKUP(A18,'Small Rev'!$A$15:$G$40,7,FALSE)</f>
        <v>0</v>
      </c>
      <c r="D18" s="23">
        <f>VLOOKUP(A18,'IP Supp Combo'!$B$10:$I$35,7,FALSE)</f>
        <v>8332520</v>
      </c>
      <c r="E18" s="23">
        <f>VLOOKUP(A18,'IP Supp Combo'!$B$10:$I$35,8,FALSE)</f>
        <v>2971996</v>
      </c>
      <c r="F18" s="23">
        <f>VLOOKUP(A18,Mid!$A$10:$G$35,7,FALSE)</f>
        <v>0</v>
      </c>
      <c r="G18" s="23">
        <f>VLOOKUP(A18,'OP Supp'!$A$9:$E$34,5,FALSE)</f>
        <v>2248490</v>
      </c>
      <c r="H18" s="22">
        <f t="shared" si="0"/>
        <v>13553006</v>
      </c>
      <c r="J18" s="22">
        <v>3388252</v>
      </c>
      <c r="K18" s="22">
        <f>(SUM(D18:G18)/4)+VLOOKUP('Summary 2019'!A18,'Small Rev'!$A$15:$L$40,10,FALSE)</f>
        <v>3388251.5</v>
      </c>
      <c r="L18" s="22">
        <f t="shared" si="1"/>
        <v>3388251.5</v>
      </c>
      <c r="M18" s="22">
        <f t="shared" si="2"/>
        <v>3388251</v>
      </c>
    </row>
    <row r="19" spans="1:13">
      <c r="A19" s="12" t="s">
        <v>20</v>
      </c>
      <c r="B19" s="134" t="s">
        <v>53</v>
      </c>
      <c r="C19" s="23">
        <f>VLOOKUP(A19,'Small Rev'!$A$15:$G$40,7,FALSE)</f>
        <v>0</v>
      </c>
      <c r="D19" s="23">
        <f>VLOOKUP(A19,'IP Supp Combo'!$B$10:$I$35,7,FALSE)</f>
        <v>5828439</v>
      </c>
      <c r="E19" s="23">
        <f>VLOOKUP(A19,'IP Supp Combo'!$B$10:$I$35,8,FALSE)</f>
        <v>2078855</v>
      </c>
      <c r="F19" s="23">
        <f>VLOOKUP(A19,Mid!$A$10:$G$35,7,FALSE)</f>
        <v>0</v>
      </c>
      <c r="G19" s="23">
        <f>VLOOKUP(A19,'OP Supp'!$A$9:$E$34,5,FALSE)</f>
        <v>1923865</v>
      </c>
      <c r="H19" s="22">
        <f t="shared" si="0"/>
        <v>9831159</v>
      </c>
      <c r="J19" s="22">
        <v>2457790</v>
      </c>
      <c r="K19" s="22">
        <f>(SUM(D19:G19)/4)+VLOOKUP('Summary 2019'!A19,'Small Rev'!$A$15:$L$40,10,FALSE)</f>
        <v>2457789.75</v>
      </c>
      <c r="L19" s="22">
        <f t="shared" si="1"/>
        <v>2457789.75</v>
      </c>
      <c r="M19" s="22">
        <f t="shared" si="2"/>
        <v>2457789.5</v>
      </c>
    </row>
    <row r="20" spans="1:13">
      <c r="A20" s="12" t="s">
        <v>21</v>
      </c>
      <c r="B20" s="134" t="s">
        <v>55</v>
      </c>
      <c r="C20" s="23">
        <f>VLOOKUP(A20,'Small Rev'!$A$15:$G$40,7,FALSE)</f>
        <v>0</v>
      </c>
      <c r="D20" s="23">
        <f>VLOOKUP(A20,'IP Supp Combo'!$B$10:$I$35,7,FALSE)</f>
        <v>4566631</v>
      </c>
      <c r="E20" s="23">
        <f>VLOOKUP(A20,'IP Supp Combo'!$B$10:$I$35,8,FALSE)</f>
        <v>1628800</v>
      </c>
      <c r="F20" s="23">
        <f>VLOOKUP(A20,Mid!$A$10:$G$35,7,FALSE)</f>
        <v>0</v>
      </c>
      <c r="G20" s="23">
        <f>VLOOKUP(A20,'OP Supp'!$A$9:$E$34,5,FALSE)</f>
        <v>1631667</v>
      </c>
      <c r="H20" s="22">
        <f t="shared" si="0"/>
        <v>7827098</v>
      </c>
      <c r="J20" s="22">
        <v>1956775</v>
      </c>
      <c r="K20" s="22">
        <f>(SUM(D20:G20)/4)+VLOOKUP('Summary 2019'!A20,'Small Rev'!$A$15:$L$40,10,FALSE)</f>
        <v>1956774.5</v>
      </c>
      <c r="L20" s="22">
        <f t="shared" si="1"/>
        <v>1956774.5</v>
      </c>
      <c r="M20" s="22">
        <f t="shared" si="2"/>
        <v>1956774</v>
      </c>
    </row>
    <row r="21" spans="1:13">
      <c r="A21" s="12" t="s">
        <v>22</v>
      </c>
      <c r="B21" s="134" t="s">
        <v>54</v>
      </c>
      <c r="C21" s="23">
        <f>VLOOKUP(A21,'Small Rev'!$A$15:$G$40,7,FALSE)</f>
        <v>0</v>
      </c>
      <c r="D21" s="23">
        <f>VLOOKUP(A21,'IP Supp Combo'!$B$10:$I$35,7,FALSE)</f>
        <v>6200374</v>
      </c>
      <c r="E21" s="23">
        <f>VLOOKUP(A21,'IP Supp Combo'!$B$10:$I$35,8,FALSE)</f>
        <v>2211514</v>
      </c>
      <c r="F21" s="23">
        <f>VLOOKUP(A21,Mid!$A$10:$G$35,7,FALSE)</f>
        <v>14167203</v>
      </c>
      <c r="G21" s="23">
        <f>VLOOKUP(A21,'OP Supp'!$A$9:$E$34,5,FALSE)</f>
        <v>2201437</v>
      </c>
      <c r="H21" s="22">
        <f t="shared" si="0"/>
        <v>24780528</v>
      </c>
      <c r="J21" s="22">
        <v>6195132</v>
      </c>
      <c r="K21" s="22">
        <f>(SUM(D21:G21)/4)+VLOOKUP('Summary 2019'!A21,'Small Rev'!$A$15:$L$40,10,FALSE)</f>
        <v>6195132</v>
      </c>
      <c r="L21" s="22">
        <f t="shared" si="1"/>
        <v>6195132</v>
      </c>
      <c r="M21" s="22">
        <f t="shared" si="2"/>
        <v>6195132</v>
      </c>
    </row>
    <row r="22" spans="1:13">
      <c r="A22" s="12" t="s">
        <v>23</v>
      </c>
      <c r="B22" s="134" t="s">
        <v>56</v>
      </c>
      <c r="C22" s="23">
        <f>VLOOKUP(A22,'Small Rev'!$A$15:$G$40,7,FALSE)</f>
        <v>812450</v>
      </c>
      <c r="D22" s="23">
        <f>VLOOKUP(A22,'IP Supp Combo'!$B$10:$I$35,7,FALSE)</f>
        <v>644811</v>
      </c>
      <c r="E22" s="23">
        <f>VLOOKUP(A22,'IP Supp Combo'!$B$10:$I$35,8,FALSE)</f>
        <v>229988</v>
      </c>
      <c r="F22" s="23">
        <f>VLOOKUP(A22,Mid!$A$10:$G$35,7,FALSE)</f>
        <v>0</v>
      </c>
      <c r="G22" s="23">
        <f>VLOOKUP(A22,'OP Supp'!$A$9:$E$34,5,FALSE)</f>
        <v>446082</v>
      </c>
      <c r="H22" s="22">
        <f t="shared" si="0"/>
        <v>2133331</v>
      </c>
      <c r="J22" s="22">
        <v>595447</v>
      </c>
      <c r="K22" s="22">
        <f>(SUM(D22:G22)/4)+VLOOKUP('Summary 2019'!A22,'Small Rev'!$A$15:$L$40,10,FALSE)</f>
        <v>512628.25</v>
      </c>
      <c r="L22" s="22">
        <f t="shared" si="1"/>
        <v>512628.25</v>
      </c>
      <c r="M22" s="22">
        <f t="shared" si="2"/>
        <v>512627.5</v>
      </c>
    </row>
    <row r="23" spans="1:13">
      <c r="A23" s="12" t="s">
        <v>24</v>
      </c>
      <c r="B23" s="134" t="s">
        <v>57</v>
      </c>
      <c r="C23" s="23">
        <f>VLOOKUP(A23,'Small Rev'!$A$15:$G$40,7,FALSE)</f>
        <v>0</v>
      </c>
      <c r="D23" s="23">
        <f>VLOOKUP(A23,'IP Supp Combo'!$B$10:$I$35,7,FALSE)</f>
        <v>9557599</v>
      </c>
      <c r="E23" s="23">
        <f>VLOOKUP(A23,'IP Supp Combo'!$B$10:$I$35,8,FALSE)</f>
        <v>3408950</v>
      </c>
      <c r="F23" s="23">
        <f>VLOOKUP(A23,Mid!$A$10:$G$35,7,FALSE)</f>
        <v>15824390</v>
      </c>
      <c r="G23" s="23">
        <f>VLOOKUP(A23,'OP Supp'!$A$9:$E$34,5,FALSE)</f>
        <v>2274031</v>
      </c>
      <c r="H23" s="22">
        <f t="shared" si="0"/>
        <v>31064970</v>
      </c>
      <c r="J23" s="22">
        <v>7766243</v>
      </c>
      <c r="K23" s="22">
        <f>(SUM(D23:G23)/4)+VLOOKUP('Summary 2019'!A23,'Small Rev'!$A$15:$L$40,10,FALSE)</f>
        <v>7766242.5</v>
      </c>
      <c r="L23" s="22">
        <f t="shared" si="1"/>
        <v>7766242.5</v>
      </c>
      <c r="M23" s="22">
        <f t="shared" si="2"/>
        <v>7766242</v>
      </c>
    </row>
    <row r="24" spans="1:13">
      <c r="A24" s="12" t="s">
        <v>25</v>
      </c>
      <c r="B24" s="134" t="s">
        <v>58</v>
      </c>
      <c r="C24" s="23">
        <f>VLOOKUP(A24,'Small Rev'!$A$15:$G$40,7,FALSE)</f>
        <v>0</v>
      </c>
      <c r="D24" s="23">
        <f>VLOOKUP(A24,'IP Supp Combo'!$B$10:$I$35,7,FALSE)</f>
        <v>931533</v>
      </c>
      <c r="E24" s="23">
        <f>VLOOKUP(A24,'IP Supp Combo'!$B$10:$I$35,8,FALSE)</f>
        <v>332254</v>
      </c>
      <c r="F24" s="23">
        <f>VLOOKUP(A24,Mid!$A$10:$G$35,7,FALSE)</f>
        <v>0</v>
      </c>
      <c r="G24" s="23">
        <f>VLOOKUP(A24,'OP Supp'!$A$9:$E$34,5,FALSE)</f>
        <v>618870</v>
      </c>
      <c r="H24" s="22">
        <f t="shared" si="0"/>
        <v>1882657</v>
      </c>
      <c r="J24" s="22">
        <v>470664</v>
      </c>
      <c r="K24" s="22">
        <f>(SUM(D24:G24)/4)+VLOOKUP('Summary 2019'!A24,'Small Rev'!$A$15:$L$40,10,FALSE)</f>
        <v>470664.25</v>
      </c>
      <c r="L24" s="22">
        <f t="shared" si="1"/>
        <v>470664.25</v>
      </c>
      <c r="M24" s="22">
        <f t="shared" si="2"/>
        <v>470664.5</v>
      </c>
    </row>
    <row r="25" spans="1:13">
      <c r="A25" s="12" t="s">
        <v>26</v>
      </c>
      <c r="B25" s="134" t="s">
        <v>60</v>
      </c>
      <c r="C25" s="23">
        <f>VLOOKUP(A25,'Small Rev'!$A$15:$G$40,7,FALSE)</f>
        <v>0</v>
      </c>
      <c r="D25" s="23">
        <f>VLOOKUP(A25,'IP Supp Combo'!$B$10:$I$35,7,FALSE)</f>
        <v>26052026</v>
      </c>
      <c r="E25" s="23">
        <f>VLOOKUP(A25,'IP Supp Combo'!$B$10:$I$35,8,FALSE)</f>
        <v>9292090</v>
      </c>
      <c r="F25" s="23">
        <f>VLOOKUP(A25,Mid!$A$10:$G$35,7,FALSE)</f>
        <v>0</v>
      </c>
      <c r="G25" s="23">
        <f>VLOOKUP(A25,'OP Supp'!$A$9:$E$34,5,FALSE)</f>
        <v>4098371</v>
      </c>
      <c r="H25" s="22">
        <f t="shared" si="0"/>
        <v>39442487</v>
      </c>
      <c r="J25" s="22">
        <v>9860622</v>
      </c>
      <c r="K25" s="22">
        <f>(SUM(D25:G25)/4)+VLOOKUP('Summary 2019'!A25,'Small Rev'!$A$15:$L$40,10,FALSE)</f>
        <v>9860621.75</v>
      </c>
      <c r="L25" s="22">
        <f t="shared" si="1"/>
        <v>9860621.75</v>
      </c>
      <c r="M25" s="22">
        <f t="shared" si="2"/>
        <v>9860621.5</v>
      </c>
    </row>
    <row r="26" spans="1:13">
      <c r="A26" s="12" t="s">
        <v>27</v>
      </c>
      <c r="B26" s="134" t="s">
        <v>61</v>
      </c>
      <c r="C26" s="23">
        <f>VLOOKUP(A26,'Small Rev'!$A$15:$G$40,7,FALSE)</f>
        <v>0</v>
      </c>
      <c r="D26" s="23">
        <f>VLOOKUP(A26,'IP Supp Combo'!$B$10:$I$35,7,FALSE)</f>
        <v>10386602</v>
      </c>
      <c r="E26" s="23">
        <f>VLOOKUP(A26,'IP Supp Combo'!$B$10:$I$35,8,FALSE)</f>
        <v>3704634</v>
      </c>
      <c r="F26" s="23">
        <f>VLOOKUP(A26,Mid!$A$10:$G$35,7,FALSE)</f>
        <v>0</v>
      </c>
      <c r="G26" s="23">
        <f>VLOOKUP(A26,'OP Supp'!$A$9:$E$34,5,FALSE)</f>
        <v>3069152</v>
      </c>
      <c r="H26" s="22">
        <f t="shared" si="0"/>
        <v>17160388</v>
      </c>
      <c r="J26" s="22">
        <v>4290097</v>
      </c>
      <c r="K26" s="22">
        <f>(SUM(D26:G26)/4)+VLOOKUP('Summary 2019'!A26,'Small Rev'!$A$15:$L$40,10,FALSE)</f>
        <v>4290097</v>
      </c>
      <c r="L26" s="22">
        <f t="shared" si="1"/>
        <v>4290097</v>
      </c>
      <c r="M26" s="22">
        <f t="shared" si="2"/>
        <v>4290097</v>
      </c>
    </row>
    <row r="27" spans="1:13">
      <c r="A27" s="12" t="s">
        <v>28</v>
      </c>
      <c r="B27" s="134" t="s">
        <v>62</v>
      </c>
      <c r="C27" s="23">
        <f>VLOOKUP(A27,'Small Rev'!$A$15:$G$40,7,FALSE)</f>
        <v>0</v>
      </c>
      <c r="D27" s="23">
        <f>VLOOKUP(A27,'IP Supp Combo'!$B$10:$I$35,7,FALSE)</f>
        <v>17822100</v>
      </c>
      <c r="E27" s="23">
        <f>VLOOKUP(A27,'IP Supp Combo'!$B$10:$I$35,8,FALSE)</f>
        <v>6356686</v>
      </c>
      <c r="F27" s="23">
        <f>VLOOKUP(A27,Mid!$A$10:$G$35,7,FALSE)</f>
        <v>0</v>
      </c>
      <c r="G27" s="23">
        <f>VLOOKUP(A27,'OP Supp'!$A$9:$E$34,5,FALSE)</f>
        <v>3855833</v>
      </c>
      <c r="H27" s="22">
        <f t="shared" si="0"/>
        <v>28034619</v>
      </c>
      <c r="J27" s="22">
        <v>7008655</v>
      </c>
      <c r="K27" s="22">
        <f>(SUM(D27:G27)/4)+VLOOKUP('Summary 2019'!A27,'Small Rev'!$A$15:$L$40,10,FALSE)</f>
        <v>7008654.75</v>
      </c>
      <c r="L27" s="22">
        <f t="shared" si="1"/>
        <v>7008654.75</v>
      </c>
      <c r="M27" s="22">
        <f t="shared" si="2"/>
        <v>7008654.5</v>
      </c>
    </row>
    <row r="28" spans="1:13">
      <c r="A28" s="12" t="s">
        <v>29</v>
      </c>
      <c r="B28" s="134" t="s">
        <v>59</v>
      </c>
      <c r="C28" s="23">
        <f>VLOOKUP(A28,'Small Rev'!$A$15:$G$40,7,FALSE)</f>
        <v>0</v>
      </c>
      <c r="D28" s="23">
        <f>VLOOKUP(A28,'IP Supp Combo'!$B$10:$I$35,7,FALSE)</f>
        <v>504864</v>
      </c>
      <c r="E28" s="23">
        <f>VLOOKUP(A28,'IP Supp Combo'!$B$10:$I$35,8,FALSE)</f>
        <v>180072</v>
      </c>
      <c r="F28" s="23">
        <f>VLOOKUP(A28,Mid!$A$10:$G$35,7,FALSE)</f>
        <v>0</v>
      </c>
      <c r="G28" s="23">
        <f>VLOOKUP(A28,'OP Supp'!$A$9:$E$34,5,FALSE)</f>
        <v>152640</v>
      </c>
      <c r="H28" s="22">
        <f t="shared" si="0"/>
        <v>837576</v>
      </c>
      <c r="J28" s="22">
        <v>209394</v>
      </c>
      <c r="K28" s="22">
        <f>(SUM(D28:G28)/4)+VLOOKUP('Summary 2019'!A28,'Small Rev'!$A$15:$L$40,10,FALSE)</f>
        <v>209394</v>
      </c>
      <c r="L28" s="22">
        <f t="shared" si="1"/>
        <v>209394</v>
      </c>
      <c r="M28" s="22">
        <f t="shared" si="2"/>
        <v>209394</v>
      </c>
    </row>
    <row r="29" spans="1:13">
      <c r="A29" s="12" t="s">
        <v>30</v>
      </c>
      <c r="B29" s="134" t="s">
        <v>63</v>
      </c>
      <c r="C29" s="23">
        <f>VLOOKUP(A29,'Small Rev'!$A$15:$G$40,7,FALSE)</f>
        <v>0</v>
      </c>
      <c r="D29" s="23">
        <f>VLOOKUP(A29,'IP Supp Combo'!$B$10:$I$35,7,FALSE)</f>
        <v>6894530</v>
      </c>
      <c r="E29" s="23">
        <f>VLOOKUP(A29,'IP Supp Combo'!$B$10:$I$35,8,FALSE)</f>
        <v>2459102</v>
      </c>
      <c r="F29" s="23">
        <f>VLOOKUP(A29,Mid!$A$10:$G$35,7,FALSE)</f>
        <v>15753277</v>
      </c>
      <c r="G29" s="23">
        <f>VLOOKUP(A29,'OP Supp'!$A$9:$E$34,5,FALSE)</f>
        <v>2590321</v>
      </c>
      <c r="H29" s="22">
        <f t="shared" si="0"/>
        <v>27697230</v>
      </c>
      <c r="J29" s="22">
        <v>6924308</v>
      </c>
      <c r="K29" s="22">
        <f>(SUM(D29:G29)/4)+VLOOKUP('Summary 2019'!A29,'Small Rev'!$A$15:$L$40,10,FALSE)</f>
        <v>6924307.5</v>
      </c>
      <c r="L29" s="22">
        <f t="shared" si="1"/>
        <v>6924307.5</v>
      </c>
      <c r="M29" s="22">
        <f t="shared" si="2"/>
        <v>6924307</v>
      </c>
    </row>
    <row r="30" spans="1:13">
      <c r="A30" s="13" t="s">
        <v>31</v>
      </c>
      <c r="B30" s="134" t="s">
        <v>64</v>
      </c>
      <c r="C30" s="23">
        <f>VLOOKUP(A30,'Small Rev'!$A$15:$G$40,7,FALSE)</f>
        <v>0</v>
      </c>
      <c r="D30" s="23">
        <f>VLOOKUP(A30,'IP Supp Combo'!$B$10:$I$35,7,FALSE)</f>
        <v>9878363</v>
      </c>
      <c r="E30" s="23">
        <f>VLOOKUP(A30,'IP Supp Combo'!$B$10:$I$35,8,FALSE)</f>
        <v>3523359</v>
      </c>
      <c r="F30" s="23">
        <f>VLOOKUP(A30,Mid!$A$10:$G$35,7,FALSE)</f>
        <v>0</v>
      </c>
      <c r="G30" s="23">
        <f>VLOOKUP(A30,'OP Supp'!$A$9:$E$34,5,FALSE)</f>
        <v>1968209</v>
      </c>
      <c r="H30" s="22">
        <f t="shared" si="0"/>
        <v>15369931</v>
      </c>
      <c r="J30" s="22">
        <v>3842483</v>
      </c>
      <c r="K30" s="22">
        <f>(SUM(D30:G30)/4)+VLOOKUP('Summary 2019'!A30,'Small Rev'!$A$15:$L$40,10,FALSE)</f>
        <v>3842482.75</v>
      </c>
      <c r="L30" s="22">
        <f t="shared" si="1"/>
        <v>3842482.75</v>
      </c>
      <c r="M30" s="22">
        <f t="shared" si="2"/>
        <v>3842482.5</v>
      </c>
    </row>
    <row r="31" spans="1:13">
      <c r="A31" s="13" t="s">
        <v>32</v>
      </c>
      <c r="B31" s="134" t="s">
        <v>65</v>
      </c>
      <c r="C31" s="23">
        <f>VLOOKUP(A31,'Small Rev'!$A$15:$G$40,7,FALSE)</f>
        <v>0</v>
      </c>
      <c r="D31" s="23">
        <f>VLOOKUP(A31,'IP Supp Combo'!$B$10:$I$35,7,FALSE)</f>
        <v>1056611</v>
      </c>
      <c r="E31" s="23">
        <f>VLOOKUP(A31,'IP Supp Combo'!$B$10:$I$35,8,FALSE)</f>
        <v>376866</v>
      </c>
      <c r="F31" s="23">
        <f>VLOOKUP(A31,Mid!$A$10:$G$35,7,FALSE)</f>
        <v>0</v>
      </c>
      <c r="G31" s="105">
        <f>VLOOKUP(A31,'OP Supp'!$A$9:$E$34,5,FALSE)</f>
        <v>835431</v>
      </c>
      <c r="H31" s="22">
        <f t="shared" si="0"/>
        <v>2268908</v>
      </c>
      <c r="J31" s="22">
        <v>567227</v>
      </c>
      <c r="K31" s="161">
        <f>(SUM(D31:G31)/4)+VLOOKUP('Summary 2019'!A31,'Small Rev'!$A$15:$L$40,10,FALSE)</f>
        <v>567227</v>
      </c>
      <c r="L31" s="22">
        <f t="shared" si="1"/>
        <v>567227</v>
      </c>
      <c r="M31" s="22">
        <f t="shared" si="2"/>
        <v>567227</v>
      </c>
    </row>
    <row r="32" spans="1:13">
      <c r="A32" s="10" t="s">
        <v>33</v>
      </c>
      <c r="B32" s="136" t="s">
        <v>66</v>
      </c>
      <c r="C32" s="1">
        <f>VLOOKUP(A32,'Small Rev'!$A$15:$G$40,7,FALSE)</f>
        <v>0</v>
      </c>
      <c r="D32" s="1">
        <f>VLOOKUP(A32,'IP Supp Combo'!$B$10:$I$35,7,FALSE)</f>
        <v>38210500</v>
      </c>
      <c r="E32" s="1">
        <f>VLOOKUP(A32,'IP Supp Combo'!$B$10:$I$35,8,FALSE)</f>
        <v>27951658</v>
      </c>
      <c r="F32" s="1">
        <f>VLOOKUP(A32,Mid!$A$10:$G$35,7,FALSE)</f>
        <v>0</v>
      </c>
      <c r="G32" s="1">
        <f>VLOOKUP(A32,'OP Supp'!$A$9:$E$34,5,FALSE)</f>
        <v>10637090</v>
      </c>
      <c r="H32" s="87">
        <f t="shared" si="0"/>
        <v>76799248</v>
      </c>
      <c r="J32" s="87">
        <v>19199812</v>
      </c>
      <c r="K32" s="87">
        <f>(SUM(D32:G32)/4)+VLOOKUP('Summary 2019'!A32,'Small Rev'!$A$15:$L$40,10,FALSE)</f>
        <v>19199812</v>
      </c>
      <c r="L32" s="87">
        <f t="shared" si="1"/>
        <v>19199812</v>
      </c>
      <c r="M32" s="87">
        <f t="shared" si="2"/>
        <v>19199812</v>
      </c>
    </row>
    <row r="33" spans="1:15" s="21" customFormat="1">
      <c r="A33" s="21" t="s">
        <v>34</v>
      </c>
      <c r="C33" s="114">
        <f>SUM(C7:C32)</f>
        <v>9839561</v>
      </c>
      <c r="D33" s="114">
        <f>SUM(D7:D32)</f>
        <v>250000000</v>
      </c>
      <c r="E33" s="114">
        <f t="shared" ref="E33:G33" si="3">SUM(E7:E32)</f>
        <v>103491541</v>
      </c>
      <c r="F33" s="114">
        <f t="shared" si="3"/>
        <v>65000000</v>
      </c>
      <c r="G33" s="114">
        <f t="shared" si="3"/>
        <v>65000000</v>
      </c>
      <c r="H33" s="84">
        <f>SUM(C33:G33)</f>
        <v>493331102</v>
      </c>
      <c r="J33" s="166">
        <f>SUM(J7:J32)</f>
        <v>124085038</v>
      </c>
      <c r="K33" s="166">
        <f t="shared" ref="K33:M33" si="4">SUM(K7:K32)</f>
        <v>123082021.25</v>
      </c>
      <c r="L33" s="166">
        <f t="shared" si="4"/>
        <v>123082021.25</v>
      </c>
      <c r="M33" s="166">
        <f t="shared" si="4"/>
        <v>123082021.5</v>
      </c>
      <c r="N33" s="13"/>
      <c r="O33" s="13"/>
    </row>
    <row r="34" spans="1:15" s="21" customFormat="1">
      <c r="C34" s="114"/>
      <c r="D34" s="114"/>
      <c r="E34" s="114"/>
      <c r="F34" s="114"/>
      <c r="G34" s="164" t="s">
        <v>110</v>
      </c>
      <c r="H34" s="162">
        <v>3009036</v>
      </c>
      <c r="J34" s="174">
        <f>SUM(J33:M33)</f>
        <v>493331102</v>
      </c>
      <c r="K34" s="174"/>
      <c r="L34" s="174"/>
      <c r="M34" s="174"/>
    </row>
    <row r="35" spans="1:15" s="21" customFormat="1">
      <c r="C35" s="114"/>
      <c r="D35" s="114"/>
      <c r="E35" s="114"/>
      <c r="F35" s="114"/>
      <c r="G35" s="165" t="s">
        <v>111</v>
      </c>
      <c r="H35" s="163">
        <f>SUM(H33:H34)</f>
        <v>496340138</v>
      </c>
      <c r="J35" s="22"/>
    </row>
    <row r="36" spans="1:15" ht="48" customHeight="1">
      <c r="A36" s="175" t="s">
        <v>116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</row>
  </sheetData>
  <mergeCells count="2">
    <mergeCell ref="J34:M34"/>
    <mergeCell ref="A36:M36"/>
  </mergeCells>
  <pageMargins left="0.5" right="0.5" top="0.75" bottom="0.75" header="0.3" footer="0.3"/>
  <pageSetup scale="73" orientation="landscape" r:id="rId1"/>
  <headerFooter>
    <oddFooter>&amp;L&amp;9&amp;Z&amp;F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B1" zoomScaleNormal="100" workbookViewId="0">
      <selection activeCell="L13" sqref="L13"/>
    </sheetView>
  </sheetViews>
  <sheetFormatPr defaultColWidth="9.140625" defaultRowHeight="12.75"/>
  <cols>
    <col min="1" max="1" width="1.85546875" style="30" hidden="1" customWidth="1"/>
    <col min="2" max="2" width="16.7109375" style="30" customWidth="1"/>
    <col min="3" max="3" width="12.42578125" style="30" customWidth="1"/>
    <col min="4" max="4" width="13.28515625" style="30" customWidth="1"/>
    <col min="5" max="5" width="12.7109375" style="30" bestFit="1" customWidth="1"/>
    <col min="6" max="6" width="13.85546875" style="30" customWidth="1"/>
    <col min="7" max="7" width="13.28515625" style="30" bestFit="1" customWidth="1"/>
    <col min="8" max="8" width="13.28515625" style="30" customWidth="1"/>
    <col min="9" max="9" width="14" style="30" bestFit="1" customWidth="1"/>
    <col min="10" max="10" width="4.7109375" style="30" customWidth="1"/>
    <col min="11" max="12" width="12.140625" style="30" customWidth="1"/>
    <col min="13" max="13" width="14.7109375" style="30" customWidth="1"/>
    <col min="14" max="16384" width="9.140625" style="30"/>
  </cols>
  <sheetData>
    <row r="1" spans="1:10">
      <c r="B1" s="30" t="s">
        <v>92</v>
      </c>
      <c r="C1" s="31"/>
      <c r="F1" s="32"/>
      <c r="G1" s="32"/>
      <c r="H1" s="32"/>
      <c r="I1" s="33"/>
    </row>
    <row r="2" spans="1:10" ht="15" customHeight="1">
      <c r="B2" s="31"/>
      <c r="C2" s="31"/>
      <c r="F2" s="32"/>
      <c r="G2" s="32"/>
      <c r="H2" s="32"/>
      <c r="I2" s="33"/>
    </row>
    <row r="3" spans="1:10" s="34" customFormat="1" ht="15">
      <c r="A3" s="34">
        <v>1</v>
      </c>
      <c r="B3" s="36"/>
      <c r="D3" s="36"/>
      <c r="F3" s="97"/>
      <c r="G3" s="97"/>
      <c r="H3" s="97"/>
    </row>
    <row r="4" spans="1:10" s="34" customFormat="1">
      <c r="B4" s="37"/>
      <c r="C4" s="38"/>
      <c r="D4" s="19" t="s">
        <v>78</v>
      </c>
      <c r="E4" s="39" t="str">
        <f>D4</f>
        <v>FFY 2016</v>
      </c>
      <c r="F4" s="39" t="s">
        <v>78</v>
      </c>
      <c r="G4" s="39" t="s">
        <v>78</v>
      </c>
      <c r="H4" s="117">
        <v>2019</v>
      </c>
      <c r="I4" s="39">
        <v>2019</v>
      </c>
    </row>
    <row r="5" spans="1:10" s="34" customFormat="1">
      <c r="B5" s="40"/>
      <c r="C5" s="41"/>
      <c r="D5" s="17" t="s">
        <v>36</v>
      </c>
      <c r="E5" s="17" t="str">
        <f>D5</f>
        <v>Medicaid</v>
      </c>
      <c r="F5" s="17" t="s">
        <v>36</v>
      </c>
      <c r="G5" s="17" t="s">
        <v>36</v>
      </c>
      <c r="H5" s="45" t="s">
        <v>1</v>
      </c>
      <c r="I5" s="17" t="s">
        <v>84</v>
      </c>
    </row>
    <row r="6" spans="1:10" s="34" customFormat="1">
      <c r="B6" s="42" t="s">
        <v>4</v>
      </c>
      <c r="C6" s="43" t="s">
        <v>35</v>
      </c>
      <c r="D6" s="17" t="s">
        <v>37</v>
      </c>
      <c r="E6" s="17" t="str">
        <f>D6</f>
        <v>Inpatient</v>
      </c>
      <c r="F6" s="17" t="s">
        <v>37</v>
      </c>
      <c r="G6" s="44" t="s">
        <v>37</v>
      </c>
      <c r="H6" s="126">
        <v>250000000</v>
      </c>
      <c r="I6" s="125">
        <v>103491541</v>
      </c>
    </row>
    <row r="7" spans="1:10" s="34" customFormat="1">
      <c r="B7" s="45"/>
      <c r="C7" s="17"/>
      <c r="D7" s="17" t="s">
        <v>68</v>
      </c>
      <c r="E7" s="17" t="s">
        <v>68</v>
      </c>
      <c r="F7" s="17" t="s">
        <v>69</v>
      </c>
      <c r="G7" s="17" t="s">
        <v>69</v>
      </c>
      <c r="H7" s="45" t="s">
        <v>3</v>
      </c>
      <c r="I7" s="17" t="s">
        <v>3</v>
      </c>
    </row>
    <row r="8" spans="1:10" s="34" customFormat="1">
      <c r="B8" s="45"/>
      <c r="C8" s="17"/>
      <c r="D8" s="17" t="s">
        <v>70</v>
      </c>
      <c r="E8" s="17" t="str">
        <f>D8</f>
        <v>Revenue</v>
      </c>
      <c r="F8" s="17" t="s">
        <v>71</v>
      </c>
      <c r="G8" s="17" t="s">
        <v>70</v>
      </c>
      <c r="H8" s="45" t="s">
        <v>0</v>
      </c>
      <c r="I8" s="17" t="s">
        <v>0</v>
      </c>
    </row>
    <row r="9" spans="1:10" s="34" customFormat="1">
      <c r="B9" s="45"/>
      <c r="C9" s="17"/>
      <c r="D9" s="41"/>
      <c r="E9" s="44" t="s">
        <v>39</v>
      </c>
      <c r="F9" s="125">
        <v>80000000</v>
      </c>
      <c r="G9" s="44" t="s">
        <v>39</v>
      </c>
      <c r="H9" s="118"/>
      <c r="I9" s="119"/>
    </row>
    <row r="10" spans="1:10" s="34" customFormat="1" ht="17.25">
      <c r="A10" s="46" t="s">
        <v>8</v>
      </c>
      <c r="B10" s="47" t="s">
        <v>8</v>
      </c>
      <c r="C10" s="48" t="s">
        <v>41</v>
      </c>
      <c r="D10" s="62">
        <v>13845930</v>
      </c>
      <c r="E10" s="63">
        <f t="shared" ref="E10:E35" si="0">D10/D$36</f>
        <v>2.279197145767034E-2</v>
      </c>
      <c r="F10" s="99">
        <f t="shared" ref="F10:F35" si="1">IF(D10&gt;F$9,F$9,ROUND(D10,0))</f>
        <v>13845930</v>
      </c>
      <c r="G10" s="102">
        <f t="shared" ref="G10:G35" si="2">F10/F$36</f>
        <v>2.6452995233381536E-2</v>
      </c>
      <c r="H10" s="99">
        <f>ROUND($H$6*G10,0)</f>
        <v>6613249</v>
      </c>
      <c r="I10" s="122">
        <f>ROUND(E10*$I$6,0)</f>
        <v>2358776</v>
      </c>
      <c r="J10" s="65"/>
    </row>
    <row r="11" spans="1:10" s="34" customFormat="1" ht="17.25">
      <c r="A11" s="46" t="s">
        <v>9</v>
      </c>
      <c r="B11" s="50" t="s">
        <v>9</v>
      </c>
      <c r="C11" s="51" t="s">
        <v>42</v>
      </c>
      <c r="D11" s="66">
        <v>51084429</v>
      </c>
      <c r="E11" s="67">
        <f t="shared" si="0"/>
        <v>8.4090765134547621E-2</v>
      </c>
      <c r="F11" s="100">
        <f t="shared" si="1"/>
        <v>51084429</v>
      </c>
      <c r="G11" s="103">
        <f t="shared" si="2"/>
        <v>9.7598078051601991E-2</v>
      </c>
      <c r="H11" s="100">
        <f t="shared" ref="H11:H35" si="3">ROUND($H$6*G11,0)</f>
        <v>24399520</v>
      </c>
      <c r="I11" s="123">
        <f t="shared" ref="I11:I35" si="4">ROUND(E11*$I$6,0)</f>
        <v>8702683</v>
      </c>
      <c r="J11" s="65"/>
    </row>
    <row r="12" spans="1:10" s="34" customFormat="1" ht="17.25">
      <c r="A12" s="46" t="s">
        <v>10</v>
      </c>
      <c r="B12" s="50" t="s">
        <v>10</v>
      </c>
      <c r="C12" s="51" t="s">
        <v>43</v>
      </c>
      <c r="D12" s="66">
        <v>8522358</v>
      </c>
      <c r="E12" s="67">
        <f t="shared" si="0"/>
        <v>1.4028768041442393E-2</v>
      </c>
      <c r="F12" s="100">
        <f t="shared" si="1"/>
        <v>8522358</v>
      </c>
      <c r="G12" s="103">
        <f t="shared" si="2"/>
        <v>1.6282177907238519E-2</v>
      </c>
      <c r="H12" s="100">
        <f t="shared" si="3"/>
        <v>4070544</v>
      </c>
      <c r="I12" s="123">
        <f t="shared" si="4"/>
        <v>1451859</v>
      </c>
      <c r="J12" s="65"/>
    </row>
    <row r="13" spans="1:10" s="34" customFormat="1" ht="17.25">
      <c r="A13" s="52" t="s">
        <v>72</v>
      </c>
      <c r="B13" s="50" t="s">
        <v>11</v>
      </c>
      <c r="C13" s="51" t="s">
        <v>44</v>
      </c>
      <c r="D13" s="66">
        <v>20705832</v>
      </c>
      <c r="E13" s="67">
        <f t="shared" si="0"/>
        <v>3.4084148334659871E-2</v>
      </c>
      <c r="F13" s="100">
        <f t="shared" si="1"/>
        <v>20705832</v>
      </c>
      <c r="G13" s="103">
        <f t="shared" si="2"/>
        <v>3.9559009412816537E-2</v>
      </c>
      <c r="H13" s="100">
        <f t="shared" si="3"/>
        <v>9889752</v>
      </c>
      <c r="I13" s="123">
        <f t="shared" si="4"/>
        <v>3527421</v>
      </c>
      <c r="J13" s="65"/>
    </row>
    <row r="14" spans="1:10" s="34" customFormat="1" ht="17.25">
      <c r="A14" s="46" t="s">
        <v>12</v>
      </c>
      <c r="B14" s="50" t="s">
        <v>12</v>
      </c>
      <c r="C14" s="51" t="s">
        <v>45</v>
      </c>
      <c r="D14" s="66">
        <v>5891931</v>
      </c>
      <c r="E14" s="67">
        <f t="shared" si="0"/>
        <v>9.6987868046828976E-3</v>
      </c>
      <c r="F14" s="100">
        <f t="shared" si="1"/>
        <v>5891931</v>
      </c>
      <c r="G14" s="103">
        <f t="shared" si="2"/>
        <v>1.1256681397234632E-2</v>
      </c>
      <c r="H14" s="100">
        <f t="shared" si="3"/>
        <v>2814170</v>
      </c>
      <c r="I14" s="123">
        <f t="shared" si="4"/>
        <v>1003742</v>
      </c>
      <c r="J14" s="65"/>
    </row>
    <row r="15" spans="1:10" s="34" customFormat="1" ht="17.25">
      <c r="A15" s="46" t="s">
        <v>13</v>
      </c>
      <c r="B15" s="50" t="s">
        <v>13</v>
      </c>
      <c r="C15" s="51" t="s">
        <v>46</v>
      </c>
      <c r="D15" s="66">
        <v>3143611</v>
      </c>
      <c r="E15" s="67">
        <f t="shared" si="0"/>
        <v>5.1747403161808937E-3</v>
      </c>
      <c r="F15" s="100">
        <f t="shared" si="1"/>
        <v>3143611</v>
      </c>
      <c r="G15" s="103">
        <f t="shared" si="2"/>
        <v>6.0059473649372603E-3</v>
      </c>
      <c r="H15" s="100">
        <f t="shared" si="3"/>
        <v>1501487</v>
      </c>
      <c r="I15" s="123">
        <f t="shared" si="4"/>
        <v>535542</v>
      </c>
      <c r="J15" s="65"/>
    </row>
    <row r="16" spans="1:10" s="34" customFormat="1" ht="17.25">
      <c r="A16" s="46" t="s">
        <v>14</v>
      </c>
      <c r="B16" s="50" t="s">
        <v>14</v>
      </c>
      <c r="C16" s="51" t="s">
        <v>47</v>
      </c>
      <c r="D16" s="66">
        <v>8415128</v>
      </c>
      <c r="E16" s="67">
        <f t="shared" si="0"/>
        <v>1.3852255297307043E-2</v>
      </c>
      <c r="F16" s="100">
        <f t="shared" si="1"/>
        <v>8415128</v>
      </c>
      <c r="G16" s="103">
        <f t="shared" si="2"/>
        <v>1.6077312312881512E-2</v>
      </c>
      <c r="H16" s="100">
        <f t="shared" si="3"/>
        <v>4019328</v>
      </c>
      <c r="I16" s="123">
        <f t="shared" si="4"/>
        <v>1433591</v>
      </c>
      <c r="J16" s="65"/>
    </row>
    <row r="17" spans="1:10" s="34" customFormat="1" ht="17.25">
      <c r="A17" s="46" t="s">
        <v>15</v>
      </c>
      <c r="B17" s="50" t="s">
        <v>15</v>
      </c>
      <c r="C17" s="51" t="s">
        <v>48</v>
      </c>
      <c r="D17" s="66">
        <v>74281238</v>
      </c>
      <c r="E17" s="67">
        <f t="shared" si="0"/>
        <v>0.12227534418680562</v>
      </c>
      <c r="F17" s="100">
        <f t="shared" si="1"/>
        <v>74281238</v>
      </c>
      <c r="G17" s="103">
        <f t="shared" si="2"/>
        <v>0.14191616126498396</v>
      </c>
      <c r="H17" s="100">
        <f t="shared" si="3"/>
        <v>35479040</v>
      </c>
      <c r="I17" s="123">
        <f t="shared" si="4"/>
        <v>12654464</v>
      </c>
      <c r="J17" s="65"/>
    </row>
    <row r="18" spans="1:10" s="34" customFormat="1" ht="17.25">
      <c r="A18" s="46" t="s">
        <v>73</v>
      </c>
      <c r="B18" s="53" t="s">
        <v>16</v>
      </c>
      <c r="C18" s="54" t="s">
        <v>49</v>
      </c>
      <c r="D18" s="66">
        <v>20767567</v>
      </c>
      <c r="E18" s="67">
        <f t="shared" si="0"/>
        <v>3.4185771147857633E-2</v>
      </c>
      <c r="F18" s="100">
        <f t="shared" si="1"/>
        <v>20767567</v>
      </c>
      <c r="G18" s="103">
        <f t="shared" si="2"/>
        <v>3.9676955672889556E-2</v>
      </c>
      <c r="H18" s="100">
        <f t="shared" si="3"/>
        <v>9919239</v>
      </c>
      <c r="I18" s="123">
        <f t="shared" si="4"/>
        <v>3537938</v>
      </c>
      <c r="J18" s="65"/>
    </row>
    <row r="19" spans="1:10" s="34" customFormat="1" ht="17.25">
      <c r="A19" s="46" t="s">
        <v>17</v>
      </c>
      <c r="B19" s="50" t="s">
        <v>17</v>
      </c>
      <c r="C19" s="51" t="s">
        <v>50</v>
      </c>
      <c r="D19" s="66">
        <v>5495647</v>
      </c>
      <c r="E19" s="67">
        <f t="shared" si="0"/>
        <v>9.0464583863584195E-3</v>
      </c>
      <c r="F19" s="100">
        <f t="shared" si="1"/>
        <v>5495647</v>
      </c>
      <c r="G19" s="103">
        <f t="shared" si="2"/>
        <v>1.0499570913282642E-2</v>
      </c>
      <c r="H19" s="100">
        <f t="shared" si="3"/>
        <v>2624893</v>
      </c>
      <c r="I19" s="123">
        <f t="shared" si="4"/>
        <v>936232</v>
      </c>
      <c r="J19" s="65"/>
    </row>
    <row r="20" spans="1:10" s="34" customFormat="1" ht="17.25">
      <c r="A20" s="46" t="s">
        <v>18</v>
      </c>
      <c r="B20" s="50" t="s">
        <v>18</v>
      </c>
      <c r="C20" s="51" t="s">
        <v>51</v>
      </c>
      <c r="D20" s="66">
        <v>3771267</v>
      </c>
      <c r="E20" s="67">
        <f t="shared" si="0"/>
        <v>6.2079332932677006E-3</v>
      </c>
      <c r="F20" s="100">
        <f t="shared" si="1"/>
        <v>3771267</v>
      </c>
      <c r="G20" s="103">
        <f t="shared" si="2"/>
        <v>7.2050998361835638E-3</v>
      </c>
      <c r="H20" s="100">
        <f t="shared" si="3"/>
        <v>1801275</v>
      </c>
      <c r="I20" s="123">
        <f t="shared" si="4"/>
        <v>642469</v>
      </c>
      <c r="J20" s="65"/>
    </row>
    <row r="21" spans="1:10" s="34" customFormat="1" ht="17.25">
      <c r="A21" s="46" t="s">
        <v>74</v>
      </c>
      <c r="B21" s="53" t="s">
        <v>19</v>
      </c>
      <c r="C21" s="54" t="s">
        <v>52</v>
      </c>
      <c r="D21" s="66">
        <v>17445509</v>
      </c>
      <c r="E21" s="67">
        <f t="shared" si="0"/>
        <v>2.8717286826708717E-2</v>
      </c>
      <c r="F21" s="100">
        <f t="shared" si="1"/>
        <v>17445509</v>
      </c>
      <c r="G21" s="103">
        <f t="shared" si="2"/>
        <v>3.3330080855595447E-2</v>
      </c>
      <c r="H21" s="100">
        <f t="shared" si="3"/>
        <v>8332520</v>
      </c>
      <c r="I21" s="123">
        <f t="shared" si="4"/>
        <v>2971996</v>
      </c>
      <c r="J21" s="65"/>
    </row>
    <row r="22" spans="1:10" s="34" customFormat="1" ht="17.25">
      <c r="A22" s="46" t="s">
        <v>20</v>
      </c>
      <c r="B22" s="50" t="s">
        <v>20</v>
      </c>
      <c r="C22" s="51" t="s">
        <v>53</v>
      </c>
      <c r="D22" s="66">
        <v>12202801</v>
      </c>
      <c r="E22" s="67">
        <f t="shared" si="0"/>
        <v>2.0087194727665899E-2</v>
      </c>
      <c r="F22" s="100">
        <f t="shared" si="1"/>
        <v>12202801</v>
      </c>
      <c r="G22" s="103">
        <f t="shared" si="2"/>
        <v>2.331375622200195E-2</v>
      </c>
      <c r="H22" s="100">
        <f t="shared" si="3"/>
        <v>5828439</v>
      </c>
      <c r="I22" s="123">
        <f t="shared" si="4"/>
        <v>2078855</v>
      </c>
      <c r="J22" s="65"/>
    </row>
    <row r="23" spans="1:10" s="34" customFormat="1" ht="17.25">
      <c r="A23" s="46" t="s">
        <v>21</v>
      </c>
      <c r="B23" s="50" t="s">
        <v>21</v>
      </c>
      <c r="C23" s="51" t="s">
        <v>55</v>
      </c>
      <c r="D23" s="66">
        <v>9560997</v>
      </c>
      <c r="E23" s="67">
        <f t="shared" si="0"/>
        <v>1.5738485658303325E-2</v>
      </c>
      <c r="F23" s="100">
        <f t="shared" si="1"/>
        <v>9560997</v>
      </c>
      <c r="G23" s="103">
        <f t="shared" si="2"/>
        <v>1.8266523669220859E-2</v>
      </c>
      <c r="H23" s="100">
        <f t="shared" si="3"/>
        <v>4566631</v>
      </c>
      <c r="I23" s="123">
        <f t="shared" si="4"/>
        <v>1628800</v>
      </c>
      <c r="J23" s="65"/>
    </row>
    <row r="24" spans="1:10" s="34" customFormat="1" ht="17.25">
      <c r="A24" s="46" t="s">
        <v>22</v>
      </c>
      <c r="B24" s="50" t="s">
        <v>22</v>
      </c>
      <c r="C24" s="51" t="s">
        <v>54</v>
      </c>
      <c r="D24" s="66">
        <v>12981508</v>
      </c>
      <c r="E24" s="67">
        <f t="shared" si="0"/>
        <v>2.1369034785927648E-2</v>
      </c>
      <c r="F24" s="100">
        <f t="shared" si="1"/>
        <v>12981508</v>
      </c>
      <c r="G24" s="103">
        <f t="shared" si="2"/>
        <v>2.4801495403060991E-2</v>
      </c>
      <c r="H24" s="100">
        <f t="shared" si="3"/>
        <v>6200374</v>
      </c>
      <c r="I24" s="123">
        <f t="shared" si="4"/>
        <v>2211514</v>
      </c>
      <c r="J24" s="65"/>
    </row>
    <row r="25" spans="1:10" s="34" customFormat="1" ht="17.25">
      <c r="A25" s="46" t="s">
        <v>23</v>
      </c>
      <c r="B25" s="50" t="s">
        <v>23</v>
      </c>
      <c r="C25" s="51" t="s">
        <v>56</v>
      </c>
      <c r="D25" s="66">
        <v>1350019</v>
      </c>
      <c r="E25" s="67">
        <f t="shared" si="0"/>
        <v>2.2222844197040325E-3</v>
      </c>
      <c r="F25" s="100">
        <f t="shared" si="1"/>
        <v>1350019</v>
      </c>
      <c r="G25" s="103">
        <f t="shared" si="2"/>
        <v>2.5792450324372946E-3</v>
      </c>
      <c r="H25" s="100">
        <f t="shared" si="3"/>
        <v>644811</v>
      </c>
      <c r="I25" s="123">
        <f t="shared" si="4"/>
        <v>229988</v>
      </c>
      <c r="J25" s="65"/>
    </row>
    <row r="26" spans="1:10" s="34" customFormat="1" ht="17.25">
      <c r="A26" s="46" t="s">
        <v>24</v>
      </c>
      <c r="B26" s="50" t="s">
        <v>24</v>
      </c>
      <c r="C26" s="51" t="s">
        <v>57</v>
      </c>
      <c r="D26" s="66">
        <v>20010413</v>
      </c>
      <c r="E26" s="67">
        <f t="shared" si="0"/>
        <v>3.2939409772560997E-2</v>
      </c>
      <c r="F26" s="100">
        <f t="shared" si="1"/>
        <v>20010413</v>
      </c>
      <c r="G26" s="103">
        <f t="shared" si="2"/>
        <v>3.8230394036875524E-2</v>
      </c>
      <c r="H26" s="100">
        <f t="shared" si="3"/>
        <v>9557599</v>
      </c>
      <c r="I26" s="123">
        <f t="shared" si="4"/>
        <v>3408950</v>
      </c>
      <c r="J26" s="65"/>
    </row>
    <row r="27" spans="1:10" s="34" customFormat="1" ht="17.25">
      <c r="A27" s="46" t="s">
        <v>25</v>
      </c>
      <c r="B27" s="50" t="s">
        <v>25</v>
      </c>
      <c r="C27" s="51" t="s">
        <v>58</v>
      </c>
      <c r="D27" s="66">
        <v>1950318</v>
      </c>
      <c r="E27" s="67">
        <f t="shared" si="0"/>
        <v>3.2104446714219053E-3</v>
      </c>
      <c r="F27" s="100">
        <f t="shared" si="1"/>
        <v>1950318</v>
      </c>
      <c r="G27" s="103">
        <f t="shared" si="2"/>
        <v>3.7261312716139841E-3</v>
      </c>
      <c r="H27" s="100">
        <f t="shared" si="3"/>
        <v>931533</v>
      </c>
      <c r="I27" s="123">
        <f t="shared" si="4"/>
        <v>332254</v>
      </c>
      <c r="J27" s="65"/>
    </row>
    <row r="28" spans="1:10" s="34" customFormat="1" ht="17.25">
      <c r="A28" s="46" t="s">
        <v>26</v>
      </c>
      <c r="B28" s="50" t="s">
        <v>26</v>
      </c>
      <c r="C28" s="51" t="s">
        <v>60</v>
      </c>
      <c r="D28" s="66">
        <v>54544225</v>
      </c>
      <c r="E28" s="67">
        <f t="shared" si="0"/>
        <v>8.978598182864922E-2</v>
      </c>
      <c r="F28" s="100">
        <f t="shared" si="1"/>
        <v>54544225</v>
      </c>
      <c r="G28" s="103">
        <f t="shared" si="2"/>
        <v>0.10420810475955677</v>
      </c>
      <c r="H28" s="100">
        <f t="shared" si="3"/>
        <v>26052026</v>
      </c>
      <c r="I28" s="123">
        <f t="shared" si="4"/>
        <v>9292090</v>
      </c>
      <c r="J28" s="65"/>
    </row>
    <row r="29" spans="1:10" s="34" customFormat="1" ht="17.25">
      <c r="A29" s="46" t="s">
        <v>27</v>
      </c>
      <c r="B29" s="50" t="s">
        <v>27</v>
      </c>
      <c r="C29" s="51" t="s">
        <v>61</v>
      </c>
      <c r="D29" s="66">
        <v>21746068</v>
      </c>
      <c r="E29" s="67">
        <f t="shared" si="0"/>
        <v>3.5796494794683949E-2</v>
      </c>
      <c r="F29" s="100">
        <f t="shared" si="1"/>
        <v>21746068</v>
      </c>
      <c r="G29" s="103">
        <f t="shared" si="2"/>
        <v>4.1546406283203136E-2</v>
      </c>
      <c r="H29" s="100">
        <f t="shared" si="3"/>
        <v>10386602</v>
      </c>
      <c r="I29" s="123">
        <f t="shared" si="4"/>
        <v>3704634</v>
      </c>
      <c r="J29" s="65"/>
    </row>
    <row r="30" spans="1:10" s="34" customFormat="1" ht="17.25">
      <c r="A30" s="46" t="s">
        <v>28</v>
      </c>
      <c r="B30" s="50" t="s">
        <v>28</v>
      </c>
      <c r="C30" s="51" t="s">
        <v>62</v>
      </c>
      <c r="D30" s="66">
        <v>37313514</v>
      </c>
      <c r="E30" s="67">
        <f t="shared" si="0"/>
        <v>6.1422276876553807E-2</v>
      </c>
      <c r="F30" s="100">
        <f t="shared" si="1"/>
        <v>37313514</v>
      </c>
      <c r="G30" s="103">
        <f t="shared" si="2"/>
        <v>7.1288400850120948E-2</v>
      </c>
      <c r="H30" s="100">
        <f t="shared" si="3"/>
        <v>17822100</v>
      </c>
      <c r="I30" s="123">
        <f t="shared" si="4"/>
        <v>6356686</v>
      </c>
      <c r="J30" s="65"/>
    </row>
    <row r="31" spans="1:10" s="34" customFormat="1" ht="17.25">
      <c r="A31" s="46" t="s">
        <v>29</v>
      </c>
      <c r="B31" s="50" t="s">
        <v>29</v>
      </c>
      <c r="C31" s="51" t="s">
        <v>59</v>
      </c>
      <c r="D31" s="66">
        <v>1057016</v>
      </c>
      <c r="E31" s="67">
        <f t="shared" si="0"/>
        <v>1.739968243541667E-3</v>
      </c>
      <c r="F31" s="100">
        <f t="shared" si="1"/>
        <v>1057016</v>
      </c>
      <c r="G31" s="103">
        <f t="shared" si="2"/>
        <v>2.0194554796686115E-3</v>
      </c>
      <c r="H31" s="100">
        <f t="shared" si="3"/>
        <v>504864</v>
      </c>
      <c r="I31" s="123">
        <f t="shared" si="4"/>
        <v>180072</v>
      </c>
      <c r="J31" s="65"/>
    </row>
    <row r="32" spans="1:10" s="34" customFormat="1" ht="17.25">
      <c r="A32" s="46" t="s">
        <v>30</v>
      </c>
      <c r="B32" s="50" t="s">
        <v>30</v>
      </c>
      <c r="C32" s="51" t="s">
        <v>63</v>
      </c>
      <c r="D32" s="66">
        <v>14434839</v>
      </c>
      <c r="E32" s="67">
        <f t="shared" si="0"/>
        <v>2.3761382477310421E-2</v>
      </c>
      <c r="F32" s="100">
        <f t="shared" si="1"/>
        <v>14434839</v>
      </c>
      <c r="G32" s="103">
        <f t="shared" si="2"/>
        <v>2.7578120592956189E-2</v>
      </c>
      <c r="H32" s="100">
        <f t="shared" si="3"/>
        <v>6894530</v>
      </c>
      <c r="I32" s="123">
        <f t="shared" si="4"/>
        <v>2459102</v>
      </c>
      <c r="J32" s="65"/>
    </row>
    <row r="33" spans="1:13" s="34" customFormat="1" ht="17.25">
      <c r="A33" s="46" t="s">
        <v>31</v>
      </c>
      <c r="B33" s="50" t="s">
        <v>31</v>
      </c>
      <c r="C33" s="51" t="s">
        <v>64</v>
      </c>
      <c r="D33" s="66">
        <v>20681987</v>
      </c>
      <c r="E33" s="67">
        <f t="shared" si="0"/>
        <v>3.4044896759691044E-2</v>
      </c>
      <c r="F33" s="100">
        <f t="shared" si="1"/>
        <v>20681987</v>
      </c>
      <c r="G33" s="103">
        <f t="shared" si="2"/>
        <v>3.9513452944501301E-2</v>
      </c>
      <c r="H33" s="100">
        <f t="shared" si="3"/>
        <v>9878363</v>
      </c>
      <c r="I33" s="123">
        <f t="shared" si="4"/>
        <v>3523359</v>
      </c>
      <c r="J33" s="65"/>
    </row>
    <row r="34" spans="1:13" s="34" customFormat="1" ht="17.25">
      <c r="A34" s="46" t="s">
        <v>32</v>
      </c>
      <c r="B34" s="50" t="s">
        <v>32</v>
      </c>
      <c r="C34" s="51" t="s">
        <v>65</v>
      </c>
      <c r="D34" s="66">
        <v>2212190</v>
      </c>
      <c r="E34" s="67">
        <f t="shared" si="0"/>
        <v>3.6415156900940385E-3</v>
      </c>
      <c r="F34" s="100">
        <f t="shared" si="1"/>
        <v>2212190</v>
      </c>
      <c r="G34" s="103">
        <f t="shared" si="2"/>
        <v>4.226444271012081E-3</v>
      </c>
      <c r="H34" s="100">
        <f t="shared" si="3"/>
        <v>1056611</v>
      </c>
      <c r="I34" s="123">
        <f t="shared" si="4"/>
        <v>376866</v>
      </c>
      <c r="J34" s="65"/>
    </row>
    <row r="35" spans="1:13" s="34" customFormat="1" ht="17.25">
      <c r="A35" s="46" t="s">
        <v>33</v>
      </c>
      <c r="B35" s="55" t="s">
        <v>33</v>
      </c>
      <c r="C35" s="56" t="s">
        <v>66</v>
      </c>
      <c r="D35" s="68">
        <v>164075205</v>
      </c>
      <c r="E35" s="69">
        <f t="shared" si="0"/>
        <v>0.27008640006640289</v>
      </c>
      <c r="F35" s="101">
        <f t="shared" si="1"/>
        <v>80000000</v>
      </c>
      <c r="G35" s="104">
        <f t="shared" si="2"/>
        <v>0.15284199896074319</v>
      </c>
      <c r="H35" s="101">
        <f t="shared" si="3"/>
        <v>38210500</v>
      </c>
      <c r="I35" s="70">
        <f t="shared" si="4"/>
        <v>27951658</v>
      </c>
      <c r="J35" s="65"/>
    </row>
    <row r="36" spans="1:13" s="35" customFormat="1" ht="15" customHeight="1">
      <c r="A36" s="35" t="s">
        <v>67</v>
      </c>
      <c r="B36" s="57" t="s">
        <v>67</v>
      </c>
      <c r="C36" s="58"/>
      <c r="D36" s="68">
        <f t="shared" ref="D36:E36" si="5">SUM(D10:D35)</f>
        <v>607491547</v>
      </c>
      <c r="E36" s="71">
        <f t="shared" si="5"/>
        <v>1</v>
      </c>
      <c r="F36" s="72">
        <f t="shared" ref="F36:I36" si="6">SUM(F10:F35)</f>
        <v>523416342</v>
      </c>
      <c r="G36" s="98">
        <f t="shared" si="6"/>
        <v>1</v>
      </c>
      <c r="H36" s="72">
        <f t="shared" si="6"/>
        <v>250000000</v>
      </c>
      <c r="I36" s="72">
        <f t="shared" si="6"/>
        <v>103491541</v>
      </c>
      <c r="J36" s="74"/>
      <c r="K36" s="59"/>
      <c r="L36" s="59"/>
      <c r="M36" s="60"/>
    </row>
    <row r="37" spans="1:13" s="34" customFormat="1">
      <c r="D37" s="61"/>
      <c r="F37" s="49"/>
      <c r="G37" s="49"/>
      <c r="H37" s="49"/>
      <c r="I37" s="49"/>
    </row>
    <row r="38" spans="1:13" s="34" customFormat="1"/>
    <row r="39" spans="1:13" s="34" customFormat="1"/>
    <row r="40" spans="1:13" s="34" customFormat="1"/>
    <row r="41" spans="1:13" s="34" customFormat="1"/>
    <row r="42" spans="1:13" s="34" customFormat="1"/>
    <row r="43" spans="1:13" s="34" customFormat="1"/>
    <row r="44" spans="1:13" s="34" customFormat="1"/>
    <row r="45" spans="1:13" s="34" customFormat="1"/>
    <row r="46" spans="1:13" s="34" customFormat="1"/>
    <row r="47" spans="1:13" s="34" customFormat="1"/>
    <row r="48" spans="1:13" s="34" customFormat="1"/>
    <row r="49" s="34" customFormat="1"/>
    <row r="50" s="34" customFormat="1"/>
    <row r="51" s="34" customFormat="1"/>
    <row r="52" s="34" customFormat="1"/>
    <row r="53" s="34" customFormat="1"/>
  </sheetData>
  <conditionalFormatting sqref="F10:F35">
    <cfRule type="cellIs" dxfId="4" priority="2" operator="equal">
      <formula>#REF!</formula>
    </cfRule>
  </conditionalFormatting>
  <conditionalFormatting sqref="H10:H35">
    <cfRule type="cellIs" dxfId="3" priority="1" operator="equal">
      <formula>#REF!</formula>
    </cfRule>
  </conditionalFormatting>
  <pageMargins left="0.5" right="0.5" top="0.75" bottom="0.75" header="0.3" footer="0.3"/>
  <pageSetup scale="87" orientation="landscape" r:id="rId1"/>
  <headerFooter>
    <oddFooter>&amp;L&amp;8&amp;Z&amp;F   &amp;A</oddFooter>
  </headerFooter>
  <rowBreaks count="1" manualBreakCount="1">
    <brk id="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workbookViewId="0">
      <selection activeCell="M26" sqref="M26"/>
    </sheetView>
  </sheetViews>
  <sheetFormatPr defaultRowHeight="15"/>
  <cols>
    <col min="1" max="1" width="14.85546875" bestFit="1" customWidth="1"/>
    <col min="2" max="2" width="10.85546875" bestFit="1" customWidth="1"/>
    <col min="3" max="3" width="11.7109375" bestFit="1" customWidth="1"/>
    <col min="5" max="5" width="11.7109375" style="13" bestFit="1" customWidth="1"/>
    <col min="6" max="6" width="9.140625" style="13"/>
    <col min="7" max="7" width="13.85546875" bestFit="1" customWidth="1"/>
    <col min="8" max="8" width="10.7109375" hidden="1" customWidth="1"/>
    <col min="9" max="9" width="11.7109375" hidden="1" customWidth="1"/>
    <col min="10" max="10" width="11.5703125" hidden="1" customWidth="1"/>
    <col min="14" max="15" width="11.140625" hidden="1" customWidth="1"/>
    <col min="16" max="16" width="0" hidden="1" customWidth="1"/>
    <col min="17" max="17" width="12.7109375" hidden="1" customWidth="1"/>
  </cols>
  <sheetData>
    <row r="2" spans="1:17">
      <c r="A2" t="s">
        <v>89</v>
      </c>
    </row>
    <row r="3" spans="1:17">
      <c r="K3" s="13"/>
    </row>
    <row r="4" spans="1:17">
      <c r="K4" s="13"/>
    </row>
    <row r="5" spans="1:17">
      <c r="A5" s="106"/>
      <c r="B5" s="107"/>
      <c r="C5" s="19" t="s">
        <v>78</v>
      </c>
      <c r="D5" s="19" t="s">
        <v>78</v>
      </c>
      <c r="E5" s="24"/>
      <c r="F5" s="127" t="s">
        <v>78</v>
      </c>
      <c r="G5" s="133" t="s">
        <v>94</v>
      </c>
      <c r="H5" s="129">
        <v>1000000</v>
      </c>
      <c r="I5" s="9">
        <v>12848597</v>
      </c>
    </row>
    <row r="6" spans="1:17">
      <c r="A6" s="108" t="s">
        <v>4</v>
      </c>
      <c r="B6" s="43" t="s">
        <v>35</v>
      </c>
      <c r="C6" s="17" t="s">
        <v>36</v>
      </c>
      <c r="D6" s="17" t="s">
        <v>36</v>
      </c>
      <c r="E6" s="17" t="s">
        <v>69</v>
      </c>
      <c r="F6" s="45" t="s">
        <v>36</v>
      </c>
      <c r="G6" s="132">
        <v>12848597</v>
      </c>
      <c r="H6" s="130">
        <v>2018</v>
      </c>
      <c r="I6" s="6">
        <v>2018</v>
      </c>
      <c r="J6" t="s">
        <v>79</v>
      </c>
    </row>
    <row r="7" spans="1:17">
      <c r="A7" s="108"/>
      <c r="B7" s="43"/>
      <c r="C7" s="17" t="s">
        <v>37</v>
      </c>
      <c r="D7" s="17" t="s">
        <v>37</v>
      </c>
      <c r="E7" s="17" t="s">
        <v>71</v>
      </c>
      <c r="F7" s="45" t="s">
        <v>37</v>
      </c>
      <c r="G7" s="16" t="s">
        <v>3</v>
      </c>
      <c r="H7" s="130" t="s">
        <v>38</v>
      </c>
      <c r="I7" s="6" t="s">
        <v>38</v>
      </c>
      <c r="J7" t="s">
        <v>80</v>
      </c>
    </row>
    <row r="8" spans="1:17">
      <c r="A8" s="109"/>
      <c r="B8" s="110"/>
      <c r="C8" s="8" t="s">
        <v>0</v>
      </c>
      <c r="D8" s="25" t="s">
        <v>39</v>
      </c>
      <c r="E8" s="95">
        <v>5000000</v>
      </c>
      <c r="F8" s="128" t="s">
        <v>83</v>
      </c>
      <c r="G8" s="26" t="s">
        <v>40</v>
      </c>
      <c r="H8" s="131"/>
      <c r="I8" s="7"/>
      <c r="J8" t="s">
        <v>81</v>
      </c>
      <c r="N8" s="21">
        <v>2015</v>
      </c>
      <c r="O8" s="21">
        <v>2015</v>
      </c>
    </row>
    <row r="9" spans="1:17">
      <c r="A9" s="13"/>
      <c r="B9" s="13"/>
      <c r="C9" s="13"/>
      <c r="D9" s="13"/>
      <c r="G9" s="13"/>
      <c r="H9" s="13"/>
      <c r="I9" s="13"/>
    </row>
    <row r="10" spans="1:17">
      <c r="A10" s="14" t="s">
        <v>8</v>
      </c>
      <c r="B10" s="14" t="s">
        <v>41</v>
      </c>
      <c r="C10" s="15">
        <v>0</v>
      </c>
      <c r="D10" s="27">
        <v>0</v>
      </c>
      <c r="E10" s="64">
        <f>IF(C10&gt;E$8,E$8,ROUND(C10,0))</f>
        <v>0</v>
      </c>
      <c r="F10" s="27">
        <f t="shared" ref="F10:F35" si="0">E10/$E$37</f>
        <v>0</v>
      </c>
      <c r="G10" s="28">
        <f t="shared" ref="G10:G35" si="1">ROUND(F10*$G$6,0)</f>
        <v>0</v>
      </c>
      <c r="H10" s="28">
        <f t="shared" ref="H10:H35" si="2">D10*$H$5</f>
        <v>0</v>
      </c>
      <c r="I10" s="28">
        <f t="shared" ref="I10:I35" si="3">D10*I$5</f>
        <v>0</v>
      </c>
      <c r="J10" s="88">
        <f t="shared" ref="J10:J35" si="4">G10-O10</f>
        <v>0</v>
      </c>
      <c r="N10" s="28">
        <v>0</v>
      </c>
      <c r="O10" s="28">
        <v>0</v>
      </c>
      <c r="P10" t="s">
        <v>8</v>
      </c>
      <c r="Q10" s="15">
        <v>13845930</v>
      </c>
    </row>
    <row r="11" spans="1:17">
      <c r="A11" s="14" t="s">
        <v>9</v>
      </c>
      <c r="B11" s="14" t="s">
        <v>42</v>
      </c>
      <c r="C11" s="15">
        <v>0</v>
      </c>
      <c r="D11" s="27">
        <v>0</v>
      </c>
      <c r="E11" s="64">
        <f t="shared" ref="E11:E35" si="5">IF(C11&gt;E$8,E$8,ROUND(C11,0))</f>
        <v>0</v>
      </c>
      <c r="F11" s="27">
        <f t="shared" si="0"/>
        <v>0</v>
      </c>
      <c r="G11" s="28">
        <f t="shared" si="1"/>
        <v>0</v>
      </c>
      <c r="H11" s="28">
        <f t="shared" si="2"/>
        <v>0</v>
      </c>
      <c r="I11" s="28">
        <f t="shared" si="3"/>
        <v>0</v>
      </c>
      <c r="J11" s="88">
        <f t="shared" si="4"/>
        <v>0</v>
      </c>
      <c r="N11" s="28">
        <v>0</v>
      </c>
      <c r="O11" s="28">
        <v>0</v>
      </c>
      <c r="P11" t="s">
        <v>9</v>
      </c>
      <c r="Q11" s="15">
        <v>51084429</v>
      </c>
    </row>
    <row r="12" spans="1:17">
      <c r="A12" s="14" t="s">
        <v>10</v>
      </c>
      <c r="B12" s="14" t="s">
        <v>43</v>
      </c>
      <c r="C12" s="15">
        <v>8522358</v>
      </c>
      <c r="D12" s="27">
        <f>C12/$C$37</f>
        <v>0.35246305993241528</v>
      </c>
      <c r="E12" s="64">
        <f t="shared" si="5"/>
        <v>5000000</v>
      </c>
      <c r="F12" s="27">
        <f>E12/$E$37</f>
        <v>0.30581004217793262</v>
      </c>
      <c r="G12" s="28">
        <f t="shared" si="1"/>
        <v>3929230</v>
      </c>
      <c r="H12" s="28">
        <f>D12*$H$5</f>
        <v>352463.05993241526</v>
      </c>
      <c r="I12" s="28">
        <f>D12*I$5</f>
        <v>4528655.8144584512</v>
      </c>
      <c r="J12" s="88">
        <f>G12-O12</f>
        <v>320275.49330424564</v>
      </c>
      <c r="N12" s="28">
        <v>7687592</v>
      </c>
      <c r="O12" s="28">
        <v>3608954.5066957544</v>
      </c>
      <c r="P12" t="s">
        <v>10</v>
      </c>
      <c r="Q12" s="15">
        <v>8522358</v>
      </c>
    </row>
    <row r="13" spans="1:17">
      <c r="A13" s="14" t="s">
        <v>11</v>
      </c>
      <c r="B13" s="14" t="s">
        <v>44</v>
      </c>
      <c r="C13" s="15">
        <v>0</v>
      </c>
      <c r="D13" s="27">
        <v>0</v>
      </c>
      <c r="E13" s="64">
        <f t="shared" si="5"/>
        <v>0</v>
      </c>
      <c r="F13" s="27">
        <f t="shared" si="0"/>
        <v>0</v>
      </c>
      <c r="G13" s="28">
        <f t="shared" si="1"/>
        <v>0</v>
      </c>
      <c r="H13" s="28">
        <f t="shared" si="2"/>
        <v>0</v>
      </c>
      <c r="I13" s="28">
        <f t="shared" si="3"/>
        <v>0</v>
      </c>
      <c r="J13" s="88">
        <f t="shared" si="4"/>
        <v>0</v>
      </c>
      <c r="N13" s="28">
        <v>0</v>
      </c>
      <c r="O13" s="28">
        <v>0</v>
      </c>
      <c r="P13" t="s">
        <v>11</v>
      </c>
      <c r="Q13" s="15">
        <v>20705832</v>
      </c>
    </row>
    <row r="14" spans="1:17">
      <c r="A14" s="14" t="s">
        <v>12</v>
      </c>
      <c r="B14" s="14" t="s">
        <v>45</v>
      </c>
      <c r="C14" s="15">
        <v>5891931</v>
      </c>
      <c r="D14" s="27">
        <f>C14/$C$37</f>
        <v>0.24367528671884656</v>
      </c>
      <c r="E14" s="64">
        <f t="shared" si="5"/>
        <v>5000000</v>
      </c>
      <c r="F14" s="27">
        <f t="shared" si="0"/>
        <v>0.30581004217793262</v>
      </c>
      <c r="G14" s="28">
        <f t="shared" si="1"/>
        <v>3929230</v>
      </c>
      <c r="H14" s="28">
        <f t="shared" si="2"/>
        <v>243675.28671884656</v>
      </c>
      <c r="I14" s="28">
        <f t="shared" si="3"/>
        <v>3130885.5579099115</v>
      </c>
      <c r="J14" s="88">
        <f t="shared" si="4"/>
        <v>1216261.0209545647</v>
      </c>
      <c r="N14" s="28">
        <v>5779014</v>
      </c>
      <c r="O14" s="28">
        <v>2712968.9790454353</v>
      </c>
      <c r="P14" t="s">
        <v>12</v>
      </c>
      <c r="Q14" s="15">
        <v>5891931</v>
      </c>
    </row>
    <row r="15" spans="1:17">
      <c r="A15" s="14" t="s">
        <v>13</v>
      </c>
      <c r="B15" s="14" t="s">
        <v>46</v>
      </c>
      <c r="C15" s="15">
        <v>0</v>
      </c>
      <c r="D15" s="27">
        <v>0</v>
      </c>
      <c r="E15" s="64">
        <f t="shared" si="5"/>
        <v>0</v>
      </c>
      <c r="F15" s="27">
        <f t="shared" si="0"/>
        <v>0</v>
      </c>
      <c r="G15" s="28">
        <f t="shared" si="1"/>
        <v>0</v>
      </c>
      <c r="H15" s="28">
        <f t="shared" si="2"/>
        <v>0</v>
      </c>
      <c r="I15" s="28">
        <f t="shared" si="3"/>
        <v>0</v>
      </c>
      <c r="J15" s="88">
        <f t="shared" si="4"/>
        <v>0</v>
      </c>
      <c r="N15" s="28">
        <v>0</v>
      </c>
      <c r="O15" s="28">
        <v>0</v>
      </c>
      <c r="P15" t="s">
        <v>13</v>
      </c>
      <c r="Q15" s="15">
        <v>3143611</v>
      </c>
    </row>
    <row r="16" spans="1:17">
      <c r="A16" s="14" t="s">
        <v>14</v>
      </c>
      <c r="B16" s="14" t="s">
        <v>47</v>
      </c>
      <c r="C16" s="15">
        <v>8415128</v>
      </c>
      <c r="D16" s="27">
        <f>C16/$C$37</f>
        <v>0.34802829975025057</v>
      </c>
      <c r="E16" s="64">
        <f t="shared" si="5"/>
        <v>5000000</v>
      </c>
      <c r="F16" s="27">
        <f t="shared" si="0"/>
        <v>0.30581004217793262</v>
      </c>
      <c r="G16" s="28">
        <f t="shared" si="1"/>
        <v>3929230</v>
      </c>
      <c r="H16" s="28">
        <f t="shared" si="2"/>
        <v>348028.29975025059</v>
      </c>
      <c r="I16" s="28">
        <f t="shared" si="3"/>
        <v>4471675.3680861704</v>
      </c>
      <c r="J16" s="88">
        <f t="shared" si="4"/>
        <v>280021.40306563256</v>
      </c>
      <c r="N16" s="28">
        <v>7773339</v>
      </c>
      <c r="O16" s="28">
        <v>3649208.5969343674</v>
      </c>
      <c r="P16" t="s">
        <v>14</v>
      </c>
      <c r="Q16" s="15">
        <v>8415128</v>
      </c>
    </row>
    <row r="17" spans="1:17">
      <c r="A17" s="14" t="s">
        <v>15</v>
      </c>
      <c r="B17" s="14" t="s">
        <v>48</v>
      </c>
      <c r="C17" s="15">
        <v>0</v>
      </c>
      <c r="D17" s="27">
        <v>0</v>
      </c>
      <c r="E17" s="64">
        <f t="shared" si="5"/>
        <v>0</v>
      </c>
      <c r="F17" s="27">
        <f t="shared" si="0"/>
        <v>0</v>
      </c>
      <c r="G17" s="28">
        <f t="shared" si="1"/>
        <v>0</v>
      </c>
      <c r="H17" s="28">
        <f t="shared" si="2"/>
        <v>0</v>
      </c>
      <c r="I17" s="28">
        <f t="shared" si="3"/>
        <v>0</v>
      </c>
      <c r="J17" s="88">
        <f t="shared" si="4"/>
        <v>0</v>
      </c>
      <c r="N17" s="28">
        <v>0</v>
      </c>
      <c r="O17" s="28">
        <v>0</v>
      </c>
      <c r="P17" t="s">
        <v>15</v>
      </c>
      <c r="Q17" s="15">
        <v>74281238</v>
      </c>
    </row>
    <row r="18" spans="1:17">
      <c r="A18" s="14" t="s">
        <v>16</v>
      </c>
      <c r="B18" s="14" t="s">
        <v>49</v>
      </c>
      <c r="C18" s="15">
        <v>0</v>
      </c>
      <c r="D18" s="27">
        <v>0</v>
      </c>
      <c r="E18" s="64">
        <f t="shared" si="5"/>
        <v>0</v>
      </c>
      <c r="F18" s="27">
        <f t="shared" si="0"/>
        <v>0</v>
      </c>
      <c r="G18" s="28">
        <f t="shared" si="1"/>
        <v>0</v>
      </c>
      <c r="H18" s="28">
        <f t="shared" si="2"/>
        <v>0</v>
      </c>
      <c r="I18" s="28">
        <f t="shared" si="3"/>
        <v>0</v>
      </c>
      <c r="J18" s="88">
        <f t="shared" si="4"/>
        <v>0</v>
      </c>
      <c r="N18" s="28">
        <v>0</v>
      </c>
      <c r="O18" s="28">
        <v>0</v>
      </c>
      <c r="P18" t="s">
        <v>16</v>
      </c>
      <c r="Q18" s="15">
        <v>20767567</v>
      </c>
    </row>
    <row r="19" spans="1:17">
      <c r="A19" s="14" t="s">
        <v>17</v>
      </c>
      <c r="B19" s="14" t="s">
        <v>50</v>
      </c>
      <c r="C19" s="15">
        <v>0</v>
      </c>
      <c r="D19" s="27">
        <f>C19/$C$37</f>
        <v>0</v>
      </c>
      <c r="E19" s="64">
        <f t="shared" si="5"/>
        <v>0</v>
      </c>
      <c r="F19" s="27">
        <f t="shared" si="0"/>
        <v>0</v>
      </c>
      <c r="G19" s="28">
        <f t="shared" si="1"/>
        <v>0</v>
      </c>
      <c r="H19" s="28">
        <f t="shared" si="2"/>
        <v>0</v>
      </c>
      <c r="I19" s="28">
        <f t="shared" si="3"/>
        <v>0</v>
      </c>
      <c r="J19" s="88">
        <f t="shared" si="4"/>
        <v>-2224382.7112733987</v>
      </c>
      <c r="N19" s="28">
        <v>4738255</v>
      </c>
      <c r="O19" s="28">
        <v>2224382.7112733987</v>
      </c>
      <c r="P19" t="s">
        <v>17</v>
      </c>
      <c r="Q19" s="15">
        <v>5495647</v>
      </c>
    </row>
    <row r="20" spans="1:17">
      <c r="A20" s="14" t="s">
        <v>18</v>
      </c>
      <c r="B20" s="14" t="s">
        <v>51</v>
      </c>
      <c r="C20" s="15">
        <v>0</v>
      </c>
      <c r="D20" s="27">
        <v>0</v>
      </c>
      <c r="E20" s="64">
        <f t="shared" si="5"/>
        <v>0</v>
      </c>
      <c r="F20" s="27">
        <f t="shared" si="0"/>
        <v>0</v>
      </c>
      <c r="G20" s="28">
        <f t="shared" si="1"/>
        <v>0</v>
      </c>
      <c r="H20" s="28">
        <f t="shared" si="2"/>
        <v>0</v>
      </c>
      <c r="I20" s="28">
        <f t="shared" si="3"/>
        <v>0</v>
      </c>
      <c r="J20" s="88">
        <f t="shared" si="4"/>
        <v>0</v>
      </c>
      <c r="N20" s="28">
        <v>0</v>
      </c>
      <c r="O20" s="28">
        <v>0</v>
      </c>
      <c r="P20" t="s">
        <v>18</v>
      </c>
      <c r="Q20" s="15">
        <v>3771267</v>
      </c>
    </row>
    <row r="21" spans="1:17">
      <c r="A21" s="14" t="s">
        <v>19</v>
      </c>
      <c r="B21" s="14" t="s">
        <v>52</v>
      </c>
      <c r="C21" s="15">
        <v>0</v>
      </c>
      <c r="D21" s="27">
        <v>0</v>
      </c>
      <c r="E21" s="64">
        <f t="shared" si="5"/>
        <v>0</v>
      </c>
      <c r="F21" s="27">
        <f t="shared" si="0"/>
        <v>0</v>
      </c>
      <c r="G21" s="28">
        <f t="shared" si="1"/>
        <v>0</v>
      </c>
      <c r="H21" s="28">
        <f t="shared" si="2"/>
        <v>0</v>
      </c>
      <c r="I21" s="28">
        <f t="shared" si="3"/>
        <v>0</v>
      </c>
      <c r="J21" s="88">
        <f t="shared" si="4"/>
        <v>0</v>
      </c>
      <c r="N21" s="28">
        <v>0</v>
      </c>
      <c r="O21" s="28">
        <v>0</v>
      </c>
      <c r="P21" t="s">
        <v>19</v>
      </c>
      <c r="Q21" s="15">
        <v>17445509</v>
      </c>
    </row>
    <row r="22" spans="1:17">
      <c r="A22" s="14" t="s">
        <v>20</v>
      </c>
      <c r="B22" s="14" t="s">
        <v>53</v>
      </c>
      <c r="C22" s="15">
        <v>0</v>
      </c>
      <c r="D22" s="27">
        <v>0</v>
      </c>
      <c r="E22" s="64">
        <f t="shared" si="5"/>
        <v>0</v>
      </c>
      <c r="F22" s="27">
        <f t="shared" si="0"/>
        <v>0</v>
      </c>
      <c r="G22" s="28">
        <f t="shared" si="1"/>
        <v>0</v>
      </c>
      <c r="H22" s="28">
        <f t="shared" si="2"/>
        <v>0</v>
      </c>
      <c r="I22" s="28">
        <f t="shared" si="3"/>
        <v>0</v>
      </c>
      <c r="J22" s="88">
        <f t="shared" si="4"/>
        <v>0</v>
      </c>
      <c r="N22" s="28">
        <v>0</v>
      </c>
      <c r="O22" s="28">
        <v>0</v>
      </c>
      <c r="P22" t="s">
        <v>20</v>
      </c>
      <c r="Q22" s="15">
        <v>12202801</v>
      </c>
    </row>
    <row r="23" spans="1:17">
      <c r="A23" s="14" t="s">
        <v>22</v>
      </c>
      <c r="B23" s="14" t="s">
        <v>54</v>
      </c>
      <c r="C23" s="15">
        <v>0</v>
      </c>
      <c r="D23" s="27">
        <v>0</v>
      </c>
      <c r="E23" s="64">
        <f t="shared" si="5"/>
        <v>0</v>
      </c>
      <c r="F23" s="27">
        <f t="shared" si="0"/>
        <v>0</v>
      </c>
      <c r="G23" s="28">
        <f t="shared" si="1"/>
        <v>0</v>
      </c>
      <c r="H23" s="28">
        <f t="shared" si="2"/>
        <v>0</v>
      </c>
      <c r="I23" s="28">
        <f t="shared" si="3"/>
        <v>0</v>
      </c>
      <c r="J23" s="88">
        <f t="shared" si="4"/>
        <v>0</v>
      </c>
      <c r="N23" s="28">
        <v>0</v>
      </c>
      <c r="O23" s="28">
        <v>0</v>
      </c>
      <c r="P23" t="s">
        <v>21</v>
      </c>
      <c r="Q23" s="15">
        <v>9560997</v>
      </c>
    </row>
    <row r="24" spans="1:17">
      <c r="A24" s="14" t="s">
        <v>21</v>
      </c>
      <c r="B24" s="14" t="s">
        <v>55</v>
      </c>
      <c r="C24" s="15">
        <v>0</v>
      </c>
      <c r="D24" s="27">
        <v>0</v>
      </c>
      <c r="E24" s="64">
        <f t="shared" si="5"/>
        <v>0</v>
      </c>
      <c r="F24" s="27">
        <f t="shared" si="0"/>
        <v>0</v>
      </c>
      <c r="G24" s="28">
        <f t="shared" si="1"/>
        <v>0</v>
      </c>
      <c r="H24" s="28">
        <f t="shared" si="2"/>
        <v>0</v>
      </c>
      <c r="I24" s="28">
        <f t="shared" si="3"/>
        <v>0</v>
      </c>
      <c r="J24" s="88">
        <f t="shared" si="4"/>
        <v>0</v>
      </c>
      <c r="N24" s="28">
        <v>0</v>
      </c>
      <c r="O24" s="28">
        <v>0</v>
      </c>
      <c r="P24" t="s">
        <v>22</v>
      </c>
      <c r="Q24" s="15">
        <v>12981508</v>
      </c>
    </row>
    <row r="25" spans="1:17">
      <c r="A25" s="14" t="s">
        <v>23</v>
      </c>
      <c r="B25" s="14" t="s">
        <v>56</v>
      </c>
      <c r="C25" s="15">
        <v>1350019</v>
      </c>
      <c r="D25" s="27">
        <f>C25/$C$37</f>
        <v>5.5833353598487574E-2</v>
      </c>
      <c r="E25" s="64">
        <f t="shared" si="5"/>
        <v>1350019</v>
      </c>
      <c r="F25" s="27">
        <f t="shared" si="0"/>
        <v>8.2569873466202093E-2</v>
      </c>
      <c r="G25" s="28">
        <f t="shared" si="1"/>
        <v>1060907</v>
      </c>
      <c r="H25" s="28">
        <f t="shared" si="2"/>
        <v>55833.353598487571</v>
      </c>
      <c r="I25" s="28">
        <f t="shared" si="3"/>
        <v>717380.25954546663</v>
      </c>
      <c r="J25" s="88">
        <f t="shared" si="4"/>
        <v>407824.79394895583</v>
      </c>
      <c r="N25" s="28">
        <v>1391159</v>
      </c>
      <c r="O25" s="28">
        <v>653082.20605104417</v>
      </c>
      <c r="P25" t="s">
        <v>23</v>
      </c>
      <c r="Q25" s="15">
        <v>1350019</v>
      </c>
    </row>
    <row r="26" spans="1:17">
      <c r="A26" s="14" t="s">
        <v>24</v>
      </c>
      <c r="B26" s="14" t="s">
        <v>57</v>
      </c>
      <c r="C26" s="15">
        <v>0</v>
      </c>
      <c r="D26" s="27">
        <v>0</v>
      </c>
      <c r="E26" s="64">
        <f t="shared" si="5"/>
        <v>0</v>
      </c>
      <c r="F26" s="27">
        <f t="shared" si="0"/>
        <v>0</v>
      </c>
      <c r="G26" s="28">
        <f t="shared" si="1"/>
        <v>0</v>
      </c>
      <c r="H26" s="28">
        <f t="shared" si="2"/>
        <v>0</v>
      </c>
      <c r="I26" s="28">
        <f t="shared" si="3"/>
        <v>0</v>
      </c>
      <c r="J26" s="88">
        <f t="shared" si="4"/>
        <v>0</v>
      </c>
      <c r="N26" s="28">
        <v>0</v>
      </c>
      <c r="O26" s="28">
        <v>0</v>
      </c>
      <c r="P26" t="s">
        <v>24</v>
      </c>
      <c r="Q26" s="15">
        <v>20010413</v>
      </c>
    </row>
    <row r="27" spans="1:17">
      <c r="A27" s="14" t="s">
        <v>25</v>
      </c>
      <c r="B27" s="14" t="s">
        <v>58</v>
      </c>
      <c r="C27" s="15">
        <v>0</v>
      </c>
      <c r="D27" s="27">
        <v>0</v>
      </c>
      <c r="E27" s="64">
        <f t="shared" si="5"/>
        <v>0</v>
      </c>
      <c r="F27" s="27">
        <f t="shared" si="0"/>
        <v>0</v>
      </c>
      <c r="G27" s="28">
        <f t="shared" si="1"/>
        <v>0</v>
      </c>
      <c r="H27" s="28">
        <f t="shared" si="2"/>
        <v>0</v>
      </c>
      <c r="I27" s="28">
        <f t="shared" si="3"/>
        <v>0</v>
      </c>
      <c r="J27" s="88">
        <f t="shared" si="4"/>
        <v>0</v>
      </c>
      <c r="N27" s="28">
        <v>0</v>
      </c>
      <c r="O27" s="28">
        <v>0</v>
      </c>
      <c r="P27" t="s">
        <v>25</v>
      </c>
      <c r="Q27" s="15">
        <v>1950318</v>
      </c>
    </row>
    <row r="28" spans="1:17">
      <c r="A28" s="14" t="s">
        <v>29</v>
      </c>
      <c r="B28" s="14" t="s">
        <v>59</v>
      </c>
      <c r="C28" s="15">
        <v>0</v>
      </c>
      <c r="D28" s="27">
        <v>0</v>
      </c>
      <c r="E28" s="64">
        <f t="shared" si="5"/>
        <v>0</v>
      </c>
      <c r="F28" s="27">
        <f t="shared" si="0"/>
        <v>0</v>
      </c>
      <c r="G28" s="28">
        <f t="shared" si="1"/>
        <v>0</v>
      </c>
      <c r="H28" s="28">
        <f t="shared" si="2"/>
        <v>0</v>
      </c>
      <c r="I28" s="28">
        <f t="shared" si="3"/>
        <v>0</v>
      </c>
      <c r="J28" s="88">
        <f t="shared" si="4"/>
        <v>0</v>
      </c>
      <c r="N28" s="28">
        <v>0</v>
      </c>
      <c r="O28" s="28">
        <v>0</v>
      </c>
      <c r="P28" t="s">
        <v>26</v>
      </c>
      <c r="Q28" s="15">
        <v>54544225</v>
      </c>
    </row>
    <row r="29" spans="1:17">
      <c r="A29" s="14" t="s">
        <v>26</v>
      </c>
      <c r="B29" s="14" t="s">
        <v>60</v>
      </c>
      <c r="C29" s="15">
        <v>0</v>
      </c>
      <c r="D29" s="27">
        <v>0</v>
      </c>
      <c r="E29" s="64">
        <f t="shared" si="5"/>
        <v>0</v>
      </c>
      <c r="F29" s="27">
        <f t="shared" si="0"/>
        <v>0</v>
      </c>
      <c r="G29" s="28">
        <f t="shared" si="1"/>
        <v>0</v>
      </c>
      <c r="H29" s="28">
        <f t="shared" si="2"/>
        <v>0</v>
      </c>
      <c r="I29" s="28">
        <f t="shared" si="3"/>
        <v>0</v>
      </c>
      <c r="J29" s="88">
        <f t="shared" si="4"/>
        <v>0</v>
      </c>
      <c r="N29" s="28">
        <v>0</v>
      </c>
      <c r="O29" s="28">
        <v>0</v>
      </c>
      <c r="P29" t="s">
        <v>27</v>
      </c>
      <c r="Q29" s="15">
        <v>21746068</v>
      </c>
    </row>
    <row r="30" spans="1:17">
      <c r="A30" s="14" t="s">
        <v>27</v>
      </c>
      <c r="B30" s="14" t="s">
        <v>61</v>
      </c>
      <c r="C30" s="15">
        <v>0</v>
      </c>
      <c r="D30" s="27">
        <v>0</v>
      </c>
      <c r="E30" s="64">
        <f t="shared" si="5"/>
        <v>0</v>
      </c>
      <c r="F30" s="27">
        <f t="shared" si="0"/>
        <v>0</v>
      </c>
      <c r="G30" s="28">
        <f t="shared" si="1"/>
        <v>0</v>
      </c>
      <c r="H30" s="28">
        <f t="shared" si="2"/>
        <v>0</v>
      </c>
      <c r="I30" s="28">
        <f t="shared" si="3"/>
        <v>0</v>
      </c>
      <c r="J30" s="88">
        <f t="shared" si="4"/>
        <v>0</v>
      </c>
      <c r="N30" s="28">
        <v>0</v>
      </c>
      <c r="O30" s="28">
        <v>0</v>
      </c>
      <c r="P30" t="s">
        <v>28</v>
      </c>
      <c r="Q30" s="15">
        <v>37313514</v>
      </c>
    </row>
    <row r="31" spans="1:17">
      <c r="A31" s="14" t="s">
        <v>28</v>
      </c>
      <c r="B31" s="14" t="s">
        <v>62</v>
      </c>
      <c r="C31" s="15">
        <v>0</v>
      </c>
      <c r="D31" s="27">
        <v>0</v>
      </c>
      <c r="E31" s="64">
        <f t="shared" si="5"/>
        <v>0</v>
      </c>
      <c r="F31" s="27">
        <f t="shared" si="0"/>
        <v>0</v>
      </c>
      <c r="G31" s="28">
        <f t="shared" si="1"/>
        <v>0</v>
      </c>
      <c r="H31" s="28">
        <f t="shared" si="2"/>
        <v>0</v>
      </c>
      <c r="I31" s="28">
        <f t="shared" si="3"/>
        <v>0</v>
      </c>
      <c r="J31" s="88">
        <f t="shared" si="4"/>
        <v>0</v>
      </c>
      <c r="N31" s="28">
        <v>0</v>
      </c>
      <c r="O31" s="28">
        <v>0</v>
      </c>
      <c r="P31" t="s">
        <v>29</v>
      </c>
      <c r="Q31" s="15">
        <v>1057016</v>
      </c>
    </row>
    <row r="32" spans="1:17">
      <c r="A32" s="14" t="s">
        <v>30</v>
      </c>
      <c r="B32" s="14" t="s">
        <v>63</v>
      </c>
      <c r="C32" s="15">
        <v>0</v>
      </c>
      <c r="D32" s="27">
        <v>0</v>
      </c>
      <c r="E32" s="64">
        <f t="shared" si="5"/>
        <v>0</v>
      </c>
      <c r="F32" s="27">
        <f t="shared" si="0"/>
        <v>0</v>
      </c>
      <c r="G32" s="28">
        <f t="shared" si="1"/>
        <v>0</v>
      </c>
      <c r="H32" s="28">
        <f t="shared" si="2"/>
        <v>0</v>
      </c>
      <c r="I32" s="28">
        <f t="shared" si="3"/>
        <v>0</v>
      </c>
      <c r="J32" s="88">
        <f t="shared" si="4"/>
        <v>0</v>
      </c>
      <c r="N32" s="28">
        <v>0</v>
      </c>
      <c r="O32" s="28">
        <v>0</v>
      </c>
      <c r="P32" t="s">
        <v>30</v>
      </c>
      <c r="Q32" s="15">
        <v>14434839</v>
      </c>
    </row>
    <row r="33" spans="1:17">
      <c r="A33" s="14" t="s">
        <v>31</v>
      </c>
      <c r="B33" s="14" t="s">
        <v>64</v>
      </c>
      <c r="C33" s="15">
        <v>0</v>
      </c>
      <c r="D33" s="27">
        <v>0</v>
      </c>
      <c r="E33" s="64">
        <f t="shared" si="5"/>
        <v>0</v>
      </c>
      <c r="F33" s="27">
        <f t="shared" si="0"/>
        <v>0</v>
      </c>
      <c r="G33" s="28">
        <f t="shared" si="1"/>
        <v>0</v>
      </c>
      <c r="H33" s="28">
        <f t="shared" si="2"/>
        <v>0</v>
      </c>
      <c r="I33" s="28">
        <f t="shared" si="3"/>
        <v>0</v>
      </c>
      <c r="J33" s="88">
        <f t="shared" si="4"/>
        <v>0</v>
      </c>
      <c r="N33" s="28">
        <v>0</v>
      </c>
      <c r="O33" s="28">
        <v>0</v>
      </c>
      <c r="P33" t="s">
        <v>31</v>
      </c>
      <c r="Q33" s="15">
        <v>20681987</v>
      </c>
    </row>
    <row r="34" spans="1:17">
      <c r="A34" s="14" t="s">
        <v>32</v>
      </c>
      <c r="B34" s="14" t="s">
        <v>65</v>
      </c>
      <c r="C34" s="15">
        <v>0</v>
      </c>
      <c r="D34" s="27">
        <v>0</v>
      </c>
      <c r="E34" s="64">
        <f t="shared" si="5"/>
        <v>0</v>
      </c>
      <c r="F34" s="27">
        <f t="shared" si="0"/>
        <v>0</v>
      </c>
      <c r="G34" s="28">
        <f t="shared" si="1"/>
        <v>0</v>
      </c>
      <c r="H34" s="28">
        <f t="shared" si="2"/>
        <v>0</v>
      </c>
      <c r="I34" s="28">
        <f t="shared" si="3"/>
        <v>0</v>
      </c>
      <c r="J34" s="88">
        <f t="shared" si="4"/>
        <v>0</v>
      </c>
      <c r="N34" s="28">
        <v>0</v>
      </c>
      <c r="O34" s="28">
        <v>0</v>
      </c>
      <c r="P34" t="s">
        <v>32</v>
      </c>
      <c r="Q34" s="15">
        <v>2212190</v>
      </c>
    </row>
    <row r="35" spans="1:17">
      <c r="A35" s="14" t="s">
        <v>33</v>
      </c>
      <c r="B35" s="14" t="s">
        <v>66</v>
      </c>
      <c r="C35" s="15">
        <v>0</v>
      </c>
      <c r="D35" s="27">
        <v>0</v>
      </c>
      <c r="E35" s="96">
        <f t="shared" si="5"/>
        <v>0</v>
      </c>
      <c r="F35" s="27">
        <f t="shared" si="0"/>
        <v>0</v>
      </c>
      <c r="G35" s="28">
        <f t="shared" si="1"/>
        <v>0</v>
      </c>
      <c r="H35" s="28">
        <f t="shared" si="2"/>
        <v>0</v>
      </c>
      <c r="I35" s="28">
        <f t="shared" si="3"/>
        <v>0</v>
      </c>
      <c r="J35" s="88">
        <f t="shared" si="4"/>
        <v>0</v>
      </c>
      <c r="N35" s="28">
        <v>0</v>
      </c>
      <c r="O35" s="28">
        <v>0</v>
      </c>
      <c r="P35" t="s">
        <v>33</v>
      </c>
      <c r="Q35" s="15">
        <v>164075205</v>
      </c>
    </row>
    <row r="36" spans="1:17">
      <c r="G36" s="120"/>
      <c r="I36" s="13"/>
      <c r="N36" s="28"/>
      <c r="O36" s="28"/>
    </row>
    <row r="37" spans="1:17" s="21" customFormat="1">
      <c r="A37" s="29" t="s">
        <v>67</v>
      </c>
      <c r="B37" s="29"/>
      <c r="C37" s="18">
        <f t="shared" ref="C37:J37" si="6">SUM(C10:C36)</f>
        <v>24179436</v>
      </c>
      <c r="D37" s="5">
        <f t="shared" si="6"/>
        <v>1</v>
      </c>
      <c r="E37" s="18">
        <f t="shared" si="6"/>
        <v>16350019</v>
      </c>
      <c r="F37" s="5">
        <f t="shared" si="6"/>
        <v>1</v>
      </c>
      <c r="G37" s="121">
        <f t="shared" si="6"/>
        <v>12848597</v>
      </c>
      <c r="H37" s="18">
        <f t="shared" si="6"/>
        <v>1000000</v>
      </c>
      <c r="I37" s="18">
        <f t="shared" si="6"/>
        <v>12848596.999999998</v>
      </c>
      <c r="J37" s="18">
        <f t="shared" si="6"/>
        <v>0</v>
      </c>
      <c r="N37" s="28">
        <f>SUM(N10:N36)</f>
        <v>27369359</v>
      </c>
      <c r="O37" s="28">
        <f>SUM(O10:O36)</f>
        <v>12848597</v>
      </c>
    </row>
  </sheetData>
  <conditionalFormatting sqref="E10:E35">
    <cfRule type="cellIs" dxfId="2" priority="1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workbookViewId="0">
      <selection activeCell="A6" sqref="A6"/>
    </sheetView>
  </sheetViews>
  <sheetFormatPr defaultRowHeight="15"/>
  <cols>
    <col min="1" max="1" width="14.85546875" style="13" bestFit="1" customWidth="1"/>
    <col min="2" max="2" width="10.85546875" style="13" bestFit="1" customWidth="1"/>
    <col min="3" max="3" width="11.7109375" style="13" bestFit="1" customWidth="1"/>
    <col min="4" max="4" width="9.140625" style="13"/>
    <col min="5" max="5" width="11.7109375" style="13" bestFit="1" customWidth="1"/>
    <col min="6" max="6" width="9.140625" style="13"/>
    <col min="7" max="7" width="13.85546875" style="13" bestFit="1" customWidth="1"/>
    <col min="8" max="8" width="3.140625" style="13" customWidth="1"/>
    <col min="9" max="9" width="14" style="145" bestFit="1" customWidth="1"/>
    <col min="10" max="10" width="15.28515625" style="145" customWidth="1"/>
    <col min="11" max="11" width="13.42578125" style="147" bestFit="1" customWidth="1"/>
    <col min="12" max="12" width="16.42578125" style="147" bestFit="1" customWidth="1"/>
    <col min="13" max="13" width="13.85546875" style="148" customWidth="1"/>
    <col min="14" max="14" width="10.7109375" style="148" bestFit="1" customWidth="1"/>
    <col min="15" max="16" width="10.7109375" style="13" bestFit="1" customWidth="1"/>
    <col min="17" max="16384" width="9.140625" style="13"/>
  </cols>
  <sheetData>
    <row r="2" spans="1:15">
      <c r="A2" s="21" t="s">
        <v>89</v>
      </c>
    </row>
    <row r="3" spans="1:15">
      <c r="A3" s="13" t="s">
        <v>100</v>
      </c>
    </row>
    <row r="4" spans="1:15">
      <c r="A4" s="13" t="s">
        <v>107</v>
      </c>
    </row>
    <row r="5" spans="1:15">
      <c r="A5" s="13" t="s">
        <v>115</v>
      </c>
    </row>
    <row r="7" spans="1:15">
      <c r="A7" s="153">
        <v>-1</v>
      </c>
      <c r="B7" s="153">
        <v>-2</v>
      </c>
      <c r="C7" s="153">
        <v>-3</v>
      </c>
      <c r="D7" s="153">
        <v>-4</v>
      </c>
      <c r="E7" s="153">
        <v>-5</v>
      </c>
      <c r="F7" s="153">
        <v>-6</v>
      </c>
      <c r="G7" s="153">
        <v>-7</v>
      </c>
      <c r="I7" s="153">
        <v>-8</v>
      </c>
      <c r="J7" s="153">
        <v>-9</v>
      </c>
      <c r="K7" s="153">
        <v>-10</v>
      </c>
      <c r="L7" s="153">
        <v>-11</v>
      </c>
      <c r="M7" s="153">
        <v>-12</v>
      </c>
    </row>
    <row r="8" spans="1:15">
      <c r="F8" s="137" t="s">
        <v>104</v>
      </c>
      <c r="G8" s="139">
        <v>12848597</v>
      </c>
      <c r="J8" s="171" t="s">
        <v>101</v>
      </c>
      <c r="K8" s="171" t="s">
        <v>102</v>
      </c>
      <c r="L8" s="167" t="s">
        <v>103</v>
      </c>
      <c r="O8" s="152"/>
    </row>
    <row r="9" spans="1:15">
      <c r="F9" s="137" t="s">
        <v>105</v>
      </c>
      <c r="G9" s="140">
        <v>-3009036</v>
      </c>
      <c r="J9" s="151"/>
      <c r="O9" s="152"/>
    </row>
    <row r="10" spans="1:15">
      <c r="A10" s="106"/>
      <c r="B10" s="107"/>
      <c r="C10" s="19" t="s">
        <v>78</v>
      </c>
      <c r="D10" s="19" t="s">
        <v>78</v>
      </c>
      <c r="E10" s="24"/>
      <c r="F10" s="127" t="s">
        <v>78</v>
      </c>
      <c r="G10" s="138" t="s">
        <v>94</v>
      </c>
      <c r="I10" s="133" t="s">
        <v>99</v>
      </c>
      <c r="J10" s="170" t="s">
        <v>113</v>
      </c>
      <c r="K10" s="170" t="s">
        <v>113</v>
      </c>
      <c r="L10" s="170" t="s">
        <v>113</v>
      </c>
      <c r="M10" s="168"/>
      <c r="O10" s="152"/>
    </row>
    <row r="11" spans="1:15">
      <c r="A11" s="108" t="s">
        <v>4</v>
      </c>
      <c r="B11" s="43" t="s">
        <v>35</v>
      </c>
      <c r="C11" s="17" t="s">
        <v>36</v>
      </c>
      <c r="D11" s="17" t="s">
        <v>36</v>
      </c>
      <c r="E11" s="17" t="s">
        <v>69</v>
      </c>
      <c r="F11" s="45" t="s">
        <v>36</v>
      </c>
      <c r="G11" s="132">
        <f>G8+G9</f>
        <v>9839561</v>
      </c>
      <c r="I11" s="138" t="s">
        <v>112</v>
      </c>
      <c r="J11" s="138" t="s">
        <v>112</v>
      </c>
      <c r="K11" s="138" t="s">
        <v>112</v>
      </c>
      <c r="L11" s="138" t="s">
        <v>112</v>
      </c>
      <c r="M11" s="169"/>
      <c r="O11" s="152"/>
    </row>
    <row r="12" spans="1:15">
      <c r="A12" s="108"/>
      <c r="B12" s="43"/>
      <c r="C12" s="17" t="s">
        <v>37</v>
      </c>
      <c r="D12" s="17" t="s">
        <v>37</v>
      </c>
      <c r="E12" s="17" t="s">
        <v>71</v>
      </c>
      <c r="F12" s="45" t="s">
        <v>37</v>
      </c>
      <c r="G12" s="16" t="s">
        <v>3</v>
      </c>
      <c r="I12" s="157">
        <v>12848597</v>
      </c>
      <c r="J12" s="159">
        <f>G11</f>
        <v>9839561</v>
      </c>
      <c r="K12" s="159">
        <f>G11</f>
        <v>9839561</v>
      </c>
      <c r="L12" s="159">
        <f>G11</f>
        <v>9839561</v>
      </c>
      <c r="M12" s="169"/>
    </row>
    <row r="13" spans="1:15">
      <c r="A13" s="109"/>
      <c r="B13" s="110"/>
      <c r="C13" s="8" t="s">
        <v>0</v>
      </c>
      <c r="D13" s="25" t="s">
        <v>39</v>
      </c>
      <c r="E13" s="95">
        <v>5000000</v>
      </c>
      <c r="F13" s="128" t="s">
        <v>83</v>
      </c>
      <c r="G13" s="26" t="s">
        <v>40</v>
      </c>
      <c r="I13" s="158" t="s">
        <v>96</v>
      </c>
      <c r="J13" s="158" t="s">
        <v>97</v>
      </c>
      <c r="K13" s="158" t="s">
        <v>98</v>
      </c>
      <c r="L13" s="158" t="s">
        <v>106</v>
      </c>
      <c r="M13" s="158" t="s">
        <v>114</v>
      </c>
    </row>
    <row r="14" spans="1:15">
      <c r="K14" s="141"/>
      <c r="L14" s="141"/>
    </row>
    <row r="15" spans="1:15">
      <c r="A15" s="14" t="s">
        <v>8</v>
      </c>
      <c r="B15" s="14" t="s">
        <v>41</v>
      </c>
      <c r="C15" s="89">
        <v>0</v>
      </c>
      <c r="D15" s="90">
        <v>0</v>
      </c>
      <c r="E15" s="64">
        <f>IF(C15&gt;E$13,E$13,ROUND(C15,0))</f>
        <v>0</v>
      </c>
      <c r="F15" s="90">
        <f t="shared" ref="F15:F40" si="0">E15/$E$42</f>
        <v>0</v>
      </c>
      <c r="G15" s="91">
        <f t="shared" ref="G15:G40" si="1">ROUND(F15*$G$11,0)</f>
        <v>0</v>
      </c>
      <c r="H15" s="92"/>
      <c r="I15" s="154"/>
      <c r="J15" s="155"/>
      <c r="K15" s="91"/>
      <c r="L15" s="91"/>
      <c r="M15" s="91">
        <f>SUM(I15:L15)</f>
        <v>0</v>
      </c>
    </row>
    <row r="16" spans="1:15">
      <c r="A16" s="14" t="s">
        <v>9</v>
      </c>
      <c r="B16" s="14" t="s">
        <v>42</v>
      </c>
      <c r="C16" s="89">
        <v>0</v>
      </c>
      <c r="D16" s="90">
        <v>0</v>
      </c>
      <c r="E16" s="64">
        <f t="shared" ref="E16:E40" si="2">IF(C16&gt;E$13,E$13,ROUND(C16,0))</f>
        <v>0</v>
      </c>
      <c r="F16" s="90">
        <f t="shared" si="0"/>
        <v>0</v>
      </c>
      <c r="G16" s="91">
        <f t="shared" si="1"/>
        <v>0</v>
      </c>
      <c r="H16" s="92"/>
      <c r="I16" s="155"/>
      <c r="J16" s="155"/>
      <c r="K16" s="91"/>
      <c r="L16" s="91"/>
      <c r="M16" s="91">
        <f t="shared" ref="M16:M40" si="3">SUM(I16:L16)</f>
        <v>0</v>
      </c>
    </row>
    <row r="17" spans="1:13">
      <c r="A17" s="14" t="s">
        <v>10</v>
      </c>
      <c r="B17" s="14" t="s">
        <v>43</v>
      </c>
      <c r="C17" s="89">
        <v>8522358</v>
      </c>
      <c r="D17" s="90">
        <f>C17/$C$42</f>
        <v>0.35246305993241528</v>
      </c>
      <c r="E17" s="64">
        <f t="shared" si="2"/>
        <v>5000000</v>
      </c>
      <c r="F17" s="90">
        <f>E17/$E$42</f>
        <v>0.30581004217793262</v>
      </c>
      <c r="G17" s="91">
        <f>ROUND(F17*$G$11,0)</f>
        <v>3009037</v>
      </c>
      <c r="H17" s="92"/>
      <c r="I17" s="91">
        <v>982308</v>
      </c>
      <c r="J17" s="91">
        <f>ROUND((G17-I17)/3,0)</f>
        <v>675576</v>
      </c>
      <c r="K17" s="91">
        <f>J17</f>
        <v>675576</v>
      </c>
      <c r="L17" s="91">
        <f>G17-SUM(I17:K17)</f>
        <v>675577</v>
      </c>
      <c r="M17" s="91">
        <f t="shared" si="3"/>
        <v>3009037</v>
      </c>
    </row>
    <row r="18" spans="1:13">
      <c r="A18" s="14" t="s">
        <v>11</v>
      </c>
      <c r="B18" s="14" t="s">
        <v>44</v>
      </c>
      <c r="C18" s="89">
        <v>0</v>
      </c>
      <c r="D18" s="90">
        <v>0</v>
      </c>
      <c r="E18" s="64">
        <f t="shared" si="2"/>
        <v>0</v>
      </c>
      <c r="F18" s="90">
        <f t="shared" si="0"/>
        <v>0</v>
      </c>
      <c r="G18" s="91">
        <f t="shared" si="1"/>
        <v>0</v>
      </c>
      <c r="H18" s="92"/>
      <c r="I18" s="156"/>
      <c r="J18" s="91"/>
      <c r="K18" s="91"/>
      <c r="L18" s="91"/>
      <c r="M18" s="91">
        <f t="shared" si="3"/>
        <v>0</v>
      </c>
    </row>
    <row r="19" spans="1:13">
      <c r="A19" s="14" t="s">
        <v>12</v>
      </c>
      <c r="B19" s="14" t="s">
        <v>45</v>
      </c>
      <c r="C19" s="89">
        <v>5891931</v>
      </c>
      <c r="D19" s="90">
        <f>C19/$C$42</f>
        <v>0.24367528671884656</v>
      </c>
      <c r="E19" s="64">
        <f t="shared" si="2"/>
        <v>5000000</v>
      </c>
      <c r="F19" s="90">
        <f t="shared" si="0"/>
        <v>0.30581004217793262</v>
      </c>
      <c r="G19" s="91">
        <f t="shared" si="1"/>
        <v>3009037</v>
      </c>
      <c r="H19" s="92"/>
      <c r="I19" s="91">
        <v>982308</v>
      </c>
      <c r="J19" s="91">
        <f>ROUND((G19-I19)/3,0)</f>
        <v>675576</v>
      </c>
      <c r="K19" s="91">
        <f>J19</f>
        <v>675576</v>
      </c>
      <c r="L19" s="91">
        <f>G19-SUM(I19:K19)</f>
        <v>675577</v>
      </c>
      <c r="M19" s="91">
        <f t="shared" si="3"/>
        <v>3009037</v>
      </c>
    </row>
    <row r="20" spans="1:13">
      <c r="A20" s="14" t="s">
        <v>13</v>
      </c>
      <c r="B20" s="14" t="s">
        <v>46</v>
      </c>
      <c r="C20" s="89">
        <v>0</v>
      </c>
      <c r="D20" s="90">
        <v>0</v>
      </c>
      <c r="E20" s="64">
        <f t="shared" si="2"/>
        <v>0</v>
      </c>
      <c r="F20" s="90">
        <f t="shared" si="0"/>
        <v>0</v>
      </c>
      <c r="G20" s="91">
        <f t="shared" si="1"/>
        <v>0</v>
      </c>
      <c r="H20" s="92"/>
      <c r="I20" s="156"/>
      <c r="J20" s="156"/>
      <c r="K20" s="91"/>
      <c r="L20" s="91"/>
      <c r="M20" s="91">
        <f t="shared" si="3"/>
        <v>0</v>
      </c>
    </row>
    <row r="21" spans="1:13">
      <c r="A21" s="14" t="s">
        <v>14</v>
      </c>
      <c r="B21" s="14" t="s">
        <v>47</v>
      </c>
      <c r="C21" s="89">
        <v>8415128</v>
      </c>
      <c r="D21" s="90">
        <f>C21/$C$42</f>
        <v>0.34802829975025057</v>
      </c>
      <c r="E21" s="64">
        <f t="shared" si="2"/>
        <v>5000000</v>
      </c>
      <c r="F21" s="90">
        <f t="shared" si="0"/>
        <v>0.30581004217793262</v>
      </c>
      <c r="G21" s="91">
        <f t="shared" si="1"/>
        <v>3009037</v>
      </c>
      <c r="H21" s="92"/>
      <c r="I21" s="91">
        <v>982308</v>
      </c>
      <c r="J21" s="91">
        <f>ROUND((G21-I21)/3,0)</f>
        <v>675576</v>
      </c>
      <c r="K21" s="91">
        <f>J21</f>
        <v>675576</v>
      </c>
      <c r="L21" s="91">
        <f>G21-SUM(I21:K21)</f>
        <v>675577</v>
      </c>
      <c r="M21" s="91">
        <f t="shared" si="3"/>
        <v>3009037</v>
      </c>
    </row>
    <row r="22" spans="1:13">
      <c r="A22" s="14" t="s">
        <v>15</v>
      </c>
      <c r="B22" s="14" t="s">
        <v>48</v>
      </c>
      <c r="C22" s="89">
        <v>0</v>
      </c>
      <c r="D22" s="90">
        <v>0</v>
      </c>
      <c r="E22" s="64">
        <f t="shared" si="2"/>
        <v>0</v>
      </c>
      <c r="F22" s="90">
        <f t="shared" si="0"/>
        <v>0</v>
      </c>
      <c r="G22" s="91">
        <f t="shared" si="1"/>
        <v>0</v>
      </c>
      <c r="H22" s="92"/>
      <c r="I22" s="156"/>
      <c r="J22" s="156"/>
      <c r="K22" s="91"/>
      <c r="L22" s="91"/>
      <c r="M22" s="91">
        <f t="shared" si="3"/>
        <v>0</v>
      </c>
    </row>
    <row r="23" spans="1:13">
      <c r="A23" s="14" t="s">
        <v>16</v>
      </c>
      <c r="B23" s="14" t="s">
        <v>49</v>
      </c>
      <c r="C23" s="89">
        <v>0</v>
      </c>
      <c r="D23" s="90">
        <v>0</v>
      </c>
      <c r="E23" s="64">
        <f t="shared" si="2"/>
        <v>0</v>
      </c>
      <c r="F23" s="90">
        <f t="shared" si="0"/>
        <v>0</v>
      </c>
      <c r="G23" s="91">
        <f t="shared" si="1"/>
        <v>0</v>
      </c>
      <c r="H23" s="92"/>
      <c r="I23" s="156"/>
      <c r="J23" s="156"/>
      <c r="K23" s="91"/>
      <c r="L23" s="91"/>
      <c r="M23" s="91">
        <f t="shared" si="3"/>
        <v>0</v>
      </c>
    </row>
    <row r="24" spans="1:13">
      <c r="A24" s="14" t="s">
        <v>17</v>
      </c>
      <c r="B24" s="14" t="s">
        <v>50</v>
      </c>
      <c r="C24" s="89">
        <v>0</v>
      </c>
      <c r="D24" s="90">
        <f>C24/$C$42</f>
        <v>0</v>
      </c>
      <c r="E24" s="64">
        <f t="shared" si="2"/>
        <v>0</v>
      </c>
      <c r="F24" s="90">
        <f t="shared" si="0"/>
        <v>0</v>
      </c>
      <c r="G24" s="91">
        <f t="shared" si="1"/>
        <v>0</v>
      </c>
      <c r="H24" s="92"/>
      <c r="I24" s="156"/>
      <c r="J24" s="156"/>
      <c r="K24" s="91"/>
      <c r="L24" s="91"/>
      <c r="M24" s="91">
        <f t="shared" si="3"/>
        <v>0</v>
      </c>
    </row>
    <row r="25" spans="1:13">
      <c r="A25" s="14" t="s">
        <v>18</v>
      </c>
      <c r="B25" s="14" t="s">
        <v>51</v>
      </c>
      <c r="C25" s="89">
        <v>0</v>
      </c>
      <c r="D25" s="90">
        <v>0</v>
      </c>
      <c r="E25" s="64">
        <f t="shared" si="2"/>
        <v>0</v>
      </c>
      <c r="F25" s="90">
        <f t="shared" si="0"/>
        <v>0</v>
      </c>
      <c r="G25" s="91">
        <f t="shared" si="1"/>
        <v>0</v>
      </c>
      <c r="H25" s="92"/>
      <c r="I25" s="156"/>
      <c r="J25" s="156"/>
      <c r="K25" s="91"/>
      <c r="L25" s="91"/>
      <c r="M25" s="91">
        <f t="shared" si="3"/>
        <v>0</v>
      </c>
    </row>
    <row r="26" spans="1:13">
      <c r="A26" s="14" t="s">
        <v>19</v>
      </c>
      <c r="B26" s="14" t="s">
        <v>52</v>
      </c>
      <c r="C26" s="89">
        <v>0</v>
      </c>
      <c r="D26" s="90">
        <v>0</v>
      </c>
      <c r="E26" s="64">
        <f t="shared" si="2"/>
        <v>0</v>
      </c>
      <c r="F26" s="90">
        <f t="shared" si="0"/>
        <v>0</v>
      </c>
      <c r="G26" s="91">
        <f t="shared" si="1"/>
        <v>0</v>
      </c>
      <c r="H26" s="92"/>
      <c r="I26" s="156"/>
      <c r="J26" s="156"/>
      <c r="K26" s="91"/>
      <c r="L26" s="91"/>
      <c r="M26" s="91">
        <f t="shared" si="3"/>
        <v>0</v>
      </c>
    </row>
    <row r="27" spans="1:13">
      <c r="A27" s="14" t="s">
        <v>20</v>
      </c>
      <c r="B27" s="14" t="s">
        <v>53</v>
      </c>
      <c r="C27" s="89">
        <v>0</v>
      </c>
      <c r="D27" s="90">
        <v>0</v>
      </c>
      <c r="E27" s="64">
        <f t="shared" si="2"/>
        <v>0</v>
      </c>
      <c r="F27" s="90">
        <f t="shared" si="0"/>
        <v>0</v>
      </c>
      <c r="G27" s="91">
        <f t="shared" si="1"/>
        <v>0</v>
      </c>
      <c r="H27" s="92"/>
      <c r="I27" s="156"/>
      <c r="J27" s="156"/>
      <c r="K27" s="91"/>
      <c r="L27" s="91"/>
      <c r="M27" s="91">
        <f t="shared" si="3"/>
        <v>0</v>
      </c>
    </row>
    <row r="28" spans="1:13">
      <c r="A28" s="14" t="s">
        <v>22</v>
      </c>
      <c r="B28" s="14" t="s">
        <v>54</v>
      </c>
      <c r="C28" s="89">
        <v>0</v>
      </c>
      <c r="D28" s="90">
        <v>0</v>
      </c>
      <c r="E28" s="64">
        <f t="shared" si="2"/>
        <v>0</v>
      </c>
      <c r="F28" s="90">
        <f t="shared" si="0"/>
        <v>0</v>
      </c>
      <c r="G28" s="91">
        <f t="shared" si="1"/>
        <v>0</v>
      </c>
      <c r="H28" s="92"/>
      <c r="I28" s="156"/>
      <c r="J28" s="156"/>
      <c r="K28" s="91"/>
      <c r="L28" s="91"/>
      <c r="M28" s="91">
        <f t="shared" si="3"/>
        <v>0</v>
      </c>
    </row>
    <row r="29" spans="1:13">
      <c r="A29" s="14" t="s">
        <v>21</v>
      </c>
      <c r="B29" s="14" t="s">
        <v>55</v>
      </c>
      <c r="C29" s="89">
        <v>0</v>
      </c>
      <c r="D29" s="90">
        <v>0</v>
      </c>
      <c r="E29" s="64">
        <f t="shared" si="2"/>
        <v>0</v>
      </c>
      <c r="F29" s="90">
        <f t="shared" si="0"/>
        <v>0</v>
      </c>
      <c r="G29" s="91">
        <f t="shared" si="1"/>
        <v>0</v>
      </c>
      <c r="H29" s="92"/>
      <c r="I29" s="156"/>
      <c r="J29" s="156"/>
      <c r="K29" s="91"/>
      <c r="L29" s="91"/>
      <c r="M29" s="91">
        <f t="shared" si="3"/>
        <v>0</v>
      </c>
    </row>
    <row r="30" spans="1:13">
      <c r="A30" s="14" t="s">
        <v>23</v>
      </c>
      <c r="B30" s="14" t="s">
        <v>56</v>
      </c>
      <c r="C30" s="89">
        <v>1350019</v>
      </c>
      <c r="D30" s="90">
        <f>C30/$C$42</f>
        <v>5.5833353598487574E-2</v>
      </c>
      <c r="E30" s="64">
        <f t="shared" si="2"/>
        <v>1350019</v>
      </c>
      <c r="F30" s="90">
        <f t="shared" si="0"/>
        <v>8.2569873466202093E-2</v>
      </c>
      <c r="G30" s="91">
        <f>ROUND(F30*$G$11,0)-1</f>
        <v>812450</v>
      </c>
      <c r="H30" s="92"/>
      <c r="I30" s="91">
        <v>265227</v>
      </c>
      <c r="J30" s="91">
        <f>ROUND((G30-I30)/3,0)</f>
        <v>182408</v>
      </c>
      <c r="K30" s="91">
        <f>J30</f>
        <v>182408</v>
      </c>
      <c r="L30" s="91">
        <f>G30-SUM(I30:K30)</f>
        <v>182407</v>
      </c>
      <c r="M30" s="91">
        <f t="shared" si="3"/>
        <v>812450</v>
      </c>
    </row>
    <row r="31" spans="1:13">
      <c r="A31" s="14" t="s">
        <v>24</v>
      </c>
      <c r="B31" s="14" t="s">
        <v>57</v>
      </c>
      <c r="C31" s="89">
        <v>0</v>
      </c>
      <c r="D31" s="90">
        <v>0</v>
      </c>
      <c r="E31" s="64">
        <f t="shared" si="2"/>
        <v>0</v>
      </c>
      <c r="F31" s="90">
        <f t="shared" si="0"/>
        <v>0</v>
      </c>
      <c r="G31" s="91">
        <f t="shared" si="1"/>
        <v>0</v>
      </c>
      <c r="H31" s="92"/>
      <c r="I31" s="156"/>
      <c r="J31" s="156"/>
      <c r="K31" s="91"/>
      <c r="L31" s="91"/>
      <c r="M31" s="91">
        <f t="shared" si="3"/>
        <v>0</v>
      </c>
    </row>
    <row r="32" spans="1:13">
      <c r="A32" s="14" t="s">
        <v>25</v>
      </c>
      <c r="B32" s="14" t="s">
        <v>58</v>
      </c>
      <c r="C32" s="89">
        <v>0</v>
      </c>
      <c r="D32" s="90">
        <v>0</v>
      </c>
      <c r="E32" s="64">
        <f t="shared" si="2"/>
        <v>0</v>
      </c>
      <c r="F32" s="90">
        <f t="shared" si="0"/>
        <v>0</v>
      </c>
      <c r="G32" s="91">
        <f t="shared" si="1"/>
        <v>0</v>
      </c>
      <c r="H32" s="92"/>
      <c r="I32" s="156"/>
      <c r="J32" s="156"/>
      <c r="K32" s="91"/>
      <c r="L32" s="91"/>
      <c r="M32" s="91">
        <f t="shared" si="3"/>
        <v>0</v>
      </c>
    </row>
    <row r="33" spans="1:14">
      <c r="A33" s="14" t="s">
        <v>29</v>
      </c>
      <c r="B33" s="14" t="s">
        <v>59</v>
      </c>
      <c r="C33" s="89">
        <v>0</v>
      </c>
      <c r="D33" s="90">
        <v>0</v>
      </c>
      <c r="E33" s="64">
        <f t="shared" si="2"/>
        <v>0</v>
      </c>
      <c r="F33" s="90">
        <f t="shared" si="0"/>
        <v>0</v>
      </c>
      <c r="G33" s="91">
        <f t="shared" si="1"/>
        <v>0</v>
      </c>
      <c r="H33" s="92"/>
      <c r="I33" s="156"/>
      <c r="J33" s="156"/>
      <c r="K33" s="91"/>
      <c r="L33" s="91"/>
      <c r="M33" s="91">
        <f t="shared" si="3"/>
        <v>0</v>
      </c>
    </row>
    <row r="34" spans="1:14">
      <c r="A34" s="14" t="s">
        <v>26</v>
      </c>
      <c r="B34" s="14" t="s">
        <v>60</v>
      </c>
      <c r="C34" s="89">
        <v>0</v>
      </c>
      <c r="D34" s="90">
        <v>0</v>
      </c>
      <c r="E34" s="64">
        <f t="shared" si="2"/>
        <v>0</v>
      </c>
      <c r="F34" s="90">
        <f t="shared" si="0"/>
        <v>0</v>
      </c>
      <c r="G34" s="91">
        <f t="shared" si="1"/>
        <v>0</v>
      </c>
      <c r="H34" s="92"/>
      <c r="I34" s="156"/>
      <c r="J34" s="156"/>
      <c r="K34" s="91"/>
      <c r="L34" s="91"/>
      <c r="M34" s="91">
        <f t="shared" si="3"/>
        <v>0</v>
      </c>
    </row>
    <row r="35" spans="1:14">
      <c r="A35" s="14" t="s">
        <v>27</v>
      </c>
      <c r="B35" s="14" t="s">
        <v>61</v>
      </c>
      <c r="C35" s="89">
        <v>0</v>
      </c>
      <c r="D35" s="90">
        <v>0</v>
      </c>
      <c r="E35" s="64">
        <f t="shared" si="2"/>
        <v>0</v>
      </c>
      <c r="F35" s="90">
        <f t="shared" si="0"/>
        <v>0</v>
      </c>
      <c r="G35" s="91">
        <f t="shared" si="1"/>
        <v>0</v>
      </c>
      <c r="H35" s="92"/>
      <c r="I35" s="156"/>
      <c r="J35" s="156"/>
      <c r="K35" s="91"/>
      <c r="L35" s="91"/>
      <c r="M35" s="91">
        <f t="shared" si="3"/>
        <v>0</v>
      </c>
    </row>
    <row r="36" spans="1:14">
      <c r="A36" s="14" t="s">
        <v>28</v>
      </c>
      <c r="B36" s="14" t="s">
        <v>62</v>
      </c>
      <c r="C36" s="89">
        <v>0</v>
      </c>
      <c r="D36" s="90">
        <v>0</v>
      </c>
      <c r="E36" s="64">
        <f t="shared" si="2"/>
        <v>0</v>
      </c>
      <c r="F36" s="90">
        <f t="shared" si="0"/>
        <v>0</v>
      </c>
      <c r="G36" s="91">
        <f t="shared" si="1"/>
        <v>0</v>
      </c>
      <c r="H36" s="92"/>
      <c r="I36" s="156"/>
      <c r="J36" s="156"/>
      <c r="K36" s="91"/>
      <c r="L36" s="91"/>
      <c r="M36" s="91">
        <f t="shared" si="3"/>
        <v>0</v>
      </c>
    </row>
    <row r="37" spans="1:14">
      <c r="A37" s="14" t="s">
        <v>30</v>
      </c>
      <c r="B37" s="14" t="s">
        <v>63</v>
      </c>
      <c r="C37" s="89">
        <v>0</v>
      </c>
      <c r="D37" s="90">
        <v>0</v>
      </c>
      <c r="E37" s="64">
        <f t="shared" si="2"/>
        <v>0</v>
      </c>
      <c r="F37" s="90">
        <f t="shared" si="0"/>
        <v>0</v>
      </c>
      <c r="G37" s="91">
        <f t="shared" si="1"/>
        <v>0</v>
      </c>
      <c r="H37" s="92"/>
      <c r="I37" s="156"/>
      <c r="J37" s="156"/>
      <c r="K37" s="91"/>
      <c r="L37" s="91"/>
      <c r="M37" s="91">
        <f t="shared" si="3"/>
        <v>0</v>
      </c>
    </row>
    <row r="38" spans="1:14">
      <c r="A38" s="14" t="s">
        <v>31</v>
      </c>
      <c r="B38" s="14" t="s">
        <v>64</v>
      </c>
      <c r="C38" s="89">
        <v>0</v>
      </c>
      <c r="D38" s="90">
        <v>0</v>
      </c>
      <c r="E38" s="64">
        <f t="shared" si="2"/>
        <v>0</v>
      </c>
      <c r="F38" s="90">
        <f t="shared" si="0"/>
        <v>0</v>
      </c>
      <c r="G38" s="91">
        <f t="shared" si="1"/>
        <v>0</v>
      </c>
      <c r="H38" s="92"/>
      <c r="I38" s="156"/>
      <c r="J38" s="156"/>
      <c r="K38" s="91"/>
      <c r="L38" s="91"/>
      <c r="M38" s="91">
        <f t="shared" si="3"/>
        <v>0</v>
      </c>
    </row>
    <row r="39" spans="1:14">
      <c r="A39" s="14" t="s">
        <v>32</v>
      </c>
      <c r="B39" s="14" t="s">
        <v>65</v>
      </c>
      <c r="C39" s="89">
        <v>0</v>
      </c>
      <c r="D39" s="90">
        <v>0</v>
      </c>
      <c r="E39" s="64">
        <f t="shared" si="2"/>
        <v>0</v>
      </c>
      <c r="F39" s="90">
        <f t="shared" si="0"/>
        <v>0</v>
      </c>
      <c r="G39" s="91">
        <f t="shared" si="1"/>
        <v>0</v>
      </c>
      <c r="H39" s="92"/>
      <c r="I39" s="156"/>
      <c r="J39" s="156"/>
      <c r="K39" s="91"/>
      <c r="L39" s="91"/>
      <c r="M39" s="91">
        <f t="shared" si="3"/>
        <v>0</v>
      </c>
    </row>
    <row r="40" spans="1:14">
      <c r="A40" s="14" t="s">
        <v>33</v>
      </c>
      <c r="B40" s="14" t="s">
        <v>66</v>
      </c>
      <c r="C40" s="89">
        <v>0</v>
      </c>
      <c r="D40" s="90">
        <v>0</v>
      </c>
      <c r="E40" s="96">
        <f t="shared" si="2"/>
        <v>0</v>
      </c>
      <c r="F40" s="90">
        <f t="shared" si="0"/>
        <v>0</v>
      </c>
      <c r="G40" s="91">
        <f t="shared" si="1"/>
        <v>0</v>
      </c>
      <c r="H40" s="92"/>
      <c r="I40" s="156"/>
      <c r="J40" s="156"/>
      <c r="K40" s="91"/>
      <c r="L40" s="91"/>
      <c r="M40" s="91">
        <f t="shared" si="3"/>
        <v>0</v>
      </c>
    </row>
    <row r="41" spans="1:14">
      <c r="A41" s="92"/>
      <c r="B41" s="92"/>
      <c r="C41" s="92"/>
      <c r="D41" s="92"/>
      <c r="E41" s="92"/>
      <c r="F41" s="92"/>
      <c r="G41" s="142"/>
      <c r="H41" s="92"/>
      <c r="I41" s="146"/>
      <c r="J41" s="146"/>
      <c r="K41" s="149"/>
      <c r="L41" s="149"/>
    </row>
    <row r="42" spans="1:14" s="21" customFormat="1">
      <c r="A42" s="29" t="s">
        <v>67</v>
      </c>
      <c r="B42" s="29"/>
      <c r="C42" s="73">
        <f t="shared" ref="C42:F42" si="4">SUM(C15:C41)</f>
        <v>24179436</v>
      </c>
      <c r="D42" s="93">
        <f t="shared" si="4"/>
        <v>1</v>
      </c>
      <c r="E42" s="73">
        <f t="shared" si="4"/>
        <v>16350019</v>
      </c>
      <c r="F42" s="93">
        <f t="shared" si="4"/>
        <v>1</v>
      </c>
      <c r="G42" s="143">
        <f>SUM(G15:G41)</f>
        <v>9839561</v>
      </c>
      <c r="H42" s="144"/>
      <c r="I42" s="143">
        <f>SUM(I15:I40)</f>
        <v>3212151</v>
      </c>
      <c r="J42" s="143">
        <f t="shared" ref="J42:M42" si="5">SUM(J15:J40)</f>
        <v>2209136</v>
      </c>
      <c r="K42" s="143">
        <f t="shared" si="5"/>
        <v>2209136</v>
      </c>
      <c r="L42" s="143">
        <f t="shared" si="5"/>
        <v>2209138</v>
      </c>
      <c r="M42" s="143">
        <f t="shared" si="5"/>
        <v>9839561</v>
      </c>
      <c r="N42" s="150"/>
    </row>
    <row r="43" spans="1:14">
      <c r="I43" s="13"/>
      <c r="J43" s="13"/>
      <c r="K43" s="13"/>
      <c r="L43" s="13"/>
    </row>
  </sheetData>
  <conditionalFormatting sqref="E15:E40">
    <cfRule type="cellIs" dxfId="1" priority="1" operator="equal">
      <formula>#REF!</formula>
    </cfRule>
  </conditionalFormatting>
  <pageMargins left="0.45" right="0.45" top="0.75" bottom="0.75" header="0.3" footer="0.3"/>
  <pageSetup scale="81" orientation="landscape" r:id="rId1"/>
  <headerFooter>
    <oddFooter>&amp;L&amp;9&amp;Z&amp;F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workbookViewId="0">
      <selection activeCell="G6" sqref="G6"/>
    </sheetView>
  </sheetViews>
  <sheetFormatPr defaultRowHeight="15"/>
  <cols>
    <col min="1" max="1" width="14.85546875" style="13" bestFit="1" customWidth="1"/>
    <col min="2" max="2" width="10.85546875" style="13" bestFit="1" customWidth="1"/>
    <col min="3" max="3" width="12.7109375" style="13" bestFit="1" customWidth="1"/>
    <col min="4" max="4" width="9.140625" style="13"/>
    <col min="5" max="5" width="11.7109375" style="13" bestFit="1" customWidth="1"/>
    <col min="6" max="6" width="9.140625" style="13"/>
    <col min="7" max="7" width="13.85546875" style="13" bestFit="1" customWidth="1"/>
    <col min="8" max="16384" width="9.140625" style="13"/>
  </cols>
  <sheetData>
    <row r="2" spans="1:7">
      <c r="A2" s="13" t="s">
        <v>90</v>
      </c>
    </row>
    <row r="4" spans="1:7">
      <c r="E4" s="75"/>
    </row>
    <row r="5" spans="1:7">
      <c r="A5" s="106"/>
      <c r="B5" s="107"/>
      <c r="C5" s="19" t="s">
        <v>78</v>
      </c>
      <c r="D5" s="19" t="s">
        <v>78</v>
      </c>
      <c r="E5" s="24"/>
      <c r="F5" s="19" t="s">
        <v>78</v>
      </c>
      <c r="G5" s="9">
        <v>65000000</v>
      </c>
    </row>
    <row r="6" spans="1:7">
      <c r="A6" s="108" t="s">
        <v>4</v>
      </c>
      <c r="B6" s="43" t="s">
        <v>35</v>
      </c>
      <c r="C6" s="17" t="s">
        <v>36</v>
      </c>
      <c r="D6" s="17" t="s">
        <v>36</v>
      </c>
      <c r="E6" s="17" t="s">
        <v>69</v>
      </c>
      <c r="F6" s="17" t="s">
        <v>36</v>
      </c>
      <c r="G6" s="16">
        <v>2019</v>
      </c>
    </row>
    <row r="7" spans="1:7">
      <c r="A7" s="108"/>
      <c r="B7" s="43"/>
      <c r="C7" s="17" t="s">
        <v>37</v>
      </c>
      <c r="D7" s="17" t="s">
        <v>37</v>
      </c>
      <c r="E7" s="17" t="s">
        <v>71</v>
      </c>
      <c r="F7" s="17" t="s">
        <v>37</v>
      </c>
      <c r="G7" s="16" t="s">
        <v>3</v>
      </c>
    </row>
    <row r="8" spans="1:7">
      <c r="A8" s="109"/>
      <c r="B8" s="110"/>
      <c r="C8" s="8" t="s">
        <v>0</v>
      </c>
      <c r="D8" s="25" t="s">
        <v>39</v>
      </c>
      <c r="E8" s="95">
        <v>14500000</v>
      </c>
      <c r="F8" s="25" t="s">
        <v>83</v>
      </c>
      <c r="G8" s="26" t="s">
        <v>40</v>
      </c>
    </row>
    <row r="10" spans="1:7">
      <c r="A10" s="14" t="s">
        <v>8</v>
      </c>
      <c r="B10" s="14" t="s">
        <v>41</v>
      </c>
      <c r="C10" s="89"/>
      <c r="D10" s="90">
        <f t="shared" ref="D10:D35" si="0">C10/$C$37</f>
        <v>0</v>
      </c>
      <c r="E10" s="64">
        <f>IF(C10&gt;E$8,E$8,ROUND(C10,0))</f>
        <v>0</v>
      </c>
      <c r="F10" s="27">
        <f t="shared" ref="F10:F35" si="1">E10/$E$37</f>
        <v>0</v>
      </c>
      <c r="G10" s="91">
        <f>ROUND(F10*$G$5,0)</f>
        <v>0</v>
      </c>
    </row>
    <row r="11" spans="1:7">
      <c r="A11" s="14" t="s">
        <v>9</v>
      </c>
      <c r="B11" s="14" t="s">
        <v>42</v>
      </c>
      <c r="C11" s="89"/>
      <c r="D11" s="90">
        <f t="shared" si="0"/>
        <v>0</v>
      </c>
      <c r="E11" s="64">
        <f t="shared" ref="E11:E35" si="2">IF(C11&gt;E$8,E$8,ROUND(C11,0))</f>
        <v>0</v>
      </c>
      <c r="F11" s="27">
        <f t="shared" si="1"/>
        <v>0</v>
      </c>
      <c r="G11" s="91">
        <f t="shared" ref="G11:G35" si="3">ROUND(F11*$G$5,0)</f>
        <v>0</v>
      </c>
    </row>
    <row r="12" spans="1:7">
      <c r="A12" s="14" t="s">
        <v>10</v>
      </c>
      <c r="B12" s="14" t="s">
        <v>43</v>
      </c>
      <c r="C12" s="89"/>
      <c r="D12" s="90">
        <f t="shared" si="0"/>
        <v>0</v>
      </c>
      <c r="E12" s="64">
        <f t="shared" si="2"/>
        <v>0</v>
      </c>
      <c r="F12" s="27">
        <f t="shared" si="1"/>
        <v>0</v>
      </c>
      <c r="G12" s="91">
        <f t="shared" si="3"/>
        <v>0</v>
      </c>
    </row>
    <row r="13" spans="1:7">
      <c r="A13" s="14" t="s">
        <v>11</v>
      </c>
      <c r="B13" s="14" t="s">
        <v>44</v>
      </c>
      <c r="C13" s="89">
        <v>20705832</v>
      </c>
      <c r="D13" s="90">
        <f t="shared" si="0"/>
        <v>0.29050133324301802</v>
      </c>
      <c r="E13" s="64">
        <f t="shared" si="2"/>
        <v>14500000</v>
      </c>
      <c r="F13" s="27">
        <f t="shared" si="1"/>
        <v>0.24345215287089356</v>
      </c>
      <c r="G13" s="91">
        <f t="shared" si="3"/>
        <v>15824390</v>
      </c>
    </row>
    <row r="14" spans="1:7">
      <c r="A14" s="14" t="s">
        <v>12</v>
      </c>
      <c r="B14" s="14" t="s">
        <v>45</v>
      </c>
      <c r="C14" s="89"/>
      <c r="D14" s="90">
        <f>C14/$C$37</f>
        <v>0</v>
      </c>
      <c r="E14" s="64">
        <f t="shared" si="2"/>
        <v>0</v>
      </c>
      <c r="F14" s="27">
        <f t="shared" si="1"/>
        <v>0</v>
      </c>
      <c r="G14" s="91">
        <f t="shared" si="3"/>
        <v>0</v>
      </c>
    </row>
    <row r="15" spans="1:7">
      <c r="A15" s="14" t="s">
        <v>13</v>
      </c>
      <c r="B15" s="14" t="s">
        <v>46</v>
      </c>
      <c r="C15" s="89">
        <v>3143611</v>
      </c>
      <c r="D15" s="90">
        <f t="shared" si="0"/>
        <v>4.410463615745637E-2</v>
      </c>
      <c r="E15" s="64">
        <f t="shared" si="2"/>
        <v>3143611</v>
      </c>
      <c r="F15" s="27">
        <f t="shared" si="1"/>
        <v>5.2780611430249834E-2</v>
      </c>
      <c r="G15" s="91">
        <f t="shared" si="3"/>
        <v>3430740</v>
      </c>
    </row>
    <row r="16" spans="1:7">
      <c r="A16" s="14" t="s">
        <v>14</v>
      </c>
      <c r="B16" s="14" t="s">
        <v>47</v>
      </c>
      <c r="C16" s="89"/>
      <c r="D16" s="90">
        <f t="shared" si="0"/>
        <v>0</v>
      </c>
      <c r="E16" s="64">
        <f t="shared" si="2"/>
        <v>0</v>
      </c>
      <c r="F16" s="27">
        <f t="shared" si="1"/>
        <v>0</v>
      </c>
      <c r="G16" s="91">
        <f t="shared" si="3"/>
        <v>0</v>
      </c>
    </row>
    <row r="17" spans="1:7">
      <c r="A17" s="14" t="s">
        <v>15</v>
      </c>
      <c r="B17" s="14" t="s">
        <v>48</v>
      </c>
      <c r="C17" s="89"/>
      <c r="D17" s="90">
        <f t="shared" si="0"/>
        <v>0</v>
      </c>
      <c r="E17" s="64">
        <f t="shared" si="2"/>
        <v>0</v>
      </c>
      <c r="F17" s="27">
        <f t="shared" si="1"/>
        <v>0</v>
      </c>
      <c r="G17" s="91">
        <f t="shared" si="3"/>
        <v>0</v>
      </c>
    </row>
    <row r="18" spans="1:7">
      <c r="A18" s="14" t="s">
        <v>16</v>
      </c>
      <c r="B18" s="14" t="s">
        <v>49</v>
      </c>
      <c r="C18" s="89"/>
      <c r="D18" s="90">
        <f t="shared" si="0"/>
        <v>0</v>
      </c>
      <c r="E18" s="64">
        <f t="shared" si="2"/>
        <v>0</v>
      </c>
      <c r="F18" s="27">
        <f t="shared" si="1"/>
        <v>0</v>
      </c>
      <c r="G18" s="91">
        <f t="shared" si="3"/>
        <v>0</v>
      </c>
    </row>
    <row r="19" spans="1:7">
      <c r="A19" s="14" t="s">
        <v>17</v>
      </c>
      <c r="B19" s="14" t="s">
        <v>50</v>
      </c>
      <c r="C19" s="89"/>
      <c r="D19" s="90">
        <f t="shared" si="0"/>
        <v>0</v>
      </c>
      <c r="E19" s="64">
        <f t="shared" si="2"/>
        <v>0</v>
      </c>
      <c r="F19" s="27">
        <f t="shared" si="1"/>
        <v>0</v>
      </c>
      <c r="G19" s="91">
        <f t="shared" si="3"/>
        <v>0</v>
      </c>
    </row>
    <row r="20" spans="1:7">
      <c r="A20" s="14" t="s">
        <v>18</v>
      </c>
      <c r="B20" s="14" t="s">
        <v>51</v>
      </c>
      <c r="C20" s="89"/>
      <c r="D20" s="90">
        <f t="shared" si="0"/>
        <v>0</v>
      </c>
      <c r="E20" s="64">
        <f t="shared" si="2"/>
        <v>0</v>
      </c>
      <c r="F20" s="27">
        <f t="shared" si="1"/>
        <v>0</v>
      </c>
      <c r="G20" s="91">
        <f t="shared" si="3"/>
        <v>0</v>
      </c>
    </row>
    <row r="21" spans="1:7">
      <c r="A21" s="14" t="s">
        <v>19</v>
      </c>
      <c r="B21" s="14" t="s">
        <v>52</v>
      </c>
      <c r="C21" s="89">
        <v>0</v>
      </c>
      <c r="D21" s="90">
        <f t="shared" si="0"/>
        <v>0</v>
      </c>
      <c r="E21" s="64">
        <f t="shared" si="2"/>
        <v>0</v>
      </c>
      <c r="F21" s="27">
        <f t="shared" si="1"/>
        <v>0</v>
      </c>
      <c r="G21" s="91">
        <f t="shared" si="3"/>
        <v>0</v>
      </c>
    </row>
    <row r="22" spans="1:7">
      <c r="A22" s="14" t="s">
        <v>20</v>
      </c>
      <c r="B22" s="14" t="s">
        <v>53</v>
      </c>
      <c r="C22" s="89"/>
      <c r="D22" s="90">
        <f t="shared" si="0"/>
        <v>0</v>
      </c>
      <c r="E22" s="64">
        <f t="shared" si="2"/>
        <v>0</v>
      </c>
      <c r="F22" s="27">
        <f t="shared" si="1"/>
        <v>0</v>
      </c>
      <c r="G22" s="91">
        <f t="shared" si="3"/>
        <v>0</v>
      </c>
    </row>
    <row r="23" spans="1:7">
      <c r="A23" s="14" t="s">
        <v>22</v>
      </c>
      <c r="B23" s="14" t="s">
        <v>54</v>
      </c>
      <c r="C23" s="89">
        <v>12981508</v>
      </c>
      <c r="D23" s="90">
        <f t="shared" si="0"/>
        <v>0.18212962326290025</v>
      </c>
      <c r="E23" s="64">
        <f t="shared" si="2"/>
        <v>12981508</v>
      </c>
      <c r="F23" s="27">
        <f t="shared" si="1"/>
        <v>0.21795697035246397</v>
      </c>
      <c r="G23" s="91">
        <f t="shared" si="3"/>
        <v>14167203</v>
      </c>
    </row>
    <row r="24" spans="1:7">
      <c r="A24" s="14" t="s">
        <v>21</v>
      </c>
      <c r="B24" s="14" t="s">
        <v>55</v>
      </c>
      <c r="C24" s="89"/>
      <c r="D24" s="90">
        <f t="shared" si="0"/>
        <v>0</v>
      </c>
      <c r="E24" s="64">
        <f t="shared" si="2"/>
        <v>0</v>
      </c>
      <c r="F24" s="27">
        <f t="shared" si="1"/>
        <v>0</v>
      </c>
      <c r="G24" s="91">
        <f t="shared" si="3"/>
        <v>0</v>
      </c>
    </row>
    <row r="25" spans="1:7">
      <c r="A25" s="14" t="s">
        <v>23</v>
      </c>
      <c r="B25" s="14" t="s">
        <v>56</v>
      </c>
      <c r="C25" s="89"/>
      <c r="D25" s="90">
        <f t="shared" si="0"/>
        <v>0</v>
      </c>
      <c r="E25" s="64">
        <f t="shared" si="2"/>
        <v>0</v>
      </c>
      <c r="F25" s="27">
        <f t="shared" si="1"/>
        <v>0</v>
      </c>
      <c r="G25" s="91">
        <f t="shared" si="3"/>
        <v>0</v>
      </c>
    </row>
    <row r="26" spans="1:7">
      <c r="A26" s="14" t="s">
        <v>24</v>
      </c>
      <c r="B26" s="14" t="s">
        <v>57</v>
      </c>
      <c r="C26" s="89">
        <v>20010413</v>
      </c>
      <c r="D26" s="90">
        <f t="shared" si="0"/>
        <v>0.28074465470614363</v>
      </c>
      <c r="E26" s="64">
        <f t="shared" si="2"/>
        <v>14500000</v>
      </c>
      <c r="F26" s="27">
        <f t="shared" si="1"/>
        <v>0.24345215287089356</v>
      </c>
      <c r="G26" s="91">
        <f t="shared" si="3"/>
        <v>15824390</v>
      </c>
    </row>
    <row r="27" spans="1:7">
      <c r="A27" s="14" t="s">
        <v>25</v>
      </c>
      <c r="B27" s="14" t="s">
        <v>58</v>
      </c>
      <c r="C27" s="89"/>
      <c r="D27" s="90">
        <f t="shared" si="0"/>
        <v>0</v>
      </c>
      <c r="E27" s="64">
        <f t="shared" si="2"/>
        <v>0</v>
      </c>
      <c r="F27" s="27">
        <f t="shared" si="1"/>
        <v>0</v>
      </c>
      <c r="G27" s="91">
        <f t="shared" si="3"/>
        <v>0</v>
      </c>
    </row>
    <row r="28" spans="1:7">
      <c r="A28" s="14" t="s">
        <v>29</v>
      </c>
      <c r="B28" s="14" t="s">
        <v>59</v>
      </c>
      <c r="C28" s="89"/>
      <c r="D28" s="90">
        <f t="shared" si="0"/>
        <v>0</v>
      </c>
      <c r="E28" s="64">
        <f t="shared" si="2"/>
        <v>0</v>
      </c>
      <c r="F28" s="27">
        <f t="shared" si="1"/>
        <v>0</v>
      </c>
      <c r="G28" s="91">
        <f t="shared" si="3"/>
        <v>0</v>
      </c>
    </row>
    <row r="29" spans="1:7">
      <c r="A29" s="14" t="s">
        <v>26</v>
      </c>
      <c r="B29" s="14" t="s">
        <v>60</v>
      </c>
      <c r="C29" s="89"/>
      <c r="D29" s="90">
        <f t="shared" si="0"/>
        <v>0</v>
      </c>
      <c r="E29" s="64">
        <f t="shared" si="2"/>
        <v>0</v>
      </c>
      <c r="F29" s="27">
        <f t="shared" si="1"/>
        <v>0</v>
      </c>
      <c r="G29" s="91">
        <f t="shared" si="3"/>
        <v>0</v>
      </c>
    </row>
    <row r="30" spans="1:7">
      <c r="A30" s="14" t="s">
        <v>27</v>
      </c>
      <c r="B30" s="14" t="s">
        <v>61</v>
      </c>
      <c r="C30" s="89"/>
      <c r="D30" s="90">
        <f t="shared" si="0"/>
        <v>0</v>
      </c>
      <c r="E30" s="64">
        <f t="shared" si="2"/>
        <v>0</v>
      </c>
      <c r="F30" s="27">
        <f t="shared" si="1"/>
        <v>0</v>
      </c>
      <c r="G30" s="91">
        <f t="shared" si="3"/>
        <v>0</v>
      </c>
    </row>
    <row r="31" spans="1:7">
      <c r="A31" s="14" t="s">
        <v>28</v>
      </c>
      <c r="B31" s="14" t="s">
        <v>62</v>
      </c>
      <c r="C31" s="89"/>
      <c r="D31" s="90">
        <f t="shared" si="0"/>
        <v>0</v>
      </c>
      <c r="E31" s="64">
        <f t="shared" si="2"/>
        <v>0</v>
      </c>
      <c r="F31" s="27">
        <f t="shared" si="1"/>
        <v>0</v>
      </c>
      <c r="G31" s="91">
        <f t="shared" si="3"/>
        <v>0</v>
      </c>
    </row>
    <row r="32" spans="1:7">
      <c r="A32" s="14" t="s">
        <v>30</v>
      </c>
      <c r="B32" s="14" t="s">
        <v>63</v>
      </c>
      <c r="C32" s="89">
        <v>14434839</v>
      </c>
      <c r="D32" s="90">
        <f t="shared" si="0"/>
        <v>0.20251975263048172</v>
      </c>
      <c r="E32" s="64">
        <f t="shared" si="2"/>
        <v>14434839</v>
      </c>
      <c r="F32" s="27">
        <f t="shared" si="1"/>
        <v>0.24235811247549907</v>
      </c>
      <c r="G32" s="91">
        <f t="shared" si="3"/>
        <v>15753277</v>
      </c>
    </row>
    <row r="33" spans="1:7">
      <c r="A33" s="14" t="s">
        <v>31</v>
      </c>
      <c r="B33" s="14" t="s">
        <v>64</v>
      </c>
      <c r="C33" s="89"/>
      <c r="D33" s="90">
        <f t="shared" si="0"/>
        <v>0</v>
      </c>
      <c r="E33" s="64">
        <f t="shared" si="2"/>
        <v>0</v>
      </c>
      <c r="F33" s="27">
        <f t="shared" si="1"/>
        <v>0</v>
      </c>
      <c r="G33" s="91">
        <f t="shared" si="3"/>
        <v>0</v>
      </c>
    </row>
    <row r="34" spans="1:7">
      <c r="A34" s="14" t="s">
        <v>32</v>
      </c>
      <c r="B34" s="14" t="s">
        <v>65</v>
      </c>
      <c r="C34" s="89"/>
      <c r="D34" s="90">
        <f t="shared" si="0"/>
        <v>0</v>
      </c>
      <c r="E34" s="64">
        <f t="shared" si="2"/>
        <v>0</v>
      </c>
      <c r="F34" s="27">
        <f t="shared" si="1"/>
        <v>0</v>
      </c>
      <c r="G34" s="91">
        <f t="shared" si="3"/>
        <v>0</v>
      </c>
    </row>
    <row r="35" spans="1:7">
      <c r="A35" s="14" t="s">
        <v>33</v>
      </c>
      <c r="B35" s="14" t="s">
        <v>66</v>
      </c>
      <c r="C35" s="89"/>
      <c r="D35" s="90">
        <f t="shared" si="0"/>
        <v>0</v>
      </c>
      <c r="E35" s="96">
        <f t="shared" si="2"/>
        <v>0</v>
      </c>
      <c r="F35" s="27">
        <f t="shared" si="1"/>
        <v>0</v>
      </c>
      <c r="G35" s="91">
        <f t="shared" si="3"/>
        <v>0</v>
      </c>
    </row>
    <row r="36" spans="1:7">
      <c r="C36" s="92"/>
      <c r="D36" s="92"/>
      <c r="E36" s="92"/>
      <c r="F36" s="92"/>
      <c r="G36" s="92"/>
    </row>
    <row r="37" spans="1:7" s="21" customFormat="1">
      <c r="A37" s="29" t="s">
        <v>67</v>
      </c>
      <c r="B37" s="29"/>
      <c r="C37" s="73">
        <f t="shared" ref="C37:G37" si="4">SUM(C10:C36)</f>
        <v>71276203</v>
      </c>
      <c r="D37" s="93">
        <f t="shared" si="4"/>
        <v>1</v>
      </c>
      <c r="E37" s="73">
        <f t="shared" si="4"/>
        <v>59559958</v>
      </c>
      <c r="F37" s="93">
        <f t="shared" si="4"/>
        <v>0.99999999999999989</v>
      </c>
      <c r="G37" s="73">
        <f t="shared" si="4"/>
        <v>65000000</v>
      </c>
    </row>
  </sheetData>
  <conditionalFormatting sqref="E10:E35">
    <cfRule type="cellIs" dxfId="0" priority="3" operator="equal">
      <formula>#REF!</formula>
    </cfRule>
  </conditionalFormatting>
  <pageMargins left="0.7" right="0.7" top="0.75" bottom="0.75" header="0.3" footer="0.3"/>
  <pageSetup orientation="portrait" r:id="rId1"/>
  <headerFooter>
    <oddFooter>&amp;L&amp;9&amp;F 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workbookViewId="0">
      <selection activeCell="E34" sqref="E34"/>
    </sheetView>
  </sheetViews>
  <sheetFormatPr defaultRowHeight="15"/>
  <cols>
    <col min="1" max="1" width="14.85546875" style="13" bestFit="1" customWidth="1"/>
    <col min="2" max="2" width="12.85546875" style="13" bestFit="1" customWidth="1"/>
    <col min="3" max="3" width="9.85546875" style="13" bestFit="1" customWidth="1"/>
    <col min="4" max="4" width="13.5703125" style="13" hidden="1" customWidth="1"/>
    <col min="5" max="5" width="13.28515625" style="13" bestFit="1" customWidth="1"/>
    <col min="6" max="16384" width="9.140625" style="13"/>
  </cols>
  <sheetData>
    <row r="2" spans="1:5">
      <c r="A2" s="13" t="s">
        <v>91</v>
      </c>
    </row>
    <row r="4" spans="1:5">
      <c r="B4" s="20">
        <v>2016</v>
      </c>
    </row>
    <row r="5" spans="1:5">
      <c r="B5" s="20" t="s">
        <v>82</v>
      </c>
      <c r="C5" s="20"/>
      <c r="D5" s="20">
        <v>2018</v>
      </c>
      <c r="E5" s="20">
        <v>2019</v>
      </c>
    </row>
    <row r="6" spans="1:5">
      <c r="B6" s="20" t="s">
        <v>75</v>
      </c>
      <c r="C6" s="20"/>
      <c r="D6" s="4" t="s">
        <v>2</v>
      </c>
      <c r="E6" s="4" t="s">
        <v>2</v>
      </c>
    </row>
    <row r="7" spans="1:5">
      <c r="B7" s="20" t="s">
        <v>36</v>
      </c>
      <c r="C7" s="20" t="s">
        <v>39</v>
      </c>
      <c r="D7" s="4" t="s">
        <v>76</v>
      </c>
      <c r="E7" s="4" t="s">
        <v>76</v>
      </c>
    </row>
    <row r="8" spans="1:5">
      <c r="B8" s="3" t="s">
        <v>77</v>
      </c>
      <c r="C8" s="3"/>
      <c r="D8" s="111">
        <v>85416667</v>
      </c>
      <c r="E8" s="124">
        <v>65000000</v>
      </c>
    </row>
    <row r="9" spans="1:5">
      <c r="A9" s="2" t="s">
        <v>8</v>
      </c>
      <c r="B9" s="77">
        <v>23912127</v>
      </c>
      <c r="C9" s="78">
        <f>B9/$B$35</f>
        <v>3.829449719629862E-2</v>
      </c>
      <c r="D9" s="77">
        <f>C9*$D$8</f>
        <v>3270988.3149486729</v>
      </c>
      <c r="E9" s="79">
        <f>ROUND(+$E$8*C9,0)</f>
        <v>2489142</v>
      </c>
    </row>
    <row r="10" spans="1:5">
      <c r="A10" s="2" t="s">
        <v>9</v>
      </c>
      <c r="B10" s="77">
        <v>48056138</v>
      </c>
      <c r="C10" s="78">
        <f t="shared" ref="C10:C34" si="0">B10/$B$35</f>
        <v>7.6960349110973672E-2</v>
      </c>
      <c r="D10" s="77">
        <f t="shared" ref="D10:D34" si="1">C10*$D$8</f>
        <v>6573696.5122157838</v>
      </c>
      <c r="E10" s="79">
        <f t="shared" ref="E10:E33" si="2">ROUND(+$E$8*C10,0)</f>
        <v>5002423</v>
      </c>
    </row>
    <row r="11" spans="1:5">
      <c r="A11" s="2" t="s">
        <v>10</v>
      </c>
      <c r="B11" s="77">
        <v>13913687</v>
      </c>
      <c r="C11" s="78">
        <f t="shared" si="0"/>
        <v>2.2282319252138322E-2</v>
      </c>
      <c r="D11" s="77">
        <f t="shared" si="1"/>
        <v>1903281.4435475881</v>
      </c>
      <c r="E11" s="79">
        <f t="shared" si="2"/>
        <v>1448351</v>
      </c>
    </row>
    <row r="12" spans="1:5">
      <c r="A12" s="2" t="s">
        <v>11</v>
      </c>
      <c r="B12" s="77">
        <v>27142086</v>
      </c>
      <c r="C12" s="78">
        <f t="shared" si="0"/>
        <v>4.3467171959595902E-2</v>
      </c>
      <c r="D12" s="77">
        <f t="shared" si="1"/>
        <v>3712820.9527045405</v>
      </c>
      <c r="E12" s="79">
        <f t="shared" si="2"/>
        <v>2825366</v>
      </c>
    </row>
    <row r="13" spans="1:5">
      <c r="A13" s="2" t="s">
        <v>12</v>
      </c>
      <c r="B13" s="77">
        <v>11071714</v>
      </c>
      <c r="C13" s="78">
        <f t="shared" si="0"/>
        <v>1.7730991506160042E-2</v>
      </c>
      <c r="D13" s="77">
        <f t="shared" si="1"/>
        <v>1514522.1970615007</v>
      </c>
      <c r="E13" s="79">
        <f t="shared" si="2"/>
        <v>1152514</v>
      </c>
    </row>
    <row r="14" spans="1:5">
      <c r="A14" s="2" t="s">
        <v>13</v>
      </c>
      <c r="B14" s="77">
        <v>5624228</v>
      </c>
      <c r="C14" s="78">
        <f t="shared" si="0"/>
        <v>9.0070190484244327E-3</v>
      </c>
      <c r="D14" s="77">
        <f t="shared" si="1"/>
        <v>769349.54672192666</v>
      </c>
      <c r="E14" s="79">
        <f t="shared" si="2"/>
        <v>585456</v>
      </c>
    </row>
    <row r="15" spans="1:5">
      <c r="A15" s="2" t="s">
        <v>14</v>
      </c>
      <c r="B15" s="77">
        <v>13540753</v>
      </c>
      <c r="C15" s="78">
        <f t="shared" si="0"/>
        <v>2.1685077525486218E-2</v>
      </c>
      <c r="D15" s="77">
        <f t="shared" si="1"/>
        <v>1852267.0458636403</v>
      </c>
      <c r="E15" s="79">
        <f t="shared" si="2"/>
        <v>1409530</v>
      </c>
    </row>
    <row r="16" spans="1:5">
      <c r="A16" s="2" t="s">
        <v>15</v>
      </c>
      <c r="B16" s="77">
        <v>60175639</v>
      </c>
      <c r="C16" s="78">
        <f t="shared" si="0"/>
        <v>9.6369337573816743E-2</v>
      </c>
      <c r="D16" s="77">
        <f t="shared" si="1"/>
        <v>8231547.6165532926</v>
      </c>
      <c r="E16" s="79">
        <f t="shared" si="2"/>
        <v>6264007</v>
      </c>
    </row>
    <row r="17" spans="1:5">
      <c r="A17" s="2" t="s">
        <v>16</v>
      </c>
      <c r="B17" s="77">
        <v>36648952</v>
      </c>
      <c r="C17" s="78">
        <f t="shared" si="0"/>
        <v>5.8692110058268035E-2</v>
      </c>
      <c r="D17" s="77">
        <f t="shared" si="1"/>
        <v>5013284.4203744316</v>
      </c>
      <c r="E17" s="79">
        <f t="shared" si="2"/>
        <v>3814987</v>
      </c>
    </row>
    <row r="18" spans="1:5">
      <c r="A18" s="2" t="s">
        <v>17</v>
      </c>
      <c r="B18" s="77">
        <v>10594387</v>
      </c>
      <c r="C18" s="78">
        <f t="shared" si="0"/>
        <v>1.6966567769901963E-2</v>
      </c>
      <c r="D18" s="77">
        <f t="shared" si="1"/>
        <v>1449227.6693346486</v>
      </c>
      <c r="E18" s="79">
        <f t="shared" si="2"/>
        <v>1102827</v>
      </c>
    </row>
    <row r="19" spans="1:5">
      <c r="A19" s="2" t="s">
        <v>18</v>
      </c>
      <c r="B19" s="77">
        <v>3399841</v>
      </c>
      <c r="C19" s="78">
        <f t="shared" si="0"/>
        <v>5.4447352860898194E-3</v>
      </c>
      <c r="D19" s="77">
        <f t="shared" si="1"/>
        <v>465071.14083508385</v>
      </c>
      <c r="E19" s="79">
        <f t="shared" si="2"/>
        <v>353908</v>
      </c>
    </row>
    <row r="20" spans="1:5">
      <c r="A20" s="2" t="s">
        <v>19</v>
      </c>
      <c r="B20" s="77">
        <v>21600284</v>
      </c>
      <c r="C20" s="78">
        <f t="shared" si="0"/>
        <v>3.4592155481494975E-2</v>
      </c>
      <c r="D20" s="77">
        <f t="shared" si="1"/>
        <v>2954746.625575081</v>
      </c>
      <c r="E20" s="79">
        <f t="shared" si="2"/>
        <v>2248490</v>
      </c>
    </row>
    <row r="21" spans="1:5">
      <c r="A21" s="2" t="s">
        <v>20</v>
      </c>
      <c r="B21" s="77">
        <v>18481746</v>
      </c>
      <c r="C21" s="78">
        <f t="shared" si="0"/>
        <v>2.9597917842260676E-2</v>
      </c>
      <c r="D21" s="77">
        <f t="shared" si="1"/>
        <v>2528155.4922257387</v>
      </c>
      <c r="E21" s="79">
        <f t="shared" si="2"/>
        <v>1923865</v>
      </c>
    </row>
    <row r="22" spans="1:5">
      <c r="A22" s="2" t="s">
        <v>21</v>
      </c>
      <c r="B22" s="77">
        <v>15674732</v>
      </c>
      <c r="C22" s="78">
        <f t="shared" si="0"/>
        <v>2.5102575802927622E-2</v>
      </c>
      <c r="D22" s="77">
        <f t="shared" si="1"/>
        <v>2144178.3582009263</v>
      </c>
      <c r="E22" s="79">
        <f t="shared" si="2"/>
        <v>1631667</v>
      </c>
    </row>
    <row r="23" spans="1:5">
      <c r="A23" s="2" t="s">
        <v>22</v>
      </c>
      <c r="B23" s="77">
        <v>21148262</v>
      </c>
      <c r="C23" s="78">
        <f t="shared" si="0"/>
        <v>3.3868256883446156E-2</v>
      </c>
      <c r="D23" s="77">
        <f t="shared" si="1"/>
        <v>2892913.6200837782</v>
      </c>
      <c r="E23" s="79">
        <f t="shared" si="2"/>
        <v>2201437</v>
      </c>
    </row>
    <row r="24" spans="1:5">
      <c r="A24" s="2" t="s">
        <v>23</v>
      </c>
      <c r="B24" s="77">
        <v>4285321</v>
      </c>
      <c r="C24" s="78">
        <f t="shared" si="0"/>
        <v>6.8628028372273034E-3</v>
      </c>
      <c r="D24" s="77">
        <f t="shared" si="1"/>
        <v>586197.74463409977</v>
      </c>
      <c r="E24" s="79">
        <f t="shared" si="2"/>
        <v>446082</v>
      </c>
    </row>
    <row r="25" spans="1:5">
      <c r="A25" s="2" t="s">
        <v>24</v>
      </c>
      <c r="B25" s="77">
        <v>21845649</v>
      </c>
      <c r="C25" s="78">
        <f t="shared" si="0"/>
        <v>3.4985099584901994E-2</v>
      </c>
      <c r="D25" s="77">
        <f t="shared" si="1"/>
        <v>2988310.6012054118</v>
      </c>
      <c r="E25" s="79">
        <f t="shared" si="2"/>
        <v>2274031</v>
      </c>
    </row>
    <row r="26" spans="1:5">
      <c r="A26" s="2" t="s">
        <v>25</v>
      </c>
      <c r="B26" s="77">
        <v>5945222</v>
      </c>
      <c r="C26" s="78">
        <f t="shared" si="0"/>
        <v>9.5210805467189456E-3</v>
      </c>
      <c r="D26" s="77">
        <f t="shared" si="1"/>
        <v>813258.96653927013</v>
      </c>
      <c r="E26" s="79">
        <f t="shared" si="2"/>
        <v>618870</v>
      </c>
    </row>
    <row r="27" spans="1:5">
      <c r="A27" s="2" t="s">
        <v>26</v>
      </c>
      <c r="B27" s="77">
        <v>39371301</v>
      </c>
      <c r="C27" s="78">
        <f t="shared" si="0"/>
        <v>6.3051863841268874E-2</v>
      </c>
      <c r="D27" s="77">
        <f t="shared" si="1"/>
        <v>5385680.0574590042</v>
      </c>
      <c r="E27" s="79">
        <f t="shared" si="2"/>
        <v>4098371</v>
      </c>
    </row>
    <row r="28" spans="1:5">
      <c r="A28" s="2" t="s">
        <v>27</v>
      </c>
      <c r="B28" s="77">
        <v>29484033</v>
      </c>
      <c r="C28" s="78">
        <f t="shared" si="0"/>
        <v>4.7217724255733333E-2</v>
      </c>
      <c r="D28" s="77">
        <f t="shared" si="1"/>
        <v>4033180.6292497967</v>
      </c>
      <c r="E28" s="79">
        <f t="shared" si="2"/>
        <v>3069152</v>
      </c>
    </row>
    <row r="29" spans="1:5">
      <c r="A29" s="2" t="s">
        <v>28</v>
      </c>
      <c r="B29" s="77">
        <v>37041345</v>
      </c>
      <c r="C29" s="78">
        <f t="shared" si="0"/>
        <v>5.9320514743403212E-2</v>
      </c>
      <c r="D29" s="77">
        <f t="shared" si="1"/>
        <v>5066960.6541058626</v>
      </c>
      <c r="E29" s="79">
        <f t="shared" si="2"/>
        <v>3855833</v>
      </c>
    </row>
    <row r="30" spans="1:5">
      <c r="A30" s="2" t="s">
        <v>29</v>
      </c>
      <c r="B30" s="77">
        <v>1466344</v>
      </c>
      <c r="C30" s="78">
        <f t="shared" si="0"/>
        <v>2.3483024407159308E-3</v>
      </c>
      <c r="D30" s="77">
        <f t="shared" si="1"/>
        <v>200584.1675939199</v>
      </c>
      <c r="E30" s="79">
        <f t="shared" si="2"/>
        <v>152640</v>
      </c>
    </row>
    <row r="31" spans="1:5">
      <c r="A31" s="2" t="s">
        <v>30</v>
      </c>
      <c r="B31" s="77">
        <v>24884107</v>
      </c>
      <c r="C31" s="78">
        <f t="shared" si="0"/>
        <v>3.9851091696857202E-2</v>
      </c>
      <c r="D31" s="77">
        <f t="shared" si="1"/>
        <v>3403947.4290569164</v>
      </c>
      <c r="E31" s="79">
        <f t="shared" si="2"/>
        <v>2590321</v>
      </c>
    </row>
    <row r="32" spans="1:5">
      <c r="A32" s="2" t="s">
        <v>31</v>
      </c>
      <c r="B32" s="77">
        <v>18907742</v>
      </c>
      <c r="C32" s="78">
        <f t="shared" si="0"/>
        <v>3.028013664394379E-2</v>
      </c>
      <c r="D32" s="77">
        <f t="shared" si="1"/>
        <v>2586428.3484302443</v>
      </c>
      <c r="E32" s="79">
        <f t="shared" si="2"/>
        <v>1968209</v>
      </c>
    </row>
    <row r="33" spans="1:5">
      <c r="A33" s="2" t="s">
        <v>32</v>
      </c>
      <c r="B33" s="77">
        <v>8025624</v>
      </c>
      <c r="C33" s="78">
        <f t="shared" si="0"/>
        <v>1.2852776993303311E-2</v>
      </c>
      <c r="D33" s="77">
        <f t="shared" si="1"/>
        <v>1097841.3724622501</v>
      </c>
      <c r="E33" s="79">
        <f t="shared" si="2"/>
        <v>835431</v>
      </c>
    </row>
    <row r="34" spans="1:5">
      <c r="A34" s="10" t="s">
        <v>33</v>
      </c>
      <c r="B34" s="76">
        <v>102185971</v>
      </c>
      <c r="C34" s="80">
        <f t="shared" si="0"/>
        <v>0.16364752411864289</v>
      </c>
      <c r="D34" s="77">
        <f t="shared" si="1"/>
        <v>13978226.073016588</v>
      </c>
      <c r="E34" s="173">
        <f>ROUND(+$E$8*C34,0)+1</f>
        <v>10637090</v>
      </c>
    </row>
    <row r="35" spans="1:5">
      <c r="B35" s="77">
        <f t="shared" ref="B35:D35" si="3">SUM(B9:B34)</f>
        <v>624427235</v>
      </c>
      <c r="C35" s="81">
        <f t="shared" si="3"/>
        <v>1</v>
      </c>
      <c r="D35" s="82">
        <f t="shared" si="3"/>
        <v>85416666.999999985</v>
      </c>
      <c r="E35" s="82">
        <f>SUM(E9:E34)</f>
        <v>65000000</v>
      </c>
    </row>
    <row r="42" spans="1:5">
      <c r="E42" s="23"/>
    </row>
    <row r="43" spans="1:5">
      <c r="E43" s="23"/>
    </row>
    <row r="44" spans="1:5">
      <c r="E44" s="23"/>
    </row>
    <row r="45" spans="1:5">
      <c r="E45" s="23"/>
    </row>
    <row r="46" spans="1:5">
      <c r="E46" s="23"/>
    </row>
  </sheetData>
  <pageMargins left="0.7" right="0.7" top="0.75" bottom="0.75" header="0.3" footer="0.3"/>
  <pageSetup orientation="portrait" r:id="rId1"/>
  <headerFooter>
    <oddFooter>&amp;L&amp;9&amp;F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Legislation</vt:lpstr>
      <vt:lpstr>Summary 2019</vt:lpstr>
      <vt:lpstr>IP Supp Combo</vt:lpstr>
      <vt:lpstr>Small</vt:lpstr>
      <vt:lpstr>Small Rev</vt:lpstr>
      <vt:lpstr>Mid</vt:lpstr>
      <vt:lpstr>OP Supp</vt:lpstr>
      <vt:lpstr>'IP Supp Combo'!Print_Area</vt:lpstr>
      <vt:lpstr>'Summary 2019'!Print_Area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Cecil, Roberta C.</cp:lastModifiedBy>
  <cp:lastPrinted>2018-12-05T19:42:18Z</cp:lastPrinted>
  <dcterms:created xsi:type="dcterms:W3CDTF">2017-09-26T12:18:41Z</dcterms:created>
  <dcterms:modified xsi:type="dcterms:W3CDTF">2018-12-28T14:46:53Z</dcterms:modified>
</cp:coreProperties>
</file>