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10935"/>
  </bookViews>
  <sheets>
    <sheet name="SFY19_GMEsummary" sheetId="1" r:id="rId1"/>
    <sheet name="SFY19_GME" sheetId="3" r:id="rId2"/>
    <sheet name="Days_19GME" sheetId="4" r:id="rId3"/>
    <sheet name="Queries 17" sheetId="12" r:id="rId4"/>
    <sheet name="Market Basket" sheetId="11" r:id="rId5"/>
  </sheets>
  <definedNames>
    <definedName name="\p" localSheetId="2">#REF!</definedName>
    <definedName name="\p" localSheetId="3">#REF!</definedName>
    <definedName name="\p" localSheetId="0">#REF!</definedName>
    <definedName name="\p">#REF!</definedName>
    <definedName name="\s" localSheetId="3">#REF!</definedName>
    <definedName name="\s">#REF!</definedName>
    <definedName name="_Fill" localSheetId="3" hidden="1">#REF!</definedName>
    <definedName name="_Fill" hidden="1">#REF!</definedName>
    <definedName name="A" localSheetId="3">#REF!</definedName>
    <definedName name="A">#REF!</definedName>
    <definedName name="codes" localSheetId="3">#REF!</definedName>
    <definedName name="codes">#REF!</definedName>
    <definedName name="COPIES" localSheetId="2">#REF!</definedName>
    <definedName name="COPIES" localSheetId="3">#REF!</definedName>
    <definedName name="COPIES" localSheetId="0">#REF!</definedName>
    <definedName name="COPIES">#REF!</definedName>
    <definedName name="COUNTER" localSheetId="3">#REF!</definedName>
    <definedName name="COUNTER" localSheetId="0">#REF!</definedName>
    <definedName name="COUNTER">#REF!</definedName>
    <definedName name="FFY05_DSH_Query" localSheetId="3">#REF!</definedName>
    <definedName name="FFY05_DSH_Query" localSheetId="0">#REF!</definedName>
    <definedName name="FFY05_DSH_Query">#REF!</definedName>
    <definedName name="FFY05_DSH_QUERY_1" localSheetId="3">#REF!</definedName>
    <definedName name="FFY05_DSH_QUERY_1" localSheetId="0">#REF!</definedName>
    <definedName name="FFY05_DSH_QUERY_1">#REF!</definedName>
    <definedName name="hart." localSheetId="3" hidden="1">#REF!</definedName>
    <definedName name="hart." localSheetId="0" hidden="1">#REF!</definedName>
    <definedName name="hart." hidden="1">#REF!</definedName>
    <definedName name="PRINT" localSheetId="3">#REF!</definedName>
    <definedName name="PRINT" localSheetId="0">#REF!</definedName>
    <definedName name="PRINT">#REF!</definedName>
    <definedName name="_xlnm.Print_Area" localSheetId="4">'Market Basket'!$A$1:$M$39</definedName>
    <definedName name="_xlnm.Print_Area" localSheetId="3">#REF!</definedName>
    <definedName name="_xlnm.Print_Area" localSheetId="1">SFY19_GME!$A$1:$I$75</definedName>
    <definedName name="_xlnm.Print_Area" localSheetId="0">SFY19_GMEsummary!$A$1:$G$37</definedName>
    <definedName name="_xlnm.Print_Area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4">'Market Basket'!$A:$A</definedName>
    <definedName name="_xlnm.Print_Titles" localSheetId="3">#REF!</definedName>
    <definedName name="_xlnm.Print_Titles">#REF!</definedName>
    <definedName name="PRINT_TITLES_MI" localSheetId="3">#REF!</definedName>
    <definedName name="PRINT_TITLES_MI" localSheetId="0">#REF!</definedName>
    <definedName name="PRINT_TITLES_MI">#REF!</definedName>
    <definedName name="rate" localSheetId="3">#REF!</definedName>
    <definedName name="rate">#REF!</definedName>
    <definedName name="TblStep_1" localSheetId="3">#REF!</definedName>
    <definedName name="TblStep_1" localSheetId="0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G59" i="3" l="1"/>
  <c r="F63" i="3"/>
  <c r="F59" i="3"/>
  <c r="E59" i="3"/>
  <c r="D59" i="3"/>
  <c r="C59" i="3"/>
  <c r="I34" i="3"/>
  <c r="H34" i="3"/>
  <c r="G34" i="3"/>
  <c r="F34" i="3"/>
  <c r="E38" i="3"/>
  <c r="E34" i="3"/>
  <c r="D38" i="3"/>
  <c r="C34" i="3"/>
  <c r="I10" i="3"/>
  <c r="H10" i="3"/>
  <c r="G10" i="3"/>
  <c r="F10" i="3"/>
  <c r="E14" i="3"/>
  <c r="E10" i="3"/>
  <c r="C23" i="3"/>
  <c r="C10" i="3"/>
  <c r="C39" i="11" l="1"/>
  <c r="B39" i="11"/>
  <c r="D39" i="11"/>
  <c r="B22" i="4" l="1"/>
  <c r="B18" i="4"/>
  <c r="B15" i="4"/>
  <c r="B12" i="4"/>
  <c r="B7" i="4"/>
  <c r="C22" i="4"/>
  <c r="C18" i="4"/>
  <c r="C12" i="4"/>
  <c r="D12" i="4"/>
  <c r="D22" i="4"/>
  <c r="C63" i="3" l="1"/>
  <c r="I38" i="3"/>
  <c r="F38" i="3"/>
  <c r="G14" i="3"/>
  <c r="D63" i="3"/>
  <c r="C38" i="3"/>
  <c r="H14" i="3"/>
  <c r="G63" i="3"/>
  <c r="G38" i="3"/>
  <c r="C14" i="3"/>
  <c r="E63" i="3"/>
  <c r="I14" i="3"/>
  <c r="F14" i="3"/>
  <c r="E6" i="4" l="1"/>
  <c r="D11" i="1" l="1"/>
  <c r="D14" i="1"/>
  <c r="D20" i="1"/>
  <c r="D21" i="1"/>
  <c r="D24" i="1"/>
  <c r="D26" i="1"/>
  <c r="D32" i="1"/>
  <c r="D35" i="1"/>
  <c r="E35" i="1" l="1"/>
  <c r="G35" i="1" s="1"/>
  <c r="E21" i="1"/>
  <c r="E32" i="1"/>
  <c r="G32" i="1" s="1"/>
  <c r="E20" i="1"/>
  <c r="G20" i="1"/>
  <c r="E26" i="1"/>
  <c r="G26" i="1" s="1"/>
  <c r="E14" i="1"/>
  <c r="G14" i="1"/>
  <c r="E24" i="1"/>
  <c r="G24" i="1" s="1"/>
  <c r="E11" i="1"/>
  <c r="F35" i="1"/>
  <c r="F32" i="1"/>
  <c r="F26" i="1"/>
  <c r="F24" i="1"/>
  <c r="F21" i="1"/>
  <c r="G21" i="1" s="1"/>
  <c r="F20" i="1"/>
  <c r="F14" i="1"/>
  <c r="F11" i="1"/>
  <c r="G11" i="1" s="1"/>
  <c r="B25" i="4" l="1"/>
  <c r="C25" i="4"/>
  <c r="D25" i="4"/>
  <c r="D9" i="1" l="1"/>
  <c r="E9" i="1" l="1"/>
  <c r="G9" i="1" s="1"/>
  <c r="F9" i="1"/>
  <c r="E7" i="4"/>
  <c r="E13" i="3" s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D10" i="3" l="1"/>
  <c r="D34" i="3"/>
  <c r="G62" i="3" l="1"/>
  <c r="C37" i="3"/>
  <c r="D62" i="3"/>
  <c r="F13" i="3"/>
  <c r="E62" i="3"/>
  <c r="H37" i="3"/>
  <c r="G37" i="3"/>
  <c r="F37" i="3"/>
  <c r="E37" i="3"/>
  <c r="D37" i="3"/>
  <c r="H13" i="3"/>
  <c r="G13" i="3"/>
  <c r="D13" i="3"/>
  <c r="E5" i="4"/>
  <c r="C13" i="3" l="1"/>
  <c r="E25" i="4"/>
  <c r="I13" i="3"/>
  <c r="I37" i="3"/>
  <c r="C62" i="3"/>
  <c r="F62" i="3"/>
  <c r="D39" i="3" l="1"/>
  <c r="E39" i="3"/>
  <c r="E47" i="3" s="1"/>
  <c r="F39" i="3"/>
  <c r="H39" i="3"/>
  <c r="I39" i="3"/>
  <c r="I47" i="3" s="1"/>
  <c r="F15" i="3"/>
  <c r="C39" i="3"/>
  <c r="F64" i="3"/>
  <c r="C15" i="3"/>
  <c r="G15" i="3"/>
  <c r="G23" i="3" s="1"/>
  <c r="I15" i="3"/>
  <c r="I23" i="3" s="1"/>
  <c r="C20" i="3"/>
  <c r="D20" i="3"/>
  <c r="E20" i="3"/>
  <c r="F20" i="3"/>
  <c r="G20" i="3"/>
  <c r="H20" i="3"/>
  <c r="I20" i="3"/>
  <c r="C44" i="3"/>
  <c r="D44" i="3"/>
  <c r="E44" i="3"/>
  <c r="F44" i="3"/>
  <c r="G44" i="3"/>
  <c r="H44" i="3"/>
  <c r="I44" i="3"/>
  <c r="C64" i="3"/>
  <c r="C72" i="3" s="1"/>
  <c r="D64" i="3"/>
  <c r="D72" i="3" s="1"/>
  <c r="E64" i="3"/>
  <c r="E72" i="3" s="1"/>
  <c r="G64" i="3"/>
  <c r="G72" i="3" s="1"/>
  <c r="C69" i="3"/>
  <c r="D69" i="3"/>
  <c r="E69" i="3"/>
  <c r="F69" i="3"/>
  <c r="G69" i="3"/>
  <c r="I48" i="3" l="1"/>
  <c r="C29" i="1" s="1"/>
  <c r="I24" i="3"/>
  <c r="C18" i="1" s="1"/>
  <c r="C24" i="3"/>
  <c r="C10" i="1" s="1"/>
  <c r="E73" i="3"/>
  <c r="C33" i="1" s="1"/>
  <c r="E48" i="3"/>
  <c r="C23" i="1" s="1"/>
  <c r="G24" i="3"/>
  <c r="C16" i="1" s="1"/>
  <c r="F47" i="3"/>
  <c r="F48" i="3" s="1"/>
  <c r="C25" i="1" s="1"/>
  <c r="D47" i="3"/>
  <c r="D48" i="3" s="1"/>
  <c r="C22" i="1" s="1"/>
  <c r="F72" i="3"/>
  <c r="F73" i="3" s="1"/>
  <c r="C34" i="1" s="1"/>
  <c r="C47" i="3"/>
  <c r="C48" i="3" s="1"/>
  <c r="C19" i="1" s="1"/>
  <c r="H47" i="3"/>
  <c r="H48" i="3" s="1"/>
  <c r="C28" i="1" s="1"/>
  <c r="D73" i="3"/>
  <c r="C31" i="1" s="1"/>
  <c r="G73" i="3"/>
  <c r="C36" i="1" s="1"/>
  <c r="C73" i="3"/>
  <c r="C30" i="1" s="1"/>
  <c r="D15" i="3"/>
  <c r="D23" i="3" s="1"/>
  <c r="D24" i="3" s="1"/>
  <c r="C12" i="1" s="1"/>
  <c r="F23" i="3"/>
  <c r="F24" i="3" s="1"/>
  <c r="C15" i="1" s="1"/>
  <c r="G39" i="3"/>
  <c r="G47" i="3" s="1"/>
  <c r="G48" i="3" s="1"/>
  <c r="C27" i="1" s="1"/>
  <c r="H15" i="3"/>
  <c r="H23" i="3" s="1"/>
  <c r="H24" i="3" s="1"/>
  <c r="C17" i="1" s="1"/>
  <c r="E15" i="3"/>
  <c r="E23" i="3" s="1"/>
  <c r="E24" i="3" s="1"/>
  <c r="C13" i="1" s="1"/>
  <c r="D10" i="1" l="1"/>
  <c r="D12" i="1"/>
  <c r="D25" i="1"/>
  <c r="D17" i="1"/>
  <c r="E17" i="1" s="1"/>
  <c r="D30" i="1"/>
  <c r="D19" i="1"/>
  <c r="D16" i="1"/>
  <c r="D27" i="1"/>
  <c r="D36" i="1"/>
  <c r="D34" i="1"/>
  <c r="D23" i="1"/>
  <c r="D29" i="1"/>
  <c r="E29" i="1" s="1"/>
  <c r="D15" i="1"/>
  <c r="D31" i="1"/>
  <c r="D22" i="1"/>
  <c r="D33" i="1"/>
  <c r="D28" i="1"/>
  <c r="D18" i="1"/>
  <c r="D13" i="1"/>
  <c r="C37" i="1"/>
  <c r="E18" i="1" l="1"/>
  <c r="F17" i="1"/>
  <c r="G17" i="1" s="1"/>
  <c r="E30" i="1"/>
  <c r="F18" i="1"/>
  <c r="F29" i="1"/>
  <c r="G29" i="1" s="1"/>
  <c r="F23" i="1"/>
  <c r="E31" i="1"/>
  <c r="F31" i="1"/>
  <c r="E34" i="1"/>
  <c r="F34" i="1"/>
  <c r="E19" i="1"/>
  <c r="F19" i="1"/>
  <c r="E12" i="1"/>
  <c r="F12" i="1"/>
  <c r="E23" i="1"/>
  <c r="F30" i="1"/>
  <c r="E28" i="1"/>
  <c r="F28" i="1"/>
  <c r="E22" i="1"/>
  <c r="F22" i="1"/>
  <c r="E15" i="1"/>
  <c r="F15" i="1"/>
  <c r="E36" i="1"/>
  <c r="F36" i="1"/>
  <c r="E16" i="1"/>
  <c r="F16" i="1"/>
  <c r="E25" i="1"/>
  <c r="F25" i="1"/>
  <c r="E33" i="1"/>
  <c r="F33" i="1"/>
  <c r="E27" i="1"/>
  <c r="F27" i="1"/>
  <c r="E10" i="1"/>
  <c r="F10" i="1"/>
  <c r="E13" i="1"/>
  <c r="F13" i="1"/>
  <c r="D37" i="1"/>
  <c r="G23" i="1" l="1"/>
  <c r="G25" i="1"/>
  <c r="G19" i="1"/>
  <c r="G33" i="1"/>
  <c r="G15" i="1"/>
  <c r="G34" i="1"/>
  <c r="G18" i="1"/>
  <c r="G13" i="1"/>
  <c r="G27" i="1"/>
  <c r="G31" i="1"/>
  <c r="G16" i="1"/>
  <c r="G12" i="1"/>
  <c r="G10" i="1"/>
  <c r="G28" i="1"/>
  <c r="G36" i="1"/>
  <c r="G22" i="1"/>
  <c r="G30" i="1"/>
  <c r="F37" i="1"/>
  <c r="E37" i="1"/>
  <c r="G37" i="1" l="1"/>
</calcChain>
</file>

<file path=xl/sharedStrings.xml><?xml version="1.0" encoding="utf-8"?>
<sst xmlns="http://schemas.openxmlformats.org/spreadsheetml/2006/main" count="287" uniqueCount="186">
  <si>
    <t>SPA 15-003</t>
  </si>
  <si>
    <t>Main Inpatient Medicaid ID</t>
  </si>
  <si>
    <t>GME Payment</t>
  </si>
  <si>
    <t xml:space="preserve">BACKUS </t>
  </si>
  <si>
    <t xml:space="preserve">004041851 </t>
  </si>
  <si>
    <t>BRIDGEPORT</t>
  </si>
  <si>
    <t xml:space="preserve">004041703 </t>
  </si>
  <si>
    <t xml:space="preserve">BRISTOL </t>
  </si>
  <si>
    <t xml:space="preserve">004041901 </t>
  </si>
  <si>
    <t>CCMC</t>
  </si>
  <si>
    <t>004159960</t>
  </si>
  <si>
    <t xml:space="preserve">DANBURY </t>
  </si>
  <si>
    <t xml:space="preserve">004041935 </t>
  </si>
  <si>
    <t xml:space="preserve">DAY KIMBALL </t>
  </si>
  <si>
    <t xml:space="preserve">004041638 </t>
  </si>
  <si>
    <t>DEMPSEY</t>
  </si>
  <si>
    <t>004041968</t>
  </si>
  <si>
    <t>GREENWICH</t>
  </si>
  <si>
    <t xml:space="preserve">004041786 </t>
  </si>
  <si>
    <t xml:space="preserve">GRIFFIN </t>
  </si>
  <si>
    <t xml:space="preserve">004041927 </t>
  </si>
  <si>
    <t xml:space="preserve">HARTFORD </t>
  </si>
  <si>
    <t xml:space="preserve">004041869 </t>
  </si>
  <si>
    <t>HOSP. CEN. CT</t>
  </si>
  <si>
    <t xml:space="preserve">004041950 </t>
  </si>
  <si>
    <t xml:space="preserve">HUNGERFORD </t>
  </si>
  <si>
    <t xml:space="preserve">004041711 </t>
  </si>
  <si>
    <t>JOHNSON</t>
  </si>
  <si>
    <t xml:space="preserve">004041687 </t>
  </si>
  <si>
    <t>LAWRENCE &amp; MEM</t>
  </si>
  <si>
    <t xml:space="preserve">004041679 </t>
  </si>
  <si>
    <t>MANCHESTER</t>
  </si>
  <si>
    <t xml:space="preserve">MIDSTATE </t>
  </si>
  <si>
    <t xml:space="preserve">004041778 </t>
  </si>
  <si>
    <t xml:space="preserve">MIDDLESEX </t>
  </si>
  <si>
    <t xml:space="preserve">004041810 </t>
  </si>
  <si>
    <t xml:space="preserve">MILFORD </t>
  </si>
  <si>
    <t xml:space="preserve">004041794 </t>
  </si>
  <si>
    <t xml:space="preserve">NORWALK </t>
  </si>
  <si>
    <t xml:space="preserve">004041943 </t>
  </si>
  <si>
    <t>ROCKVILLE</t>
  </si>
  <si>
    <t>ST FRANCIS</t>
  </si>
  <si>
    <t xml:space="preserve">004041620 </t>
  </si>
  <si>
    <t xml:space="preserve">ST MARYS </t>
  </si>
  <si>
    <t xml:space="preserve">004041760 </t>
  </si>
  <si>
    <t>ST VINCENTS</t>
  </si>
  <si>
    <t xml:space="preserve">004041893 </t>
  </si>
  <si>
    <t xml:space="preserve">SHARON </t>
  </si>
  <si>
    <t xml:space="preserve">004221800 </t>
  </si>
  <si>
    <t xml:space="preserve">STAMFORD </t>
  </si>
  <si>
    <t xml:space="preserve">004041661 </t>
  </si>
  <si>
    <t xml:space="preserve">WATERBURY </t>
  </si>
  <si>
    <t>WINDHAM</t>
  </si>
  <si>
    <t xml:space="preserve">004041828 </t>
  </si>
  <si>
    <t xml:space="preserve">004041836 </t>
  </si>
  <si>
    <t>TOTAL</t>
  </si>
  <si>
    <t>Note: Line 3 is inflated by hospital inpatient market basket index as published by CMS.</t>
  </si>
  <si>
    <t>Annual Payment - Inpatient Medicaid GME Payment [line 9 x line 10]</t>
  </si>
  <si>
    <t>Line 11</t>
  </si>
  <si>
    <t>Medicaid GME Payment [line 3 x line 6]</t>
  </si>
  <si>
    <t>Line 10</t>
  </si>
  <si>
    <t xml:space="preserve">   Allocation of Direct GME Costs to Medicaid Inpatient</t>
  </si>
  <si>
    <t>Ratio of Inpatient Service Revenue to Total [line 7 / line 8]</t>
  </si>
  <si>
    <t>Line 9</t>
  </si>
  <si>
    <t>Hospital Total Service Revenue [MCR wkst G-2, Col. 3, line 28]</t>
  </si>
  <si>
    <t>Line 8</t>
  </si>
  <si>
    <t>Hospital Inpatient Service Revenue [MCR wkst G-2, Col. 1, line 28]</t>
  </si>
  <si>
    <t>Line 7</t>
  </si>
  <si>
    <t xml:space="preserve">   Calculation of Inpatient Ratio</t>
  </si>
  <si>
    <t>Ratio of Program Inpatient Days to Total Inpatient Days [line 4 / line 5]</t>
  </si>
  <si>
    <t>Line 6</t>
  </si>
  <si>
    <t>Total Inpatient Days minus Nursery Days [MCR Wkst. S-3,  Pt. I, Col. 8]</t>
  </si>
  <si>
    <t>Line 5</t>
  </si>
  <si>
    <t>Line 4</t>
  </si>
  <si>
    <t xml:space="preserve">   Computation of Program Patient Load</t>
  </si>
  <si>
    <t>Aggregate Approved Amount [( lines 1 x 2) plus (lines 1a x 2a)] plus inflation</t>
  </si>
  <si>
    <t>Line 3</t>
  </si>
  <si>
    <t>Line 2a</t>
  </si>
  <si>
    <t>Line 2</t>
  </si>
  <si>
    <t>Line 1a</t>
  </si>
  <si>
    <t>Line 1</t>
  </si>
  <si>
    <t xml:space="preserve">   Computation of Total Direct GME Amount</t>
  </si>
  <si>
    <t>Yale</t>
  </si>
  <si>
    <t>Waterbury</t>
  </si>
  <si>
    <t>Stamford</t>
  </si>
  <si>
    <t>Saint Vincent</t>
  </si>
  <si>
    <t>Saint Mary</t>
  </si>
  <si>
    <t>Hospitals</t>
  </si>
  <si>
    <t>St. Francis</t>
  </si>
  <si>
    <t>Rockville</t>
  </si>
  <si>
    <t>Norwalk</t>
  </si>
  <si>
    <t>Middlesex</t>
  </si>
  <si>
    <t>Manchester</t>
  </si>
  <si>
    <t>Lawrence &amp; Memorial</t>
  </si>
  <si>
    <t>Hospital of Central CT.</t>
  </si>
  <si>
    <t>Hartford</t>
  </si>
  <si>
    <t>Griffin</t>
  </si>
  <si>
    <t>Greenwich</t>
  </si>
  <si>
    <t>Dempsey</t>
  </si>
  <si>
    <t>Danbury</t>
  </si>
  <si>
    <t>Ct. Childrens</t>
  </si>
  <si>
    <t>Bridgeport</t>
  </si>
  <si>
    <t>Number of FTE Residents for OB\GYN &amp; Primary Care [MCR, wkst. E-4, ln 17 Col 1]</t>
  </si>
  <si>
    <t>Number of FTE Residents for all other [MCR, wkst. E-4,ln 17 Col 2]</t>
  </si>
  <si>
    <t>Updated Per Resident Amount for OB\GYN &amp; Primary Care [MCR, wkst. E-4,ln 18 Col 1]</t>
  </si>
  <si>
    <t>Updated Per Resident Amount for all other [ MCR, wkst. E-4, ln 18 Col 2]</t>
  </si>
  <si>
    <t>Total Days</t>
  </si>
  <si>
    <t>BH days less than 19</t>
  </si>
  <si>
    <t>Billing Provider Name</t>
  </si>
  <si>
    <t>Less BH &lt; 19</t>
  </si>
  <si>
    <t>Less Nursery</t>
  </si>
  <si>
    <t>Market Basket</t>
  </si>
  <si>
    <t>Index Levels</t>
  </si>
  <si>
    <t>Four-Quarter Moving Average Percent Change</t>
  </si>
  <si>
    <t>2012-based End Stage Renal Disease:</t>
  </si>
  <si>
    <t xml:space="preserve">2006-based Medicare Economic Index: </t>
  </si>
  <si>
    <t>Child</t>
  </si>
  <si>
    <t>Nursery Days</t>
  </si>
  <si>
    <t>Days Used For GME per SPA</t>
  </si>
  <si>
    <t>2010-based Home Health Agency:</t>
  </si>
  <si>
    <t>2012-based Inpatient Rehabilitation Facilities:</t>
  </si>
  <si>
    <t>2012-based Inpatient Psychiatric Facilities:</t>
  </si>
  <si>
    <t>Total Medicaid Inpatient Days minus Nursery days minus Child Psych. [MMIS/Data Warehouse]</t>
  </si>
  <si>
    <t>YALE</t>
  </si>
  <si>
    <t>008069211</t>
  </si>
  <si>
    <t>008069217</t>
  </si>
  <si>
    <t>008069222</t>
  </si>
  <si>
    <t>New Milford</t>
  </si>
  <si>
    <t>Includes NM</t>
  </si>
  <si>
    <t>QE 9/30/18</t>
  </si>
  <si>
    <t>QE 12/31/18</t>
  </si>
  <si>
    <t>QE 3/31/19</t>
  </si>
  <si>
    <t>QE 6/30/19</t>
  </si>
  <si>
    <t>SFY 2019 GME Hospital Payment</t>
  </si>
  <si>
    <t>Summary Web Table - CMS Market Basket Index Levels and 
Four-Quarter Moving Average Percent Changes</t>
  </si>
  <si>
    <t>Forecast2018          Q1</t>
  </si>
  <si>
    <t>Forecast2018          Q2</t>
  </si>
  <si>
    <t>Forecast2018          Q3</t>
  </si>
  <si>
    <t>Forecast2018          Q4</t>
  </si>
  <si>
    <t>Forecast2019          Q1</t>
  </si>
  <si>
    <t>Forecast2019          Q2</t>
  </si>
  <si>
    <t>Forecast2019          Q3</t>
  </si>
  <si>
    <t>Forecast2019          Q4</t>
  </si>
  <si>
    <t>Forecast2020          Q1</t>
  </si>
  <si>
    <t>Forecast2020          Q2</t>
  </si>
  <si>
    <t>Forecast2020          Q3</t>
  </si>
  <si>
    <t>Forecast2020          Q4</t>
  </si>
  <si>
    <t>Forecast2021          Q1</t>
  </si>
  <si>
    <t>Forecast2021          Q2</t>
  </si>
  <si>
    <t>Forecast2021          Q3</t>
  </si>
  <si>
    <t>Forecast2021          Q4</t>
  </si>
  <si>
    <t>Forecast2022          Q1</t>
  </si>
  <si>
    <t>Forecast2022          Q2</t>
  </si>
  <si>
    <t>Forecast2022          Q3</t>
  </si>
  <si>
    <t>Forecast2022          Q4</t>
  </si>
  <si>
    <t>Forecast2023          Q1</t>
  </si>
  <si>
    <t>Forecast2023          Q2</t>
  </si>
  <si>
    <t>Forecast2023          Q3</t>
  </si>
  <si>
    <t>Forecast2023          Q4</t>
  </si>
  <si>
    <t>Forecast2024          Q1</t>
  </si>
  <si>
    <t>Forecast2024          Q2</t>
  </si>
  <si>
    <t>Forecast2024          Q3</t>
  </si>
  <si>
    <t>Forecast2024          Q4</t>
  </si>
  <si>
    <t>Forecast2025          Q1</t>
  </si>
  <si>
    <t>Forecast2025          Q2</t>
  </si>
  <si>
    <t>Forecast2025          Q3</t>
  </si>
  <si>
    <t>Forecast2025          Q4</t>
  </si>
  <si>
    <t>Forecast2026          Q1</t>
  </si>
  <si>
    <t>Forecast2026          Q2</t>
  </si>
  <si>
    <t>Forecast2026          Q3</t>
  </si>
  <si>
    <t>Forecast2026          Q4</t>
  </si>
  <si>
    <t>Forecast2027          Q1</t>
  </si>
  <si>
    <t>Forecast2027          Q2</t>
  </si>
  <si>
    <t>Forecast2027          Q3</t>
  </si>
  <si>
    <t>Forecast2027          Q4</t>
  </si>
  <si>
    <t>2014-based Inpatient Hospital:</t>
  </si>
  <si>
    <t>2014-based Inpatient Hospital Capital:</t>
  </si>
  <si>
    <t>2014-based Skilled Nursing Facility:</t>
  </si>
  <si>
    <t>2013-based Long Term Care Hospitals:</t>
  </si>
  <si>
    <t>2012-based Federally Qualified Health Center:</t>
  </si>
  <si>
    <t>Note: All market baskets, with the exception of the MEI, do not reflect a productivity adjustment</t>
  </si>
  <si>
    <t>* Percent change moving averages are calculated using more than ten decimal places</t>
  </si>
  <si>
    <t>Source: IHS Global Inc. (IGI) 2017Q4 Forecast</t>
  </si>
  <si>
    <t>Historical Data through 2017Q3</t>
  </si>
  <si>
    <t>Released by CMS, OACT, National Health Statistics Group, dnhs@cms.hhs.gov</t>
  </si>
  <si>
    <t>SFY 2019 Direct Graduate Medical Education (GME) based on FFY 2017 cost reports in accordance with SPA 15-003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</si>
</sst>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00000_);\(#,##0.000000\)"/>
    <numFmt numFmtId="167" formatCode="_(* #,##0.000000_);_(* \(#,##0.000000\);_(* &quot;-&quot;??_);_(@_)"/>
    <numFmt numFmtId="168" formatCode="#,##0;[Red]\(#,##0\)"/>
    <numFmt numFmtId="169" formatCode="0.000"/>
    <numFmt numFmtId="170" formatCode="0.0"/>
  </numFmts>
  <fonts count="28" x14ac:knownFonts="1">
    <font>
      <sz val="11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u/>
      <sz val="14"/>
      <color indexed="12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8"/>
      <name val="Arial"/>
      <family val="2"/>
    </font>
    <font>
      <sz val="8"/>
      <name val="Helv"/>
    </font>
    <font>
      <sz val="12"/>
      <name val="Arial"/>
      <family val="2"/>
    </font>
    <font>
      <sz val="10"/>
      <color theme="1"/>
      <name val="Tahoma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sz val="9"/>
      <color rgb="FF010000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38" fontId="0" fillId="0" borderId="0"/>
    <xf numFmtId="5" fontId="8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37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15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6" fillId="0" borderId="0"/>
    <xf numFmtId="38" fontId="8" fillId="0" borderId="0"/>
    <xf numFmtId="0" fontId="6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/>
    <xf numFmtId="0" fontId="6" fillId="0" borderId="0" applyNumberFormat="0" applyFont="0" applyBorder="0">
      <alignment horizontal="centerContinuous"/>
    </xf>
    <xf numFmtId="37" fontId="8" fillId="0" borderId="0" applyFont="0" applyFill="0" applyBorder="0" applyAlignment="0" applyProtection="0"/>
    <xf numFmtId="5" fontId="6" fillId="0" borderId="12">
      <alignment horizontal="right" vertical="top"/>
    </xf>
    <xf numFmtId="9" fontId="23" fillId="0" borderId="0" applyFont="0" applyFill="0" applyBorder="0" applyAlignment="0" applyProtection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2">
    <xf numFmtId="38" fontId="0" fillId="0" borderId="0" xfId="0"/>
    <xf numFmtId="0" fontId="6" fillId="0" borderId="0" xfId="2"/>
    <xf numFmtId="0" fontId="7" fillId="0" borderId="0" xfId="2" applyFont="1" applyFill="1" applyBorder="1" applyAlignment="1">
      <alignment horizontal="left" indent="1"/>
    </xf>
    <xf numFmtId="0" fontId="6" fillId="0" borderId="0" xfId="2" applyFont="1" applyFill="1" applyBorder="1"/>
    <xf numFmtId="7" fontId="6" fillId="0" borderId="0" xfId="1" applyNumberFormat="1" applyFont="1" applyFill="1" applyBorder="1"/>
    <xf numFmtId="0" fontId="6" fillId="0" borderId="0" xfId="2" applyBorder="1"/>
    <xf numFmtId="0" fontId="9" fillId="0" borderId="0" xfId="2" applyFont="1" applyFill="1" applyBorder="1"/>
    <xf numFmtId="0" fontId="10" fillId="0" borderId="0" xfId="2" applyFont="1" applyFill="1" applyBorder="1"/>
    <xf numFmtId="7" fontId="6" fillId="0" borderId="0" xfId="1" applyNumberFormat="1" applyFont="1" applyBorder="1"/>
    <xf numFmtId="7" fontId="6" fillId="0" borderId="0" xfId="1" applyNumberFormat="1" applyFont="1"/>
    <xf numFmtId="7" fontId="11" fillId="0" borderId="0" xfId="1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64" fontId="11" fillId="0" borderId="0" xfId="2" applyNumberFormat="1" applyFont="1" applyFill="1" applyAlignment="1">
      <alignment horizontal="center"/>
    </xf>
    <xf numFmtId="7" fontId="11" fillId="0" borderId="0" xfId="1" applyNumberFormat="1" applyFont="1" applyAlignment="1">
      <alignment horizontal="center"/>
    </xf>
    <xf numFmtId="7" fontId="6" fillId="0" borderId="0" xfId="1" applyNumberFormat="1" applyFont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  <xf numFmtId="7" fontId="6" fillId="0" borderId="1" xfId="1" applyNumberFormat="1" applyFont="1" applyFill="1" applyBorder="1" applyAlignment="1">
      <alignment horizontal="center" wrapText="1"/>
    </xf>
    <xf numFmtId="0" fontId="6" fillId="0" borderId="2" xfId="2" applyFont="1" applyFill="1" applyBorder="1"/>
    <xf numFmtId="0" fontId="6" fillId="0" borderId="2" xfId="2" applyFont="1" applyFill="1" applyBorder="1" applyAlignment="1">
      <alignment horizontal="center"/>
    </xf>
    <xf numFmtId="5" fontId="6" fillId="0" borderId="2" xfId="1" applyNumberFormat="1" applyFont="1" applyBorder="1"/>
    <xf numFmtId="5" fontId="6" fillId="0" borderId="1" xfId="1" applyNumberFormat="1" applyFont="1" applyFill="1" applyBorder="1"/>
    <xf numFmtId="5" fontId="6" fillId="0" borderId="1" xfId="1" applyNumberFormat="1" applyFont="1" applyBorder="1"/>
    <xf numFmtId="0" fontId="6" fillId="0" borderId="1" xfId="2" applyFont="1" applyFill="1" applyBorder="1"/>
    <xf numFmtId="0" fontId="6" fillId="0" borderId="1" xfId="2" quotePrefix="1" applyFont="1" applyFill="1" applyBorder="1" applyAlignment="1">
      <alignment horizontal="center"/>
    </xf>
    <xf numFmtId="0" fontId="11" fillId="0" borderId="0" xfId="2" applyFont="1"/>
    <xf numFmtId="0" fontId="6" fillId="0" borderId="3" xfId="2" applyBorder="1"/>
    <xf numFmtId="0" fontId="11" fillId="0" borderId="1" xfId="2" applyFont="1" applyFill="1" applyBorder="1"/>
    <xf numFmtId="7" fontId="6" fillId="0" borderId="0" xfId="1" applyNumberFormat="1" applyFont="1" applyFill="1" applyBorder="1" applyAlignment="1">
      <alignment horizontal="right" vertical="top"/>
    </xf>
    <xf numFmtId="5" fontId="6" fillId="0" borderId="0" xfId="1" applyNumberFormat="1" applyFont="1" applyFill="1" applyBorder="1" applyAlignment="1">
      <alignment horizontal="right" vertical="top"/>
    </xf>
    <xf numFmtId="37" fontId="6" fillId="0" borderId="0" xfId="2" applyNumberFormat="1" applyFont="1" applyFill="1" applyBorder="1"/>
    <xf numFmtId="7" fontId="0" fillId="0" borderId="0" xfId="1" applyNumberFormat="1" applyFont="1" applyBorder="1" applyAlignment="1">
      <alignment horizontal="center"/>
    </xf>
    <xf numFmtId="37" fontId="6" fillId="0" borderId="0" xfId="2" applyNumberFormat="1" applyFont="1" applyFill="1" applyBorder="1" applyAlignment="1">
      <alignment horizontal="left"/>
    </xf>
    <xf numFmtId="0" fontId="6" fillId="0" borderId="0" xfId="2" applyFont="1" applyAlignment="1">
      <alignment horizontal="left"/>
    </xf>
    <xf numFmtId="165" fontId="6" fillId="0" borderId="0" xfId="2" applyNumberFormat="1" applyFont="1"/>
    <xf numFmtId="0" fontId="13" fillId="0" borderId="0" xfId="2" applyFont="1" applyFill="1" applyBorder="1"/>
    <xf numFmtId="165" fontId="6" fillId="0" borderId="0" xfId="1" applyNumberFormat="1" applyFont="1"/>
    <xf numFmtId="0" fontId="14" fillId="0" borderId="0" xfId="2" applyFont="1" applyFill="1" applyBorder="1"/>
    <xf numFmtId="0" fontId="4" fillId="0" borderId="0" xfId="71"/>
    <xf numFmtId="0" fontId="4" fillId="0" borderId="0" xfId="71" applyAlignment="1">
      <alignment vertical="center"/>
    </xf>
    <xf numFmtId="0" fontId="5" fillId="0" borderId="0" xfId="71" applyFont="1"/>
    <xf numFmtId="0" fontId="4" fillId="0" borderId="0" xfId="71" applyFill="1"/>
    <xf numFmtId="5" fontId="19" fillId="2" borderId="4" xfId="71" applyNumberFormat="1" applyFont="1" applyFill="1" applyBorder="1" applyAlignment="1" applyProtection="1">
      <alignment vertical="center"/>
    </xf>
    <xf numFmtId="0" fontId="11" fillId="2" borderId="5" xfId="71" applyFont="1" applyFill="1" applyBorder="1" applyAlignment="1" applyProtection="1">
      <alignment horizontal="left"/>
    </xf>
    <xf numFmtId="0" fontId="6" fillId="0" borderId="0" xfId="71" applyFont="1" applyAlignment="1">
      <alignment horizontal="right"/>
    </xf>
    <xf numFmtId="5" fontId="13" fillId="0" borderId="4" xfId="71" applyNumberFormat="1" applyFont="1" applyFill="1" applyBorder="1" applyAlignment="1" applyProtection="1">
      <alignment vertical="center"/>
    </xf>
    <xf numFmtId="0" fontId="6" fillId="0" borderId="6" xfId="71" applyFont="1" applyBorder="1" applyAlignment="1" applyProtection="1">
      <alignment horizontal="left"/>
    </xf>
    <xf numFmtId="0" fontId="6" fillId="0" borderId="0" xfId="71" applyFont="1" applyAlignment="1" applyProtection="1">
      <alignment horizontal="right"/>
      <protection locked="0"/>
    </xf>
    <xf numFmtId="0" fontId="13" fillId="0" borderId="0" xfId="71" applyFont="1" applyFill="1" applyAlignment="1">
      <alignment vertical="center"/>
    </xf>
    <xf numFmtId="0" fontId="11" fillId="0" borderId="0" xfId="71" applyFont="1" applyBorder="1" applyAlignment="1" applyProtection="1">
      <alignment horizontal="left"/>
    </xf>
    <xf numFmtId="0" fontId="6" fillId="0" borderId="0" xfId="71" applyFont="1"/>
    <xf numFmtId="166" fontId="13" fillId="0" borderId="7" xfId="71" applyNumberFormat="1" applyFont="1" applyFill="1" applyBorder="1" applyAlignment="1">
      <alignment vertical="center"/>
    </xf>
    <xf numFmtId="0" fontId="6" fillId="0" borderId="8" xfId="71" applyFont="1" applyBorder="1" applyAlignment="1" applyProtection="1">
      <alignment horizontal="left"/>
    </xf>
    <xf numFmtId="0" fontId="6" fillId="0" borderId="9" xfId="71" quotePrefix="1" applyFont="1" applyBorder="1" applyAlignment="1" applyProtection="1">
      <alignment horizontal="left"/>
    </xf>
    <xf numFmtId="0" fontId="4" fillId="0" borderId="0" xfId="71" applyFill="1" applyAlignment="1">
      <alignment vertical="center"/>
    </xf>
    <xf numFmtId="0" fontId="11" fillId="0" borderId="0" xfId="71" applyFont="1" applyAlignment="1" applyProtection="1">
      <alignment horizontal="left"/>
    </xf>
    <xf numFmtId="0" fontId="6" fillId="0" borderId="0" xfId="71" applyFont="1" applyBorder="1"/>
    <xf numFmtId="167" fontId="13" fillId="0" borderId="4" xfId="21" applyNumberFormat="1" applyFont="1" applyFill="1" applyBorder="1" applyAlignment="1" applyProtection="1">
      <alignment vertical="center"/>
    </xf>
    <xf numFmtId="0" fontId="6" fillId="0" borderId="7" xfId="71" applyFont="1" applyBorder="1" applyAlignment="1" applyProtection="1">
      <alignment horizontal="left"/>
    </xf>
    <xf numFmtId="165" fontId="13" fillId="0" borderId="4" xfId="21" applyNumberFormat="1" applyFont="1" applyFill="1" applyBorder="1" applyAlignment="1" applyProtection="1">
      <alignment vertical="center"/>
    </xf>
    <xf numFmtId="0" fontId="20" fillId="0" borderId="0" xfId="71" applyFont="1" applyProtection="1">
      <protection locked="0"/>
    </xf>
    <xf numFmtId="0" fontId="6" fillId="0" borderId="10" xfId="71" applyFont="1" applyBorder="1" applyAlignment="1" applyProtection="1">
      <alignment horizontal="left"/>
    </xf>
    <xf numFmtId="7" fontId="13" fillId="0" borderId="4" xfId="71" applyNumberFormat="1" applyFont="1" applyFill="1" applyBorder="1" applyAlignment="1" applyProtection="1">
      <alignment vertical="center"/>
    </xf>
    <xf numFmtId="7" fontId="4" fillId="0" borderId="0" xfId="71" applyNumberFormat="1" applyAlignment="1">
      <alignment vertical="center"/>
    </xf>
    <xf numFmtId="43" fontId="13" fillId="0" borderId="4" xfId="21" applyFont="1" applyFill="1" applyBorder="1" applyAlignment="1" applyProtection="1">
      <alignment vertical="center"/>
    </xf>
    <xf numFmtId="0" fontId="6" fillId="0" borderId="0" xfId="71" applyFont="1" applyBorder="1" applyProtection="1"/>
    <xf numFmtId="0" fontId="21" fillId="0" borderId="0" xfId="71" applyFont="1"/>
    <xf numFmtId="0" fontId="22" fillId="2" borderId="7" xfId="71" applyFont="1" applyFill="1" applyBorder="1" applyAlignment="1">
      <alignment horizontal="center" vertical="center"/>
    </xf>
    <xf numFmtId="0" fontId="22" fillId="2" borderId="7" xfId="71" applyFont="1" applyFill="1" applyBorder="1"/>
    <xf numFmtId="0" fontId="22" fillId="0" borderId="0" xfId="71" applyFont="1"/>
    <xf numFmtId="0" fontId="4" fillId="0" borderId="11" xfId="71" applyBorder="1"/>
    <xf numFmtId="0" fontId="4" fillId="0" borderId="11" xfId="71" applyFill="1" applyBorder="1"/>
    <xf numFmtId="0" fontId="4" fillId="0" borderId="11" xfId="71" applyFill="1" applyBorder="1" applyAlignment="1">
      <alignment vertical="center"/>
    </xf>
    <xf numFmtId="165" fontId="4" fillId="0" borderId="11" xfId="71" applyNumberFormat="1" applyFill="1" applyBorder="1" applyAlignment="1">
      <alignment vertical="center"/>
    </xf>
    <xf numFmtId="0" fontId="4" fillId="0" borderId="11" xfId="71" applyBorder="1" applyAlignment="1">
      <alignment vertical="center"/>
    </xf>
    <xf numFmtId="0" fontId="5" fillId="0" borderId="11" xfId="71" applyFont="1" applyBorder="1"/>
    <xf numFmtId="5" fontId="19" fillId="0" borderId="0" xfId="71" applyNumberFormat="1" applyFont="1" applyFill="1" applyBorder="1" applyAlignment="1" applyProtection="1">
      <alignment vertical="center"/>
    </xf>
    <xf numFmtId="0" fontId="11" fillId="0" borderId="0" xfId="71" applyFont="1" applyFill="1" applyBorder="1" applyAlignment="1" applyProtection="1">
      <alignment horizontal="left"/>
    </xf>
    <xf numFmtId="0" fontId="6" fillId="0" borderId="0" xfId="71" applyFont="1" applyFill="1" applyAlignment="1">
      <alignment horizontal="right"/>
    </xf>
    <xf numFmtId="0" fontId="4" fillId="0" borderId="0" xfId="71" applyFill="1" applyBorder="1"/>
    <xf numFmtId="165" fontId="4" fillId="0" borderId="0" xfId="71" applyNumberFormat="1" applyFill="1" applyBorder="1"/>
    <xf numFmtId="165" fontId="13" fillId="0" borderId="0" xfId="21" applyNumberFormat="1" applyFont="1" applyFill="1" applyBorder="1" applyAlignment="1" applyProtection="1">
      <alignment vertical="center"/>
    </xf>
    <xf numFmtId="165" fontId="21" fillId="0" borderId="0" xfId="21" applyNumberFormat="1" applyFont="1" applyFill="1" applyBorder="1"/>
    <xf numFmtId="165" fontId="4" fillId="0" borderId="0" xfId="71" applyNumberFormat="1" applyFill="1" applyAlignment="1">
      <alignment vertical="center"/>
    </xf>
    <xf numFmtId="0" fontId="20" fillId="0" borderId="0" xfId="71" applyFont="1" applyFill="1" applyBorder="1" applyAlignment="1" applyProtection="1">
      <alignment vertical="center"/>
      <protection locked="0"/>
    </xf>
    <xf numFmtId="0" fontId="20" fillId="0" borderId="0" xfId="71" applyFont="1" applyBorder="1" applyAlignment="1" applyProtection="1">
      <alignment vertical="center"/>
      <protection locked="0"/>
    </xf>
    <xf numFmtId="0" fontId="5" fillId="0" borderId="0" xfId="71" applyFont="1" applyFill="1"/>
    <xf numFmtId="0" fontId="5" fillId="0" borderId="0" xfId="71" applyFont="1" applyFill="1" applyBorder="1"/>
    <xf numFmtId="0" fontId="22" fillId="2" borderId="7" xfId="71" applyFont="1" applyFill="1" applyBorder="1" applyAlignment="1">
      <alignment horizontal="center" vertical="center" wrapText="1"/>
    </xf>
    <xf numFmtId="165" fontId="4" fillId="0" borderId="0" xfId="71" applyNumberFormat="1"/>
    <xf numFmtId="5" fontId="13" fillId="0" borderId="0" xfId="71" applyNumberFormat="1" applyFont="1" applyFill="1" applyBorder="1" applyAlignment="1" applyProtection="1">
      <alignment vertical="center"/>
    </xf>
    <xf numFmtId="165" fontId="4" fillId="0" borderId="0" xfId="71" applyNumberFormat="1" applyFill="1"/>
    <xf numFmtId="165" fontId="21" fillId="0" borderId="0" xfId="71" applyNumberFormat="1" applyFont="1" applyFill="1" applyBorder="1"/>
    <xf numFmtId="165" fontId="0" fillId="0" borderId="0" xfId="21" applyNumberFormat="1" applyFont="1" applyFill="1" applyAlignment="1">
      <alignment vertical="center"/>
    </xf>
    <xf numFmtId="43" fontId="4" fillId="0" borderId="0" xfId="71" applyNumberFormat="1"/>
    <xf numFmtId="167" fontId="21" fillId="0" borderId="0" xfId="71" applyNumberFormat="1" applyFont="1" applyFill="1" applyBorder="1"/>
    <xf numFmtId="1" fontId="4" fillId="0" borderId="0" xfId="71" applyNumberFormat="1" applyFill="1"/>
    <xf numFmtId="1" fontId="13" fillId="0" borderId="0" xfId="21" applyNumberFormat="1" applyFont="1" applyFill="1" applyBorder="1" applyAlignment="1" applyProtection="1">
      <alignment vertical="center"/>
    </xf>
    <xf numFmtId="1" fontId="4" fillId="0" borderId="0" xfId="71" applyNumberFormat="1"/>
    <xf numFmtId="165" fontId="0" fillId="0" borderId="0" xfId="21" applyNumberFormat="1" applyFont="1" applyBorder="1"/>
    <xf numFmtId="0" fontId="5" fillId="0" borderId="0" xfId="71" applyFont="1" applyAlignment="1">
      <alignment vertical="center" wrapText="1"/>
    </xf>
    <xf numFmtId="0" fontId="7" fillId="0" borderId="0" xfId="71" applyFont="1" applyAlignment="1" applyProtection="1">
      <alignment horizontal="left"/>
    </xf>
    <xf numFmtId="0" fontId="0" fillId="0" borderId="0" xfId="0" applyNumberFormat="1" applyFont="1" applyFill="1" applyBorder="1" applyAlignment="1"/>
    <xf numFmtId="38" fontId="6" fillId="0" borderId="0" xfId="0" applyFont="1" applyAlignment="1"/>
    <xf numFmtId="38" fontId="6" fillId="0" borderId="0" xfId="0" applyFont="1"/>
    <xf numFmtId="165" fontId="6" fillId="0" borderId="7" xfId="4" applyNumberFormat="1" applyFont="1" applyBorder="1" applyAlignment="1"/>
    <xf numFmtId="165" fontId="6" fillId="0" borderId="7" xfId="0" applyNumberFormat="1" applyFont="1" applyBorder="1" applyAlignment="1"/>
    <xf numFmtId="168" fontId="6" fillId="0" borderId="7" xfId="0" applyNumberFormat="1" applyFont="1" applyFill="1" applyBorder="1" applyAlignment="1">
      <alignment horizontal="right" vertical="center"/>
    </xf>
    <xf numFmtId="38" fontId="6" fillId="0" borderId="7" xfId="0" applyFont="1" applyBorder="1" applyAlignment="1"/>
    <xf numFmtId="0" fontId="25" fillId="0" borderId="0" xfId="97" applyFont="1"/>
    <xf numFmtId="0" fontId="25" fillId="0" borderId="0" xfId="47" applyFont="1" applyFill="1"/>
    <xf numFmtId="10" fontId="25" fillId="0" borderId="0" xfId="96" applyNumberFormat="1" applyFont="1" applyBorder="1" applyAlignment="1">
      <alignment horizontal="center"/>
    </xf>
    <xf numFmtId="10" fontId="25" fillId="0" borderId="0" xfId="96" applyNumberFormat="1" applyFont="1"/>
    <xf numFmtId="38" fontId="8" fillId="0" borderId="0" xfId="0" applyFont="1"/>
    <xf numFmtId="0" fontId="2" fillId="0" borderId="0" xfId="71" applyFont="1" applyAlignment="1">
      <alignment vertical="center"/>
    </xf>
    <xf numFmtId="0" fontId="2" fillId="0" borderId="0" xfId="71" applyFont="1"/>
    <xf numFmtId="7" fontId="11" fillId="0" borderId="0" xfId="1" quotePrefix="1" applyNumberFormat="1" applyFont="1" applyAlignment="1">
      <alignment horizontal="center"/>
    </xf>
    <xf numFmtId="38" fontId="27" fillId="0" borderId="0" xfId="0" applyFont="1"/>
    <xf numFmtId="9" fontId="0" fillId="0" borderId="0" xfId="96" applyFont="1"/>
    <xf numFmtId="5" fontId="11" fillId="0" borderId="2" xfId="1" applyNumberFormat="1" applyFont="1" applyBorder="1"/>
    <xf numFmtId="0" fontId="11" fillId="0" borderId="0" xfId="2" applyFont="1" applyBorder="1"/>
    <xf numFmtId="0" fontId="24" fillId="0" borderId="7" xfId="0" applyNumberFormat="1" applyFont="1" applyFill="1" applyBorder="1" applyAlignment="1">
      <alignment horizontal="left" vertical="center"/>
    </xf>
    <xf numFmtId="0" fontId="24" fillId="0" borderId="7" xfId="0" applyNumberFormat="1" applyFont="1" applyFill="1" applyBorder="1" applyAlignment="1">
      <alignment horizontal="left" vertical="center" wrapText="1"/>
    </xf>
    <xf numFmtId="38" fontId="5" fillId="0" borderId="0" xfId="50" applyFont="1" applyAlignment="1">
      <alignment horizontal="left" vertical="top" wrapText="1"/>
    </xf>
    <xf numFmtId="38" fontId="1" fillId="0" borderId="0" xfId="0" applyFont="1"/>
    <xf numFmtId="0" fontId="5" fillId="0" borderId="1" xfId="98" applyFont="1" applyFill="1" applyBorder="1" applyAlignment="1">
      <alignment vertical="center"/>
    </xf>
    <xf numFmtId="0" fontId="1" fillId="0" borderId="15" xfId="47" applyFont="1" applyFill="1" applyBorder="1" applyAlignment="1">
      <alignment horizontal="center" vertical="center" wrapText="1"/>
    </xf>
    <xf numFmtId="0" fontId="1" fillId="0" borderId="16" xfId="47" applyFont="1" applyFill="1" applyBorder="1" applyAlignment="1">
      <alignment horizontal="center" vertical="center" wrapText="1"/>
    </xf>
    <xf numFmtId="0" fontId="5" fillId="0" borderId="13" xfId="47" applyFont="1" applyFill="1" applyBorder="1"/>
    <xf numFmtId="38" fontId="1" fillId="0" borderId="0" xfId="0" applyFont="1" applyBorder="1"/>
    <xf numFmtId="38" fontId="1" fillId="0" borderId="12" xfId="0" applyFont="1" applyBorder="1"/>
    <xf numFmtId="0" fontId="1" fillId="0" borderId="13" xfId="92" applyFont="1" applyFill="1" applyBorder="1" applyAlignment="1">
      <alignment horizontal="left" indent="2"/>
    </xf>
    <xf numFmtId="169" fontId="1" fillId="0" borderId="0" xfId="0" applyNumberFormat="1" applyFont="1" applyBorder="1" applyAlignment="1">
      <alignment horizontal="center"/>
    </xf>
    <xf numFmtId="169" fontId="1" fillId="0" borderId="12" xfId="0" applyNumberFormat="1" applyFont="1" applyBorder="1" applyAlignment="1">
      <alignment horizontal="center"/>
    </xf>
    <xf numFmtId="170" fontId="1" fillId="0" borderId="0" xfId="0" applyNumberFormat="1" applyFont="1" applyBorder="1" applyAlignment="1">
      <alignment horizontal="center"/>
    </xf>
    <xf numFmtId="170" fontId="1" fillId="0" borderId="12" xfId="0" applyNumberFormat="1" applyFont="1" applyBorder="1" applyAlignment="1">
      <alignment horizontal="center"/>
    </xf>
    <xf numFmtId="38" fontId="5" fillId="0" borderId="13" xfId="50" applyFont="1" applyBorder="1"/>
    <xf numFmtId="0" fontId="1" fillId="0" borderId="2" xfId="92" applyFont="1" applyFill="1" applyBorder="1" applyAlignment="1">
      <alignment horizontal="left" indent="2"/>
    </xf>
    <xf numFmtId="170" fontId="1" fillId="0" borderId="3" xfId="0" applyNumberFormat="1" applyFont="1" applyBorder="1" applyAlignment="1">
      <alignment horizontal="center"/>
    </xf>
    <xf numFmtId="170" fontId="1" fillId="0" borderId="14" xfId="0" applyNumberFormat="1" applyFont="1" applyBorder="1" applyAlignment="1">
      <alignment horizontal="center"/>
    </xf>
    <xf numFmtId="38" fontId="1" fillId="0" borderId="0" xfId="50" applyFont="1"/>
    <xf numFmtId="14" fontId="1" fillId="0" borderId="0" xfId="0" applyNumberFormat="1" applyFont="1" applyAlignment="1">
      <alignment horizontal="left" vertical="top"/>
    </xf>
  </cellXfs>
  <cellStyles count="104">
    <cellStyle name="Comma 10" xfId="3"/>
    <cellStyle name="Comma 11" xfId="94"/>
    <cellStyle name="Comma 2" xfId="4"/>
    <cellStyle name="Comma 2 2" xfId="5"/>
    <cellStyle name="Comma 2 3" xfId="6"/>
    <cellStyle name="Comma 2 4" xfId="7"/>
    <cellStyle name="Comma 2 5" xfId="8"/>
    <cellStyle name="Comma 3" xfId="9"/>
    <cellStyle name="Comma 3 2" xfId="10"/>
    <cellStyle name="Comma 3 3" xfId="11"/>
    <cellStyle name="Comma 4" xfId="12"/>
    <cellStyle name="Comma 4 2" xfId="13"/>
    <cellStyle name="Comma 4 3" xfId="14"/>
    <cellStyle name="Comma 5" xfId="15"/>
    <cellStyle name="Comma 5 2" xfId="16"/>
    <cellStyle name="Comma 6" xfId="17"/>
    <cellStyle name="Comma 7" xfId="18"/>
    <cellStyle name="Comma 7 2" xfId="19"/>
    <cellStyle name="Comma 8" xfId="20"/>
    <cellStyle name="Comma 9" xfId="21"/>
    <cellStyle name="Comma 9 2" xfId="22"/>
    <cellStyle name="Currency" xfId="1" builtinId="4"/>
    <cellStyle name="Currency 2" xfId="23"/>
    <cellStyle name="Currency 2 2" xfId="24"/>
    <cellStyle name="Currency 2 3" xfId="25"/>
    <cellStyle name="Currency 2 4" xfId="26"/>
    <cellStyle name="Currency 2 5" xfId="27"/>
    <cellStyle name="Currency 3" xfId="28"/>
    <cellStyle name="Currency 3 2" xfId="29"/>
    <cellStyle name="Currency 3 3" xfId="30"/>
    <cellStyle name="Currency 4" xfId="31"/>
    <cellStyle name="Currency 4 2" xfId="32"/>
    <cellStyle name="Currency 4 3" xfId="33"/>
    <cellStyle name="Currency 5" xfId="34"/>
    <cellStyle name="Currency 6" xfId="35"/>
    <cellStyle name="Currency 7" xfId="36"/>
    <cellStyle name="Currency 7 2" xfId="37"/>
    <cellStyle name="Currency 8" xfId="38"/>
    <cellStyle name="Currency 9" xfId="39"/>
    <cellStyle name="Normal" xfId="0" builtinId="0"/>
    <cellStyle name="Normal 10" xfId="40"/>
    <cellStyle name="Normal 10 10" xfId="41"/>
    <cellStyle name="Normal 10 10 2" xfId="99"/>
    <cellStyle name="Normal 10 2" xfId="42"/>
    <cellStyle name="Normal 11" xfId="43"/>
    <cellStyle name="Normal 12" xfId="44"/>
    <cellStyle name="Normal 13" xfId="45"/>
    <cellStyle name="Normal 15" xfId="46"/>
    <cellStyle name="Normal 15 2" xfId="103"/>
    <cellStyle name="Normal 2" xfId="47"/>
    <cellStyle name="Normal 2 2" xfId="48"/>
    <cellStyle name="Normal 2 2 2" xfId="101"/>
    <cellStyle name="Normal 2 3" xfId="49"/>
    <cellStyle name="Normal 3" xfId="50"/>
    <cellStyle name="Normal 3 2" xfId="51"/>
    <cellStyle name="Normal 3 3" xfId="52"/>
    <cellStyle name="Normal 3 4" xfId="97"/>
    <cellStyle name="Normal 4" xfId="53"/>
    <cellStyle name="Normal 4 2" xfId="2"/>
    <cellStyle name="Normal 4 2 2" xfId="54"/>
    <cellStyle name="Normal 4 2_Sheet2" xfId="55"/>
    <cellStyle name="Normal 4 3" xfId="56"/>
    <cellStyle name="Normal 4 4" xfId="57"/>
    <cellStyle name="Normal 4_Sheet2" xfId="58"/>
    <cellStyle name="Normal 5" xfId="59"/>
    <cellStyle name="Normal 5 2" xfId="60"/>
    <cellStyle name="Normal 5 3" xfId="61"/>
    <cellStyle name="Normal 5 4" xfId="62"/>
    <cellStyle name="Normal 5 5" xfId="63"/>
    <cellStyle name="Normal 5_Sheet2" xfId="64"/>
    <cellStyle name="Normal 6" xfId="65"/>
    <cellStyle name="Normal 6 2" xfId="66"/>
    <cellStyle name="Normal 65" xfId="67"/>
    <cellStyle name="Normal 65 2" xfId="102"/>
    <cellStyle name="Normal 7" xfId="68"/>
    <cellStyle name="Normal 7 2" xfId="69"/>
    <cellStyle name="Normal 8" xfId="70"/>
    <cellStyle name="Normal 9" xfId="71"/>
    <cellStyle name="Normal 9 2" xfId="72"/>
    <cellStyle name="Normal 94" xfId="73"/>
    <cellStyle name="Normal 94 2" xfId="100"/>
    <cellStyle name="Normal_tbls1_13_a" xfId="98"/>
    <cellStyle name="Percent" xfId="96" builtinId="5"/>
    <cellStyle name="Percent 2" xfId="74"/>
    <cellStyle name="Percent 2 2" xfId="75"/>
    <cellStyle name="Percent 2 3" xfId="76"/>
    <cellStyle name="Percent 3" xfId="77"/>
    <cellStyle name="Percent 3 2" xfId="78"/>
    <cellStyle name="Percent 3 3" xfId="79"/>
    <cellStyle name="Percent 4" xfId="80"/>
    <cellStyle name="Percent 4 2" xfId="81"/>
    <cellStyle name="Percent 4 3" xfId="82"/>
    <cellStyle name="Percent 5" xfId="83"/>
    <cellStyle name="Percent 5 2" xfId="84"/>
    <cellStyle name="Percent 5 3" xfId="85"/>
    <cellStyle name="Percent 5 4" xfId="86"/>
    <cellStyle name="Percent 5 5" xfId="87"/>
    <cellStyle name="Percent 6" xfId="88"/>
    <cellStyle name="Percent 6 2" xfId="89"/>
    <cellStyle name="Percent 7" xfId="90"/>
    <cellStyle name="Percent 8" xfId="91"/>
    <cellStyle name="rowhead_tbls1_13_a" xfId="92"/>
    <cellStyle name="Style 1" xfId="95"/>
    <cellStyle name="tablename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227962</xdr:colOff>
      <xdr:row>25</xdr:row>
      <xdr:rowOff>66096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90500"/>
          <a:ext cx="5104762" cy="46380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8</xdr:col>
      <xdr:colOff>151772</xdr:colOff>
      <xdr:row>56</xdr:row>
      <xdr:rowOff>27929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5524500"/>
          <a:ext cx="5028572" cy="5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8</xdr:col>
      <xdr:colOff>142248</xdr:colOff>
      <xdr:row>84</xdr:row>
      <xdr:rowOff>189905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11430000"/>
          <a:ext cx="5019048" cy="4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62"/>
  <sheetViews>
    <sheetView tabSelected="1" zoomScaleNormal="100" zoomScaleSheetLayoutView="100" workbookViewId="0">
      <selection activeCell="A6" sqref="A6"/>
    </sheetView>
  </sheetViews>
  <sheetFormatPr defaultColWidth="12.5703125" defaultRowHeight="15" x14ac:dyDescent="0.25"/>
  <cols>
    <col min="1" max="1" width="22.140625" style="1" customWidth="1"/>
    <col min="2" max="2" width="12.5703125" style="1" bestFit="1" customWidth="1"/>
    <col min="3" max="3" width="15.42578125" style="9" bestFit="1" customWidth="1"/>
    <col min="4" max="7" width="15.28515625" style="9" customWidth="1"/>
    <col min="8" max="9" width="9.140625" customWidth="1"/>
    <col min="10" max="10" width="12.7109375" customWidth="1"/>
    <col min="11" max="11" width="9.140625" customWidth="1"/>
    <col min="12" max="12" width="15.5703125" customWidth="1"/>
    <col min="13" max="13" width="9.140625" customWidth="1"/>
    <col min="14" max="24" width="9.140625" style="1" customWidth="1"/>
    <col min="25" max="25" width="12.28515625" style="1" bestFit="1" customWidth="1"/>
    <col min="26" max="237" width="9.140625" style="1" customWidth="1"/>
    <col min="238" max="238" width="12.85546875" style="1" customWidth="1"/>
    <col min="239" max="239" width="13.7109375" style="1" customWidth="1"/>
    <col min="240" max="240" width="15.28515625" style="1" customWidth="1"/>
    <col min="241" max="241" width="15.5703125" style="1" customWidth="1"/>
    <col min="242" max="16384" width="12.5703125" style="1"/>
  </cols>
  <sheetData>
    <row r="1" spans="1:7" ht="23.25" customHeight="1" x14ac:dyDescent="0.25">
      <c r="A1" s="2" t="s">
        <v>133</v>
      </c>
      <c r="B1" s="2"/>
      <c r="C1" s="4"/>
      <c r="D1" s="4"/>
      <c r="E1" s="4"/>
      <c r="F1" s="4"/>
      <c r="G1" s="4"/>
    </row>
    <row r="2" spans="1:7" ht="18" hidden="1" customHeight="1" x14ac:dyDescent="0.25">
      <c r="A2" s="6"/>
      <c r="B2" s="6"/>
      <c r="C2" s="4"/>
      <c r="D2" s="4"/>
      <c r="E2" s="4"/>
      <c r="F2" s="4"/>
      <c r="G2" s="4"/>
    </row>
    <row r="3" spans="1:7" ht="16.5" hidden="1" customHeight="1" x14ac:dyDescent="0.25">
      <c r="A3" s="7"/>
      <c r="B3" s="7"/>
      <c r="C3" s="4"/>
      <c r="D3" s="4"/>
      <c r="E3" s="4"/>
      <c r="F3" s="4"/>
      <c r="G3" s="4"/>
    </row>
    <row r="4" spans="1:7" ht="18" hidden="1" customHeight="1" x14ac:dyDescent="0.25">
      <c r="A4" s="7"/>
      <c r="B4" s="7"/>
      <c r="C4" s="8"/>
      <c r="D4" s="8"/>
      <c r="E4" s="8"/>
      <c r="F4" s="8"/>
      <c r="G4" s="8"/>
    </row>
    <row r="5" spans="1:7" ht="18" hidden="1" customHeight="1" x14ac:dyDescent="0.25">
      <c r="A5" s="7"/>
      <c r="B5" s="7"/>
      <c r="C5" s="4"/>
      <c r="D5" s="4"/>
      <c r="E5" s="4"/>
      <c r="F5" s="4"/>
      <c r="G5" s="4"/>
    </row>
    <row r="6" spans="1:7" x14ac:dyDescent="0.25">
      <c r="A6" s="3"/>
      <c r="B6" s="3"/>
      <c r="C6" s="116"/>
      <c r="G6" s="10"/>
    </row>
    <row r="7" spans="1:7" x14ac:dyDescent="0.25">
      <c r="A7" s="11"/>
      <c r="B7" s="11"/>
      <c r="C7" s="12" t="s">
        <v>0</v>
      </c>
      <c r="D7" s="13"/>
      <c r="E7" s="13"/>
      <c r="F7" s="13"/>
      <c r="G7" s="14"/>
    </row>
    <row r="8" spans="1:7" ht="26.25" x14ac:dyDescent="0.25">
      <c r="A8" s="15"/>
      <c r="B8" s="16" t="s">
        <v>1</v>
      </c>
      <c r="C8" s="16" t="s">
        <v>2</v>
      </c>
      <c r="D8" s="17" t="s">
        <v>129</v>
      </c>
      <c r="E8" s="17" t="s">
        <v>130</v>
      </c>
      <c r="F8" s="17" t="s">
        <v>131</v>
      </c>
      <c r="G8" s="17" t="s">
        <v>132</v>
      </c>
    </row>
    <row r="9" spans="1:7" x14ac:dyDescent="0.25">
      <c r="A9" s="18" t="s">
        <v>3</v>
      </c>
      <c r="B9" s="19" t="s">
        <v>4</v>
      </c>
      <c r="C9" s="20">
        <v>0</v>
      </c>
      <c r="D9" s="21">
        <f>ROUND(C9/4,0)</f>
        <v>0</v>
      </c>
      <c r="E9" s="22">
        <f>D9</f>
        <v>0</v>
      </c>
      <c r="F9" s="22">
        <f>D9</f>
        <v>0</v>
      </c>
      <c r="G9" s="22">
        <f>C9-D9-E9-F9</f>
        <v>0</v>
      </c>
    </row>
    <row r="10" spans="1:7" x14ac:dyDescent="0.25">
      <c r="A10" s="23" t="s">
        <v>5</v>
      </c>
      <c r="B10" s="15" t="s">
        <v>6</v>
      </c>
      <c r="C10" s="20">
        <f>+SFY19_GME!C24</f>
        <v>1260756</v>
      </c>
      <c r="D10" s="21">
        <f>ROUND(C10/4,0)</f>
        <v>315189</v>
      </c>
      <c r="E10" s="22">
        <f t="shared" ref="E10:E36" si="0">D10</f>
        <v>315189</v>
      </c>
      <c r="F10" s="22">
        <f t="shared" ref="F10:F36" si="1">D10</f>
        <v>315189</v>
      </c>
      <c r="G10" s="22">
        <f>C10-D10-E10-F10</f>
        <v>315189</v>
      </c>
    </row>
    <row r="11" spans="1:7" x14ac:dyDescent="0.25">
      <c r="A11" s="23" t="s">
        <v>7</v>
      </c>
      <c r="B11" s="15" t="s">
        <v>8</v>
      </c>
      <c r="C11" s="20">
        <v>0</v>
      </c>
      <c r="D11" s="21">
        <f t="shared" ref="D11:D36" si="2">ROUND(C11/4,0)</f>
        <v>0</v>
      </c>
      <c r="E11" s="22">
        <f t="shared" si="0"/>
        <v>0</v>
      </c>
      <c r="F11" s="22">
        <f t="shared" si="1"/>
        <v>0</v>
      </c>
      <c r="G11" s="22">
        <f t="shared" ref="G11:G36" si="3">C11-D11-E11-F11</f>
        <v>0</v>
      </c>
    </row>
    <row r="12" spans="1:7" x14ac:dyDescent="0.25">
      <c r="A12" s="23" t="s">
        <v>9</v>
      </c>
      <c r="B12" s="24" t="s">
        <v>10</v>
      </c>
      <c r="C12" s="20">
        <f>+SFY19_GME!D24</f>
        <v>888873</v>
      </c>
      <c r="D12" s="21">
        <f t="shared" si="2"/>
        <v>222218</v>
      </c>
      <c r="E12" s="22">
        <f t="shared" si="0"/>
        <v>222218</v>
      </c>
      <c r="F12" s="22">
        <f t="shared" si="1"/>
        <v>222218</v>
      </c>
      <c r="G12" s="22">
        <f t="shared" si="3"/>
        <v>222219</v>
      </c>
    </row>
    <row r="13" spans="1:7" x14ac:dyDescent="0.25">
      <c r="A13" s="23" t="s">
        <v>11</v>
      </c>
      <c r="B13" s="15" t="s">
        <v>12</v>
      </c>
      <c r="C13" s="20">
        <f>+SFY19_GME!E24</f>
        <v>493339</v>
      </c>
      <c r="D13" s="21">
        <f t="shared" si="2"/>
        <v>123335</v>
      </c>
      <c r="E13" s="22">
        <f t="shared" si="0"/>
        <v>123335</v>
      </c>
      <c r="F13" s="22">
        <f t="shared" si="1"/>
        <v>123335</v>
      </c>
      <c r="G13" s="22">
        <f t="shared" si="3"/>
        <v>123334</v>
      </c>
    </row>
    <row r="14" spans="1:7" x14ac:dyDescent="0.25">
      <c r="A14" s="23" t="s">
        <v>13</v>
      </c>
      <c r="B14" s="15" t="s">
        <v>14</v>
      </c>
      <c r="C14" s="20">
        <v>0</v>
      </c>
      <c r="D14" s="21">
        <f t="shared" si="2"/>
        <v>0</v>
      </c>
      <c r="E14" s="22">
        <f t="shared" si="0"/>
        <v>0</v>
      </c>
      <c r="F14" s="22">
        <f t="shared" si="1"/>
        <v>0</v>
      </c>
      <c r="G14" s="22">
        <f t="shared" si="3"/>
        <v>0</v>
      </c>
    </row>
    <row r="15" spans="1:7" x14ac:dyDescent="0.25">
      <c r="A15" s="23" t="s">
        <v>15</v>
      </c>
      <c r="B15" s="24" t="s">
        <v>16</v>
      </c>
      <c r="C15" s="20">
        <f>+SFY19_GME!F24</f>
        <v>1315782</v>
      </c>
      <c r="D15" s="21">
        <f t="shared" si="2"/>
        <v>328946</v>
      </c>
      <c r="E15" s="22">
        <f t="shared" si="0"/>
        <v>328946</v>
      </c>
      <c r="F15" s="22">
        <f t="shared" si="1"/>
        <v>328946</v>
      </c>
      <c r="G15" s="22">
        <f t="shared" si="3"/>
        <v>328944</v>
      </c>
    </row>
    <row r="16" spans="1:7" x14ac:dyDescent="0.25">
      <c r="A16" s="23" t="s">
        <v>17</v>
      </c>
      <c r="B16" s="15" t="s">
        <v>18</v>
      </c>
      <c r="C16" s="20">
        <f>+SFY19_GME!G24</f>
        <v>42181</v>
      </c>
      <c r="D16" s="21">
        <f t="shared" si="2"/>
        <v>10545</v>
      </c>
      <c r="E16" s="22">
        <f t="shared" si="0"/>
        <v>10545</v>
      </c>
      <c r="F16" s="22">
        <f t="shared" si="1"/>
        <v>10545</v>
      </c>
      <c r="G16" s="22">
        <f t="shared" si="3"/>
        <v>10546</v>
      </c>
    </row>
    <row r="17" spans="1:10" x14ac:dyDescent="0.25">
      <c r="A17" s="23" t="s">
        <v>19</v>
      </c>
      <c r="B17" s="15" t="s">
        <v>20</v>
      </c>
      <c r="C17" s="20">
        <f>+SFY19_GME!H24</f>
        <v>283830</v>
      </c>
      <c r="D17" s="21">
        <f t="shared" si="2"/>
        <v>70958</v>
      </c>
      <c r="E17" s="22">
        <f t="shared" si="0"/>
        <v>70958</v>
      </c>
      <c r="F17" s="22">
        <f t="shared" si="1"/>
        <v>70958</v>
      </c>
      <c r="G17" s="22">
        <f t="shared" si="3"/>
        <v>70956</v>
      </c>
    </row>
    <row r="18" spans="1:10" x14ac:dyDescent="0.25">
      <c r="A18" s="23" t="s">
        <v>21</v>
      </c>
      <c r="B18" s="15" t="s">
        <v>22</v>
      </c>
      <c r="C18" s="20">
        <f>+SFY19_GME!I24</f>
        <v>3494950</v>
      </c>
      <c r="D18" s="21">
        <f t="shared" si="2"/>
        <v>873738</v>
      </c>
      <c r="E18" s="22">
        <f t="shared" si="0"/>
        <v>873738</v>
      </c>
      <c r="F18" s="22">
        <f t="shared" si="1"/>
        <v>873738</v>
      </c>
      <c r="G18" s="22">
        <f t="shared" si="3"/>
        <v>873736</v>
      </c>
    </row>
    <row r="19" spans="1:10" x14ac:dyDescent="0.25">
      <c r="A19" s="23" t="s">
        <v>23</v>
      </c>
      <c r="B19" s="15" t="s">
        <v>24</v>
      </c>
      <c r="C19" s="20">
        <f>+SFY19_GME!C48</f>
        <v>489426</v>
      </c>
      <c r="D19" s="21">
        <f t="shared" si="2"/>
        <v>122357</v>
      </c>
      <c r="E19" s="22">
        <f t="shared" si="0"/>
        <v>122357</v>
      </c>
      <c r="F19" s="22">
        <f t="shared" si="1"/>
        <v>122357</v>
      </c>
      <c r="G19" s="22">
        <f t="shared" si="3"/>
        <v>122355</v>
      </c>
    </row>
    <row r="20" spans="1:10" x14ac:dyDescent="0.25">
      <c r="A20" s="23" t="s">
        <v>25</v>
      </c>
      <c r="B20" s="15" t="s">
        <v>26</v>
      </c>
      <c r="C20" s="20">
        <v>0</v>
      </c>
      <c r="D20" s="21">
        <f t="shared" si="2"/>
        <v>0</v>
      </c>
      <c r="E20" s="22">
        <f t="shared" si="0"/>
        <v>0</v>
      </c>
      <c r="F20" s="22">
        <f t="shared" si="1"/>
        <v>0</v>
      </c>
      <c r="G20" s="22">
        <f t="shared" si="3"/>
        <v>0</v>
      </c>
    </row>
    <row r="21" spans="1:10" x14ac:dyDescent="0.25">
      <c r="A21" s="23" t="s">
        <v>27</v>
      </c>
      <c r="B21" s="15" t="s">
        <v>28</v>
      </c>
      <c r="C21" s="20">
        <v>0</v>
      </c>
      <c r="D21" s="21">
        <f t="shared" si="2"/>
        <v>0</v>
      </c>
      <c r="E21" s="22">
        <f t="shared" si="0"/>
        <v>0</v>
      </c>
      <c r="F21" s="22">
        <f t="shared" si="1"/>
        <v>0</v>
      </c>
      <c r="G21" s="22">
        <f t="shared" si="3"/>
        <v>0</v>
      </c>
    </row>
    <row r="22" spans="1:10" x14ac:dyDescent="0.25">
      <c r="A22" s="23" t="s">
        <v>29</v>
      </c>
      <c r="B22" s="15" t="s">
        <v>30</v>
      </c>
      <c r="C22" s="20">
        <f>+SFY19_GME!D48</f>
        <v>9238</v>
      </c>
      <c r="D22" s="21">
        <f t="shared" si="2"/>
        <v>2310</v>
      </c>
      <c r="E22" s="22">
        <f t="shared" si="0"/>
        <v>2310</v>
      </c>
      <c r="F22" s="22">
        <f t="shared" si="1"/>
        <v>2310</v>
      </c>
      <c r="G22" s="22">
        <f t="shared" si="3"/>
        <v>2308</v>
      </c>
    </row>
    <row r="23" spans="1:10" x14ac:dyDescent="0.25">
      <c r="A23" s="23" t="s">
        <v>31</v>
      </c>
      <c r="B23" s="24" t="s">
        <v>124</v>
      </c>
      <c r="C23" s="20">
        <f>+SFY19_GME!E48</f>
        <v>281414</v>
      </c>
      <c r="D23" s="21">
        <f t="shared" si="2"/>
        <v>70354</v>
      </c>
      <c r="E23" s="22">
        <f t="shared" si="0"/>
        <v>70354</v>
      </c>
      <c r="F23" s="22">
        <f t="shared" si="1"/>
        <v>70354</v>
      </c>
      <c r="G23" s="22">
        <f t="shared" si="3"/>
        <v>70352</v>
      </c>
      <c r="J23" s="118"/>
    </row>
    <row r="24" spans="1:10" x14ac:dyDescent="0.25">
      <c r="A24" s="23" t="s">
        <v>32</v>
      </c>
      <c r="B24" s="15" t="s">
        <v>33</v>
      </c>
      <c r="C24" s="20">
        <v>0</v>
      </c>
      <c r="D24" s="21">
        <f t="shared" si="2"/>
        <v>0</v>
      </c>
      <c r="E24" s="22">
        <f t="shared" si="0"/>
        <v>0</v>
      </c>
      <c r="F24" s="22">
        <f t="shared" si="1"/>
        <v>0</v>
      </c>
      <c r="G24" s="22">
        <f t="shared" si="3"/>
        <v>0</v>
      </c>
    </row>
    <row r="25" spans="1:10" x14ac:dyDescent="0.25">
      <c r="A25" s="23" t="s">
        <v>34</v>
      </c>
      <c r="B25" s="15" t="s">
        <v>35</v>
      </c>
      <c r="C25" s="20">
        <f>+SFY19_GME!F48</f>
        <v>223007</v>
      </c>
      <c r="D25" s="21">
        <f t="shared" si="2"/>
        <v>55752</v>
      </c>
      <c r="E25" s="22">
        <f t="shared" si="0"/>
        <v>55752</v>
      </c>
      <c r="F25" s="22">
        <f t="shared" si="1"/>
        <v>55752</v>
      </c>
      <c r="G25" s="22">
        <f t="shared" si="3"/>
        <v>55751</v>
      </c>
    </row>
    <row r="26" spans="1:10" x14ac:dyDescent="0.25">
      <c r="A26" s="23" t="s">
        <v>36</v>
      </c>
      <c r="B26" s="15" t="s">
        <v>37</v>
      </c>
      <c r="C26" s="20">
        <v>0</v>
      </c>
      <c r="D26" s="21">
        <f t="shared" si="2"/>
        <v>0</v>
      </c>
      <c r="E26" s="22">
        <f t="shared" si="0"/>
        <v>0</v>
      </c>
      <c r="F26" s="22">
        <f t="shared" si="1"/>
        <v>0</v>
      </c>
      <c r="G26" s="22">
        <f t="shared" si="3"/>
        <v>0</v>
      </c>
    </row>
    <row r="27" spans="1:10" x14ac:dyDescent="0.25">
      <c r="A27" s="23" t="s">
        <v>38</v>
      </c>
      <c r="B27" s="15" t="s">
        <v>39</v>
      </c>
      <c r="C27" s="20">
        <f>+SFY19_GME!G48</f>
        <v>675997</v>
      </c>
      <c r="D27" s="21">
        <f t="shared" si="2"/>
        <v>168999</v>
      </c>
      <c r="E27" s="22">
        <f t="shared" si="0"/>
        <v>168999</v>
      </c>
      <c r="F27" s="22">
        <f t="shared" si="1"/>
        <v>168999</v>
      </c>
      <c r="G27" s="22">
        <f t="shared" si="3"/>
        <v>169000</v>
      </c>
    </row>
    <row r="28" spans="1:10" x14ac:dyDescent="0.25">
      <c r="A28" s="23" t="s">
        <v>40</v>
      </c>
      <c r="B28" s="24" t="s">
        <v>125</v>
      </c>
      <c r="C28" s="20">
        <f>+SFY19_GME!H48</f>
        <v>3716</v>
      </c>
      <c r="D28" s="21">
        <f t="shared" si="2"/>
        <v>929</v>
      </c>
      <c r="E28" s="22">
        <f t="shared" si="0"/>
        <v>929</v>
      </c>
      <c r="F28" s="22">
        <f t="shared" si="1"/>
        <v>929</v>
      </c>
      <c r="G28" s="22">
        <f t="shared" si="3"/>
        <v>929</v>
      </c>
    </row>
    <row r="29" spans="1:10" x14ac:dyDescent="0.25">
      <c r="A29" s="23" t="s">
        <v>41</v>
      </c>
      <c r="B29" s="15" t="s">
        <v>42</v>
      </c>
      <c r="C29" s="20">
        <f>+SFY19_GME!I48</f>
        <v>1925890</v>
      </c>
      <c r="D29" s="21">
        <f t="shared" si="2"/>
        <v>481473</v>
      </c>
      <c r="E29" s="22">
        <f t="shared" si="0"/>
        <v>481473</v>
      </c>
      <c r="F29" s="22">
        <f t="shared" si="1"/>
        <v>481473</v>
      </c>
      <c r="G29" s="22">
        <f t="shared" si="3"/>
        <v>481471</v>
      </c>
    </row>
    <row r="30" spans="1:10" x14ac:dyDescent="0.25">
      <c r="A30" s="23" t="s">
        <v>43</v>
      </c>
      <c r="B30" s="15" t="s">
        <v>44</v>
      </c>
      <c r="C30" s="20">
        <f>+SFY19_GME!C73</f>
        <v>512362</v>
      </c>
      <c r="D30" s="21">
        <f t="shared" si="2"/>
        <v>128091</v>
      </c>
      <c r="E30" s="22">
        <f t="shared" si="0"/>
        <v>128091</v>
      </c>
      <c r="F30" s="22">
        <f t="shared" si="1"/>
        <v>128091</v>
      </c>
      <c r="G30" s="22">
        <f t="shared" si="3"/>
        <v>128089</v>
      </c>
    </row>
    <row r="31" spans="1:10" x14ac:dyDescent="0.25">
      <c r="A31" s="23" t="s">
        <v>45</v>
      </c>
      <c r="B31" s="15" t="s">
        <v>46</v>
      </c>
      <c r="C31" s="20">
        <f>+SFY19_GME!D73</f>
        <v>795379</v>
      </c>
      <c r="D31" s="21">
        <f t="shared" si="2"/>
        <v>198845</v>
      </c>
      <c r="E31" s="22">
        <f t="shared" si="0"/>
        <v>198845</v>
      </c>
      <c r="F31" s="22">
        <f t="shared" si="1"/>
        <v>198845</v>
      </c>
      <c r="G31" s="22">
        <f t="shared" si="3"/>
        <v>198844</v>
      </c>
    </row>
    <row r="32" spans="1:10" x14ac:dyDescent="0.25">
      <c r="A32" s="23" t="s">
        <v>47</v>
      </c>
      <c r="B32" s="15" t="s">
        <v>48</v>
      </c>
      <c r="C32" s="20">
        <v>0</v>
      </c>
      <c r="D32" s="21">
        <f t="shared" si="2"/>
        <v>0</v>
      </c>
      <c r="E32" s="22">
        <f t="shared" si="0"/>
        <v>0</v>
      </c>
      <c r="F32" s="22">
        <f t="shared" si="1"/>
        <v>0</v>
      </c>
      <c r="G32" s="22">
        <f t="shared" si="3"/>
        <v>0</v>
      </c>
    </row>
    <row r="33" spans="1:111" x14ac:dyDescent="0.25">
      <c r="A33" s="23" t="s">
        <v>49</v>
      </c>
      <c r="B33" s="15" t="s">
        <v>50</v>
      </c>
      <c r="C33" s="20">
        <f>+SFY19_GME!E73</f>
        <v>298473</v>
      </c>
      <c r="D33" s="21">
        <f t="shared" si="2"/>
        <v>74618</v>
      </c>
      <c r="E33" s="22">
        <f t="shared" si="0"/>
        <v>74618</v>
      </c>
      <c r="F33" s="22">
        <f t="shared" si="1"/>
        <v>74618</v>
      </c>
      <c r="G33" s="22">
        <f t="shared" si="3"/>
        <v>74619</v>
      </c>
    </row>
    <row r="34" spans="1:111" x14ac:dyDescent="0.25">
      <c r="A34" s="23" t="s">
        <v>51</v>
      </c>
      <c r="B34" s="24" t="s">
        <v>126</v>
      </c>
      <c r="C34" s="20">
        <f>+SFY19_GME!F73</f>
        <v>682167</v>
      </c>
      <c r="D34" s="21">
        <f t="shared" si="2"/>
        <v>170542</v>
      </c>
      <c r="E34" s="22">
        <f t="shared" si="0"/>
        <v>170542</v>
      </c>
      <c r="F34" s="22">
        <f t="shared" si="1"/>
        <v>170542</v>
      </c>
      <c r="G34" s="22">
        <f t="shared" si="3"/>
        <v>170541</v>
      </c>
    </row>
    <row r="35" spans="1:111" x14ac:dyDescent="0.25">
      <c r="A35" s="23" t="s">
        <v>52</v>
      </c>
      <c r="B35" s="15" t="s">
        <v>53</v>
      </c>
      <c r="C35" s="20">
        <v>0</v>
      </c>
      <c r="D35" s="21">
        <f t="shared" si="2"/>
        <v>0</v>
      </c>
      <c r="E35" s="22">
        <f t="shared" si="0"/>
        <v>0</v>
      </c>
      <c r="F35" s="22">
        <f t="shared" si="1"/>
        <v>0</v>
      </c>
      <c r="G35" s="22">
        <f t="shared" si="3"/>
        <v>0</v>
      </c>
    </row>
    <row r="36" spans="1:111" s="26" customFormat="1" x14ac:dyDescent="0.25">
      <c r="A36" s="23" t="s">
        <v>123</v>
      </c>
      <c r="B36" s="15" t="s">
        <v>54</v>
      </c>
      <c r="C36" s="20">
        <f>+SFY19_GME!G73</f>
        <v>7639443</v>
      </c>
      <c r="D36" s="21">
        <f t="shared" si="2"/>
        <v>1909861</v>
      </c>
      <c r="E36" s="22">
        <f t="shared" si="0"/>
        <v>1909861</v>
      </c>
      <c r="F36" s="22">
        <f t="shared" si="1"/>
        <v>1909861</v>
      </c>
      <c r="G36" s="22">
        <f t="shared" si="3"/>
        <v>1909860</v>
      </c>
      <c r="H36"/>
      <c r="I36"/>
      <c r="J36"/>
      <c r="K36"/>
      <c r="L36"/>
      <c r="M3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</row>
    <row r="37" spans="1:111" s="120" customFormat="1" ht="14.25" x14ac:dyDescent="0.2">
      <c r="A37" s="27" t="s">
        <v>55</v>
      </c>
      <c r="B37" s="27"/>
      <c r="C37" s="119">
        <f>SUM(C9:C36)</f>
        <v>21316223</v>
      </c>
      <c r="D37" s="119">
        <f t="shared" ref="D37:G37" si="4">SUM(D9:D36)</f>
        <v>5329060</v>
      </c>
      <c r="E37" s="119">
        <f t="shared" si="4"/>
        <v>5329060</v>
      </c>
      <c r="F37" s="119">
        <f t="shared" si="4"/>
        <v>5329060</v>
      </c>
      <c r="G37" s="119">
        <f t="shared" si="4"/>
        <v>5329043</v>
      </c>
      <c r="H37" s="117"/>
      <c r="I37" s="117"/>
      <c r="J37" s="117"/>
      <c r="K37" s="117"/>
      <c r="L37" s="117"/>
      <c r="M37" s="117"/>
    </row>
    <row r="38" spans="1:111" x14ac:dyDescent="0.25">
      <c r="A38" s="3"/>
      <c r="B38" s="3"/>
      <c r="C38" s="28"/>
      <c r="D38" s="29"/>
      <c r="E38" s="28"/>
      <c r="F38" s="28"/>
      <c r="Q38" s="25"/>
    </row>
    <row r="39" spans="1:111" x14ac:dyDescent="0.25">
      <c r="A39" s="32"/>
      <c r="B39" s="32"/>
      <c r="C39" s="4"/>
      <c r="D39" s="29"/>
      <c r="E39" s="4"/>
      <c r="F39" s="4"/>
      <c r="G39" s="31"/>
      <c r="Y39" s="30"/>
    </row>
    <row r="40" spans="1:111" x14ac:dyDescent="0.25">
      <c r="A40" s="33"/>
      <c r="B40" s="33"/>
      <c r="C40" s="4"/>
      <c r="D40" s="29"/>
      <c r="E40" s="4"/>
      <c r="F40" s="4"/>
      <c r="G40" s="31"/>
      <c r="Y40" s="34"/>
    </row>
    <row r="41" spans="1:111" x14ac:dyDescent="0.25">
      <c r="A41" s="33"/>
      <c r="B41" s="33"/>
      <c r="C41" s="4"/>
      <c r="D41" s="29"/>
      <c r="E41" s="4"/>
      <c r="F41" s="4"/>
      <c r="G41" s="31"/>
      <c r="Y41" s="34"/>
    </row>
    <row r="42" spans="1:111" x14ac:dyDescent="0.25">
      <c r="A42" s="33"/>
      <c r="B42" s="33"/>
      <c r="C42" s="4"/>
      <c r="D42" s="29"/>
      <c r="E42" s="4"/>
      <c r="F42" s="4"/>
      <c r="G42" s="31"/>
      <c r="Y42" s="34"/>
    </row>
    <row r="43" spans="1:111" x14ac:dyDescent="0.25">
      <c r="A43" s="35"/>
      <c r="B43" s="35"/>
      <c r="C43" s="4"/>
      <c r="D43" s="29"/>
      <c r="E43" s="4"/>
      <c r="F43" s="4"/>
      <c r="G43" s="31"/>
      <c r="X43" s="35"/>
      <c r="Y43" s="36"/>
    </row>
    <row r="44" spans="1:111" x14ac:dyDescent="0.25">
      <c r="A44" s="35"/>
      <c r="B44" s="35"/>
      <c r="C44" s="4"/>
      <c r="D44" s="29"/>
      <c r="E44" s="4"/>
      <c r="F44" s="4"/>
      <c r="G44" s="31"/>
      <c r="X44" s="35"/>
      <c r="Y44" s="36"/>
    </row>
    <row r="45" spans="1:111" x14ac:dyDescent="0.25">
      <c r="A45" s="25"/>
      <c r="B45" s="25"/>
      <c r="C45" s="4"/>
      <c r="D45" s="29"/>
      <c r="E45" s="4"/>
      <c r="F45" s="4"/>
      <c r="G45" s="31"/>
      <c r="X45" s="35"/>
      <c r="Y45" s="36"/>
    </row>
    <row r="46" spans="1:111" x14ac:dyDescent="0.25">
      <c r="A46" s="25"/>
      <c r="B46" s="25"/>
      <c r="C46" s="4"/>
      <c r="D46" s="29"/>
      <c r="E46" s="4"/>
      <c r="F46" s="4"/>
      <c r="G46" s="31"/>
      <c r="X46" s="35"/>
      <c r="Y46" s="36"/>
    </row>
    <row r="47" spans="1:111" x14ac:dyDescent="0.25">
      <c r="A47" s="25"/>
      <c r="B47" s="25"/>
      <c r="C47" s="4"/>
      <c r="D47" s="29"/>
      <c r="E47" s="4"/>
      <c r="F47" s="4"/>
      <c r="G47" s="31"/>
      <c r="X47" s="35"/>
      <c r="Y47" s="36"/>
    </row>
    <row r="48" spans="1:111" x14ac:dyDescent="0.25">
      <c r="A48" s="37"/>
      <c r="B48" s="37"/>
      <c r="C48" s="4"/>
      <c r="D48" s="29"/>
      <c r="E48" s="4"/>
      <c r="F48" s="4"/>
      <c r="G48" s="31"/>
    </row>
    <row r="49" spans="1:7" x14ac:dyDescent="0.25">
      <c r="A49" s="37"/>
      <c r="C49" s="4"/>
      <c r="D49" s="29"/>
      <c r="E49" s="4"/>
      <c r="F49" s="4"/>
      <c r="G49" s="31"/>
    </row>
    <row r="50" spans="1:7" x14ac:dyDescent="0.25">
      <c r="A50" s="37"/>
      <c r="B50" s="37"/>
      <c r="C50" s="4"/>
      <c r="D50" s="29"/>
      <c r="E50" s="4"/>
      <c r="F50" s="4"/>
      <c r="G50" s="31"/>
    </row>
    <row r="51" spans="1:7" x14ac:dyDescent="0.25">
      <c r="A51" s="37"/>
      <c r="B51" s="37"/>
      <c r="C51" s="4"/>
      <c r="D51" s="29"/>
      <c r="E51" s="4"/>
      <c r="F51" s="4"/>
      <c r="G51" s="31"/>
    </row>
    <row r="52" spans="1:7" x14ac:dyDescent="0.25">
      <c r="A52" s="37"/>
      <c r="C52" s="4"/>
      <c r="D52" s="29"/>
      <c r="E52" s="4"/>
      <c r="F52" s="4"/>
      <c r="G52" s="31"/>
    </row>
    <row r="53" spans="1:7" x14ac:dyDescent="0.25">
      <c r="D53" s="4"/>
      <c r="E53" s="4"/>
      <c r="F53" s="4"/>
      <c r="G53" s="31"/>
    </row>
    <row r="54" spans="1:7" x14ac:dyDescent="0.25">
      <c r="D54" s="4"/>
      <c r="E54" s="4"/>
      <c r="F54" s="4"/>
      <c r="G54" s="31"/>
    </row>
    <row r="55" spans="1:7" x14ac:dyDescent="0.25">
      <c r="D55" s="4"/>
      <c r="E55" s="4"/>
      <c r="F55" s="4"/>
      <c r="G55" s="31"/>
    </row>
    <row r="56" spans="1:7" x14ac:dyDescent="0.25">
      <c r="D56" s="4"/>
      <c r="E56" s="4"/>
      <c r="F56" s="4"/>
      <c r="G56" s="31"/>
    </row>
    <row r="57" spans="1:7" x14ac:dyDescent="0.25">
      <c r="C57" s="4"/>
      <c r="D57" s="4"/>
      <c r="E57" s="4"/>
      <c r="F57" s="4"/>
      <c r="G57" s="31"/>
    </row>
    <row r="58" spans="1:7" x14ac:dyDescent="0.25">
      <c r="C58" s="4"/>
      <c r="D58" s="4"/>
      <c r="E58" s="4"/>
      <c r="F58" s="4"/>
      <c r="G58" s="31"/>
    </row>
    <row r="59" spans="1:7" x14ac:dyDescent="0.25">
      <c r="C59" s="4"/>
      <c r="D59" s="4"/>
      <c r="E59" s="4"/>
      <c r="F59" s="4"/>
      <c r="G59" s="31"/>
    </row>
    <row r="60" spans="1:7" x14ac:dyDescent="0.25">
      <c r="C60" s="4"/>
      <c r="D60" s="4"/>
      <c r="E60" s="4"/>
      <c r="F60" s="4"/>
    </row>
    <row r="61" spans="1:7" x14ac:dyDescent="0.25">
      <c r="C61" s="4"/>
      <c r="D61" s="4"/>
      <c r="E61" s="4"/>
      <c r="F61" s="4"/>
    </row>
    <row r="62" spans="1:7" x14ac:dyDescent="0.25">
      <c r="C62" s="4"/>
      <c r="D62" s="4"/>
      <c r="E62" s="4"/>
      <c r="F62" s="4"/>
    </row>
  </sheetData>
  <pageMargins left="0.5" right="0.5" top="0.6" bottom="0.59" header="0.25" footer="0.25"/>
  <pageSetup scale="87" orientation="portrait" r:id="rId1"/>
  <headerFooter alignWithMargins="0">
    <oddFooter>&amp;L&amp;9&amp;Z&amp;F, &amp;A&amp;R&amp;7&amp;D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opLeftCell="A34" zoomScale="81" zoomScaleNormal="81" zoomScaleSheetLayoutView="78" workbookViewId="0">
      <pane xSplit="2" topLeftCell="C1" activePane="topRight" state="frozen"/>
      <selection activeCell="C10" sqref="C10"/>
      <selection pane="topRight" activeCell="G63" sqref="G63"/>
    </sheetView>
  </sheetViews>
  <sheetFormatPr defaultRowHeight="15" x14ac:dyDescent="0.25"/>
  <cols>
    <col min="1" max="1" width="7" style="38" bestFit="1" customWidth="1"/>
    <col min="2" max="2" width="78.7109375" style="38" bestFit="1" customWidth="1"/>
    <col min="3" max="3" width="17.5703125" style="39" bestFit="1" customWidth="1"/>
    <col min="4" max="4" width="16.85546875" style="39" bestFit="1" customWidth="1"/>
    <col min="5" max="5" width="17.5703125" style="39" bestFit="1" customWidth="1"/>
    <col min="6" max="6" width="16.85546875" style="39" bestFit="1" customWidth="1"/>
    <col min="7" max="9" width="17.5703125" style="39" bestFit="1" customWidth="1"/>
    <col min="10" max="10" width="18.28515625" style="39" bestFit="1" customWidth="1"/>
    <col min="11" max="12" width="16.140625" style="38" bestFit="1" customWidth="1"/>
    <col min="13" max="13" width="16.28515625" style="38" bestFit="1" customWidth="1"/>
    <col min="14" max="14" width="13.28515625" style="38" bestFit="1" customWidth="1"/>
    <col min="15" max="15" width="16.42578125" style="38" customWidth="1"/>
    <col min="16" max="16384" width="9.140625" style="38"/>
  </cols>
  <sheetData>
    <row r="1" spans="1:15" ht="18" x14ac:dyDescent="0.25">
      <c r="A1" s="101" t="s">
        <v>185</v>
      </c>
      <c r="B1" s="56"/>
      <c r="K1" s="39"/>
    </row>
    <row r="2" spans="1:15" x14ac:dyDescent="0.25">
      <c r="B2" s="86"/>
      <c r="D2" s="100"/>
      <c r="I2" s="114"/>
      <c r="K2" s="39"/>
    </row>
    <row r="3" spans="1:15" s="40" customFormat="1" x14ac:dyDescent="0.25">
      <c r="A3" s="69"/>
      <c r="B3" s="68" t="s">
        <v>87</v>
      </c>
      <c r="C3" s="67" t="s">
        <v>101</v>
      </c>
      <c r="D3" s="67" t="s">
        <v>100</v>
      </c>
      <c r="E3" s="67" t="s">
        <v>99</v>
      </c>
      <c r="F3" s="67" t="s">
        <v>98</v>
      </c>
      <c r="G3" s="67" t="s">
        <v>97</v>
      </c>
      <c r="H3" s="67" t="s">
        <v>96</v>
      </c>
      <c r="I3" s="67" t="s">
        <v>95</v>
      </c>
    </row>
    <row r="4" spans="1:15" x14ac:dyDescent="0.25">
      <c r="A4" s="66"/>
      <c r="B4" s="66"/>
    </row>
    <row r="5" spans="1:15" x14ac:dyDescent="0.25">
      <c r="A5" s="65"/>
      <c r="B5" s="49" t="s">
        <v>81</v>
      </c>
      <c r="C5" s="85"/>
      <c r="E5" s="85"/>
      <c r="F5" s="85"/>
      <c r="G5" s="85"/>
      <c r="H5" s="85"/>
      <c r="I5" s="85"/>
      <c r="L5" s="99"/>
      <c r="M5" s="98"/>
    </row>
    <row r="6" spans="1:15" x14ac:dyDescent="0.25">
      <c r="A6" s="47" t="s">
        <v>80</v>
      </c>
      <c r="B6" s="61" t="s">
        <v>102</v>
      </c>
      <c r="C6" s="64">
        <v>47.61</v>
      </c>
      <c r="D6" s="64">
        <v>27.66</v>
      </c>
      <c r="E6" s="64">
        <v>44.74</v>
      </c>
      <c r="F6" s="64">
        <v>31.95</v>
      </c>
      <c r="G6" s="64">
        <v>23.2</v>
      </c>
      <c r="H6" s="64">
        <v>27.37</v>
      </c>
      <c r="I6" s="64">
        <v>53.42</v>
      </c>
      <c r="L6" s="81"/>
      <c r="M6" s="97"/>
    </row>
    <row r="7" spans="1:15" x14ac:dyDescent="0.25">
      <c r="A7" s="47" t="s">
        <v>79</v>
      </c>
      <c r="B7" s="61" t="s">
        <v>103</v>
      </c>
      <c r="C7" s="64">
        <v>45.13</v>
      </c>
      <c r="D7" s="64">
        <v>16.420000000000002</v>
      </c>
      <c r="E7" s="64">
        <v>28.27</v>
      </c>
      <c r="F7" s="64">
        <v>103.99</v>
      </c>
      <c r="G7" s="64">
        <v>0</v>
      </c>
      <c r="H7" s="64">
        <v>0</v>
      </c>
      <c r="I7" s="64">
        <v>163.95</v>
      </c>
      <c r="L7" s="81"/>
      <c r="M7" s="97"/>
    </row>
    <row r="8" spans="1:15" x14ac:dyDescent="0.25">
      <c r="A8" s="47" t="s">
        <v>78</v>
      </c>
      <c r="B8" s="61" t="s">
        <v>104</v>
      </c>
      <c r="C8" s="62">
        <v>101775.01</v>
      </c>
      <c r="D8" s="62">
        <v>98439.09</v>
      </c>
      <c r="E8" s="62">
        <v>102958.29</v>
      </c>
      <c r="F8" s="62">
        <v>98806.19</v>
      </c>
      <c r="G8" s="62">
        <v>121564.42</v>
      </c>
      <c r="H8" s="62">
        <v>98439</v>
      </c>
      <c r="I8" s="62">
        <v>119077.86</v>
      </c>
      <c r="L8" s="81"/>
      <c r="M8" s="96"/>
    </row>
    <row r="9" spans="1:15" x14ac:dyDescent="0.25">
      <c r="A9" s="47" t="s">
        <v>77</v>
      </c>
      <c r="B9" s="61" t="s">
        <v>105</v>
      </c>
      <c r="C9" s="62">
        <v>98439.09</v>
      </c>
      <c r="D9" s="62">
        <v>98439.09</v>
      </c>
      <c r="E9" s="62">
        <v>98439.09</v>
      </c>
      <c r="F9" s="62">
        <v>98806.19</v>
      </c>
      <c r="G9" s="62">
        <v>0</v>
      </c>
      <c r="H9" s="62">
        <v>0</v>
      </c>
      <c r="I9" s="62">
        <v>112889.28</v>
      </c>
      <c r="L9" s="81"/>
      <c r="M9" s="41"/>
    </row>
    <row r="10" spans="1:15" x14ac:dyDescent="0.25">
      <c r="A10" s="47" t="s">
        <v>76</v>
      </c>
      <c r="B10" s="61" t="s">
        <v>75</v>
      </c>
      <c r="C10" s="45">
        <f>((+C6*C8)+(C7*C9))*('Market Basket'!$D$39)</f>
        <v>9767792.881880369</v>
      </c>
      <c r="D10" s="45">
        <f>((+D6*D8)+(D7*D9))*('Market Basket'!$D$39)</f>
        <v>4563314.5134538794</v>
      </c>
      <c r="E10" s="45">
        <f>((+E6*E8)+(E7*E9))*('Market Basket'!$D$39)</f>
        <v>7770880.5418436853</v>
      </c>
      <c r="F10" s="45">
        <f>((+F6*F8)+(F7*F9))*('Market Basket'!$D$39)</f>
        <v>14125461.469253192</v>
      </c>
      <c r="G10" s="45">
        <f>((+G6*G8)+(G7*G9))*('Market Basket'!$D$39)</f>
        <v>2965962.7571975999</v>
      </c>
      <c r="H10" s="45">
        <f>((+H6*H8)+(H7*H9))*('Market Basket'!$D$39)</f>
        <v>2833434.7559595001</v>
      </c>
      <c r="I10" s="45">
        <f>((+I6*I8)+(I7*I9))*('Market Basket'!$D$39)</f>
        <v>26153837.979676377</v>
      </c>
      <c r="L10" s="95"/>
      <c r="M10" s="41"/>
      <c r="O10" s="94"/>
    </row>
    <row r="11" spans="1:15" x14ac:dyDescent="0.25">
      <c r="A11" s="50"/>
      <c r="B11" s="50"/>
      <c r="C11" s="54"/>
      <c r="D11" s="54"/>
      <c r="E11" s="54"/>
      <c r="F11" s="54"/>
      <c r="G11" s="54"/>
      <c r="H11" s="54"/>
      <c r="I11" s="54"/>
      <c r="L11" s="79"/>
      <c r="M11" s="41"/>
    </row>
    <row r="12" spans="1:15" x14ac:dyDescent="0.25">
      <c r="A12" s="60"/>
      <c r="B12" s="49" t="s">
        <v>74</v>
      </c>
      <c r="C12" s="54"/>
      <c r="D12" s="54"/>
      <c r="E12" s="54"/>
      <c r="F12" s="54"/>
      <c r="G12" s="83"/>
      <c r="H12" s="93"/>
      <c r="I12" s="54"/>
      <c r="L12" s="82"/>
      <c r="M12" s="41"/>
    </row>
    <row r="13" spans="1:15" x14ac:dyDescent="0.25">
      <c r="A13" s="47" t="s">
        <v>73</v>
      </c>
      <c r="B13" s="58" t="s">
        <v>122</v>
      </c>
      <c r="C13" s="59">
        <f>VLOOKUP(C3,Days_19GME!$A$5:$E$23,5,FALSE)</f>
        <v>26865</v>
      </c>
      <c r="D13" s="59">
        <f>VLOOKUP(D3,Days_19GME!$A$5:$E$23,5,FALSE)</f>
        <v>14436</v>
      </c>
      <c r="E13" s="59">
        <f>VLOOKUP(E3,Days_19GME!$A$5:$E$23,5,FALSE)</f>
        <v>12959</v>
      </c>
      <c r="F13" s="59">
        <f>VLOOKUP(F3,Days_19GME!$A$5:$E$23,5,FALSE)</f>
        <v>9191</v>
      </c>
      <c r="G13" s="59">
        <f>VLOOKUP(G3,Days_19GME!$A$5:$E$23,5,FALSE)</f>
        <v>1595</v>
      </c>
      <c r="H13" s="59">
        <f>VLOOKUP(H3,Days_19GME!$A$5:$E$23,5,FALSE)</f>
        <v>6971</v>
      </c>
      <c r="I13" s="59">
        <f>VLOOKUP(I3,Days_19GME!$A$5:$E$23,5,FALSE)</f>
        <v>48433</v>
      </c>
      <c r="L13" s="81"/>
      <c r="M13" s="41"/>
    </row>
    <row r="14" spans="1:15" x14ac:dyDescent="0.25">
      <c r="A14" s="47" t="s">
        <v>72</v>
      </c>
      <c r="B14" s="58" t="s">
        <v>71</v>
      </c>
      <c r="C14" s="59">
        <f>94736+11798-4738</f>
        <v>101796</v>
      </c>
      <c r="D14" s="59">
        <v>42322</v>
      </c>
      <c r="E14" s="59">
        <f>84048+5820+3840-4138</f>
        <v>89570</v>
      </c>
      <c r="F14" s="59">
        <f>29913+5748-1292</f>
        <v>34369</v>
      </c>
      <c r="G14" s="59">
        <f>51052-6094</f>
        <v>44958</v>
      </c>
      <c r="H14" s="59">
        <f>25907+4759-1231</f>
        <v>29435</v>
      </c>
      <c r="I14" s="59">
        <f>204986+29481-8484</f>
        <v>225983</v>
      </c>
      <c r="L14" s="81"/>
      <c r="M14" s="41"/>
    </row>
    <row r="15" spans="1:15" x14ac:dyDescent="0.25">
      <c r="A15" s="47" t="s">
        <v>70</v>
      </c>
      <c r="B15" s="58" t="s">
        <v>69</v>
      </c>
      <c r="C15" s="57">
        <f t="shared" ref="C15:I15" si="0">+C13/C14</f>
        <v>0.26391017328775196</v>
      </c>
      <c r="D15" s="57">
        <f t="shared" si="0"/>
        <v>0.34109919190964511</v>
      </c>
      <c r="E15" s="57">
        <f t="shared" si="0"/>
        <v>0.14468013843920954</v>
      </c>
      <c r="F15" s="57">
        <f t="shared" si="0"/>
        <v>0.26742122261340162</v>
      </c>
      <c r="G15" s="57">
        <f t="shared" si="0"/>
        <v>3.5477556830819879E-2</v>
      </c>
      <c r="H15" s="57">
        <f t="shared" si="0"/>
        <v>0.23682690674367249</v>
      </c>
      <c r="I15" s="57">
        <f t="shared" si="0"/>
        <v>0.21432143125810349</v>
      </c>
      <c r="L15" s="92"/>
      <c r="M15" s="81"/>
    </row>
    <row r="16" spans="1:15" x14ac:dyDescent="0.25">
      <c r="A16" s="47"/>
      <c r="B16" s="56"/>
      <c r="C16" s="54"/>
      <c r="D16" s="54"/>
      <c r="E16" s="54"/>
      <c r="F16" s="54"/>
      <c r="G16" s="54"/>
      <c r="H16" s="54"/>
      <c r="I16" s="54"/>
      <c r="L16" s="92"/>
      <c r="M16" s="79"/>
    </row>
    <row r="17" spans="1:16" x14ac:dyDescent="0.25">
      <c r="A17" s="47"/>
      <c r="B17" s="55" t="s">
        <v>68</v>
      </c>
      <c r="C17" s="54"/>
      <c r="D17" s="54"/>
      <c r="E17" s="54"/>
      <c r="F17" s="54"/>
      <c r="G17" s="54"/>
      <c r="H17" s="54"/>
      <c r="I17" s="54"/>
      <c r="L17" s="80"/>
      <c r="M17" s="91"/>
    </row>
    <row r="18" spans="1:16" x14ac:dyDescent="0.25">
      <c r="A18" s="47" t="s">
        <v>67</v>
      </c>
      <c r="B18" s="53" t="s">
        <v>66</v>
      </c>
      <c r="C18" s="45">
        <v>927879666</v>
      </c>
      <c r="D18" s="45">
        <v>425564586</v>
      </c>
      <c r="E18" s="45">
        <v>760001193</v>
      </c>
      <c r="F18" s="45">
        <v>329395079</v>
      </c>
      <c r="G18" s="45">
        <v>481157078</v>
      </c>
      <c r="H18" s="45">
        <v>246387402</v>
      </c>
      <c r="I18" s="45">
        <v>1881908540</v>
      </c>
      <c r="L18" s="80"/>
      <c r="M18" s="90"/>
      <c r="N18" s="89"/>
    </row>
    <row r="19" spans="1:16" x14ac:dyDescent="0.25">
      <c r="A19" s="47" t="s">
        <v>65</v>
      </c>
      <c r="B19" s="53" t="s">
        <v>64</v>
      </c>
      <c r="C19" s="45">
        <v>1897200849</v>
      </c>
      <c r="D19" s="45">
        <v>745223859</v>
      </c>
      <c r="E19" s="45">
        <v>1731999302</v>
      </c>
      <c r="F19" s="45">
        <v>945652352</v>
      </c>
      <c r="G19" s="45">
        <v>1200289192</v>
      </c>
      <c r="H19" s="45">
        <v>582510857</v>
      </c>
      <c r="I19" s="45">
        <v>3018273645</v>
      </c>
      <c r="L19" s="79"/>
      <c r="M19" s="41"/>
    </row>
    <row r="20" spans="1:16" x14ac:dyDescent="0.25">
      <c r="A20" s="47" t="s">
        <v>63</v>
      </c>
      <c r="B20" s="52" t="s">
        <v>62</v>
      </c>
      <c r="C20" s="51">
        <f t="shared" ref="C20:I20" si="1">+C18/C19</f>
        <v>0.48907824729736876</v>
      </c>
      <c r="D20" s="51">
        <f t="shared" si="1"/>
        <v>0.57105604022267353</v>
      </c>
      <c r="E20" s="51">
        <f t="shared" si="1"/>
        <v>0.43879994184893728</v>
      </c>
      <c r="F20" s="51">
        <f t="shared" si="1"/>
        <v>0.34832576506931801</v>
      </c>
      <c r="G20" s="51">
        <f t="shared" si="1"/>
        <v>0.40086762524143432</v>
      </c>
      <c r="H20" s="51">
        <f t="shared" si="1"/>
        <v>0.42297478070867955</v>
      </c>
      <c r="I20" s="51">
        <f t="shared" si="1"/>
        <v>0.62350494399920453</v>
      </c>
      <c r="L20" s="79"/>
      <c r="M20" s="41"/>
    </row>
    <row r="21" spans="1:16" x14ac:dyDescent="0.25">
      <c r="A21" s="50"/>
      <c r="B21" s="50"/>
      <c r="C21" s="48"/>
      <c r="D21" s="48"/>
      <c r="E21" s="48"/>
      <c r="F21" s="48"/>
      <c r="G21" s="48"/>
      <c r="H21" s="48"/>
      <c r="I21" s="48"/>
      <c r="L21" s="79"/>
      <c r="M21" s="41"/>
    </row>
    <row r="22" spans="1:16" x14ac:dyDescent="0.25">
      <c r="A22" s="50"/>
      <c r="B22" s="49" t="s">
        <v>61</v>
      </c>
      <c r="C22" s="48"/>
      <c r="D22" s="48"/>
      <c r="E22" s="48"/>
      <c r="F22" s="48"/>
      <c r="G22" s="48"/>
      <c r="H22" s="48"/>
      <c r="I22" s="48"/>
      <c r="L22" s="79"/>
      <c r="M22" s="41"/>
    </row>
    <row r="23" spans="1:16" x14ac:dyDescent="0.25">
      <c r="A23" s="47" t="s">
        <v>60</v>
      </c>
      <c r="B23" s="46" t="s">
        <v>59</v>
      </c>
      <c r="C23" s="45">
        <f>ROUND(+C10*C15,0)</f>
        <v>2577820</v>
      </c>
      <c r="D23" s="45">
        <f t="shared" ref="D23:I23" si="2">ROUND(+D10*D15,0)</f>
        <v>1556543</v>
      </c>
      <c r="E23" s="45">
        <f t="shared" si="2"/>
        <v>1124292</v>
      </c>
      <c r="F23" s="45">
        <f t="shared" si="2"/>
        <v>3777448</v>
      </c>
      <c r="G23" s="45">
        <f t="shared" si="2"/>
        <v>105225</v>
      </c>
      <c r="H23" s="45">
        <f t="shared" si="2"/>
        <v>671034</v>
      </c>
      <c r="I23" s="45">
        <f t="shared" si="2"/>
        <v>5605328</v>
      </c>
      <c r="L23" s="79"/>
      <c r="M23" s="41"/>
    </row>
    <row r="24" spans="1:16" x14ac:dyDescent="0.25">
      <c r="A24" s="44" t="s">
        <v>58</v>
      </c>
      <c r="B24" s="43" t="s">
        <v>57</v>
      </c>
      <c r="C24" s="42">
        <f t="shared" ref="C24:I24" si="3">ROUND(C20*C23,0)</f>
        <v>1260756</v>
      </c>
      <c r="D24" s="42">
        <f t="shared" si="3"/>
        <v>888873</v>
      </c>
      <c r="E24" s="42">
        <f t="shared" si="3"/>
        <v>493339</v>
      </c>
      <c r="F24" s="42">
        <f t="shared" si="3"/>
        <v>1315782</v>
      </c>
      <c r="G24" s="42">
        <f t="shared" si="3"/>
        <v>42181</v>
      </c>
      <c r="H24" s="42">
        <f t="shared" si="3"/>
        <v>283830</v>
      </c>
      <c r="I24" s="42">
        <f t="shared" si="3"/>
        <v>3494950</v>
      </c>
      <c r="L24" s="79"/>
      <c r="M24" s="41"/>
    </row>
    <row r="25" spans="1:16" s="70" customFormat="1" ht="15.75" thickBot="1" x14ac:dyDescent="0.3">
      <c r="C25" s="72"/>
      <c r="D25" s="72"/>
      <c r="E25" s="72"/>
      <c r="F25" s="72"/>
      <c r="G25" s="72"/>
      <c r="H25" s="72"/>
      <c r="I25" s="72"/>
      <c r="J25" s="39"/>
      <c r="K25" s="71"/>
      <c r="L25" s="71"/>
      <c r="M25" s="71"/>
    </row>
    <row r="26" spans="1:16" x14ac:dyDescent="0.25">
      <c r="C26" s="54"/>
      <c r="D26" s="54"/>
      <c r="E26" s="54"/>
      <c r="F26" s="54"/>
      <c r="G26" s="54"/>
      <c r="H26" s="54"/>
      <c r="I26" s="54"/>
      <c r="K26" s="41"/>
      <c r="L26" s="79"/>
      <c r="M26" s="41"/>
    </row>
    <row r="27" spans="1:16" s="40" customFormat="1" ht="30" x14ac:dyDescent="0.25">
      <c r="A27" s="69"/>
      <c r="B27" s="68" t="s">
        <v>87</v>
      </c>
      <c r="C27" s="88" t="s">
        <v>94</v>
      </c>
      <c r="D27" s="88" t="s">
        <v>93</v>
      </c>
      <c r="E27" s="88" t="s">
        <v>92</v>
      </c>
      <c r="F27" s="88" t="s">
        <v>91</v>
      </c>
      <c r="G27" s="67" t="s">
        <v>90</v>
      </c>
      <c r="H27" s="67" t="s">
        <v>89</v>
      </c>
      <c r="I27" s="67" t="s">
        <v>88</v>
      </c>
      <c r="J27" s="39"/>
      <c r="O27" s="87"/>
      <c r="P27" s="86"/>
    </row>
    <row r="28" spans="1:16" x14ac:dyDescent="0.25">
      <c r="A28" s="66"/>
      <c r="B28" s="66"/>
      <c r="E28" s="54"/>
      <c r="F28" s="54"/>
      <c r="G28" s="54"/>
      <c r="H28" s="54"/>
      <c r="I28" s="54"/>
      <c r="O28" s="79"/>
      <c r="P28" s="41"/>
    </row>
    <row r="29" spans="1:16" x14ac:dyDescent="0.25">
      <c r="A29" s="65"/>
      <c r="B29" s="49" t="s">
        <v>81</v>
      </c>
      <c r="C29" s="85"/>
      <c r="D29" s="85"/>
      <c r="E29" s="84"/>
      <c r="F29" s="84"/>
      <c r="G29" s="54"/>
      <c r="H29" s="54"/>
      <c r="I29" s="54"/>
      <c r="O29" s="79"/>
      <c r="P29" s="41"/>
    </row>
    <row r="30" spans="1:16" x14ac:dyDescent="0.25">
      <c r="A30" s="47" t="s">
        <v>80</v>
      </c>
      <c r="B30" s="61" t="s">
        <v>102</v>
      </c>
      <c r="C30" s="64">
        <v>34.15</v>
      </c>
      <c r="D30" s="64">
        <v>0</v>
      </c>
      <c r="E30" s="64">
        <v>24.28</v>
      </c>
      <c r="F30" s="64">
        <v>17.510000000000002</v>
      </c>
      <c r="G30" s="64">
        <v>36.659999999999997</v>
      </c>
      <c r="H30" s="64">
        <v>1</v>
      </c>
      <c r="I30" s="64">
        <v>82.56</v>
      </c>
      <c r="O30" s="79"/>
      <c r="P30" s="41"/>
    </row>
    <row r="31" spans="1:16" x14ac:dyDescent="0.25">
      <c r="A31" s="47" t="s">
        <v>79</v>
      </c>
      <c r="B31" s="61" t="s">
        <v>103</v>
      </c>
      <c r="C31" s="64">
        <v>6.54</v>
      </c>
      <c r="D31" s="64">
        <v>0.86</v>
      </c>
      <c r="E31" s="64">
        <v>5.81</v>
      </c>
      <c r="F31" s="64">
        <v>0</v>
      </c>
      <c r="G31" s="64">
        <v>9.59</v>
      </c>
      <c r="H31" s="64">
        <v>0.16</v>
      </c>
      <c r="I31" s="64">
        <v>67.98</v>
      </c>
      <c r="O31" s="79"/>
      <c r="P31" s="41"/>
    </row>
    <row r="32" spans="1:16" x14ac:dyDescent="0.25">
      <c r="A32" s="47" t="s">
        <v>78</v>
      </c>
      <c r="B32" s="61" t="s">
        <v>104</v>
      </c>
      <c r="C32" s="62">
        <v>113864.37</v>
      </c>
      <c r="D32" s="62">
        <v>0</v>
      </c>
      <c r="E32" s="62">
        <v>109291.53</v>
      </c>
      <c r="F32" s="62">
        <v>181807</v>
      </c>
      <c r="G32" s="62">
        <v>159501.42000000001</v>
      </c>
      <c r="H32" s="62">
        <v>54220.35</v>
      </c>
      <c r="I32" s="62">
        <v>106463.99</v>
      </c>
      <c r="O32" s="79"/>
      <c r="P32" s="41"/>
    </row>
    <row r="33" spans="1:16" x14ac:dyDescent="0.25">
      <c r="A33" s="47" t="s">
        <v>77</v>
      </c>
      <c r="B33" s="61" t="s">
        <v>105</v>
      </c>
      <c r="C33" s="62">
        <v>107946.73</v>
      </c>
      <c r="D33" s="62">
        <v>163963.41</v>
      </c>
      <c r="E33" s="62">
        <v>109291.53</v>
      </c>
      <c r="F33" s="62">
        <v>0</v>
      </c>
      <c r="G33" s="62">
        <v>151212.01</v>
      </c>
      <c r="H33" s="62">
        <v>54220.35</v>
      </c>
      <c r="I33" s="62">
        <v>100931.01</v>
      </c>
      <c r="O33" s="79"/>
      <c r="P33" s="41"/>
    </row>
    <row r="34" spans="1:16" x14ac:dyDescent="0.25">
      <c r="A34" s="47" t="s">
        <v>76</v>
      </c>
      <c r="B34" s="61" t="s">
        <v>75</v>
      </c>
      <c r="C34" s="45">
        <f>((+C30*C32)+(C31*C33))*('Market Basket'!$D$39)</f>
        <v>4831742.667937004</v>
      </c>
      <c r="D34" s="45">
        <f>((+D30*D32)+(D31*D33))*('Market Basket'!$D$39)</f>
        <v>148291.62330879</v>
      </c>
      <c r="E34" s="45">
        <f>((+E30*E32)+(E31*E33))*('Market Basket'!$D$39)</f>
        <v>3458437.4051122046</v>
      </c>
      <c r="F34" s="45">
        <f>((+F30*F32)+(F31*F33))*('Market Basket'!$D$39)</f>
        <v>3347865.2754405001</v>
      </c>
      <c r="G34" s="45">
        <f>((+G30*G32)+(G31*G33))*('Market Basket'!$D$39)</f>
        <v>7674358.2793896142</v>
      </c>
      <c r="H34" s="45">
        <f>((+H30*H32)+(H31*H33))*('Market Basket'!$D$39)</f>
        <v>66144.164049899991</v>
      </c>
      <c r="I34" s="45">
        <f>((+I30*I32)+(I31*I33))*('Market Basket'!$D$39)</f>
        <v>16459329.007082431</v>
      </c>
      <c r="O34" s="79"/>
      <c r="P34" s="41"/>
    </row>
    <row r="35" spans="1:16" x14ac:dyDescent="0.25">
      <c r="A35" s="50"/>
      <c r="B35" s="50"/>
      <c r="C35" s="54"/>
      <c r="D35" s="54"/>
      <c r="E35" s="54"/>
      <c r="F35" s="54"/>
      <c r="G35" s="54"/>
      <c r="H35" s="54"/>
      <c r="I35" s="54"/>
      <c r="O35" s="79"/>
      <c r="P35" s="41"/>
    </row>
    <row r="36" spans="1:16" x14ac:dyDescent="0.25">
      <c r="A36" s="60"/>
      <c r="B36" s="49" t="s">
        <v>74</v>
      </c>
      <c r="C36" s="54"/>
      <c r="D36" s="54"/>
      <c r="E36" s="83"/>
      <c r="F36" s="83"/>
      <c r="G36" s="54"/>
      <c r="H36" s="54"/>
      <c r="I36" s="54"/>
      <c r="O36" s="82"/>
      <c r="P36" s="41"/>
    </row>
    <row r="37" spans="1:16" x14ac:dyDescent="0.25">
      <c r="A37" s="47" t="s">
        <v>73</v>
      </c>
      <c r="B37" s="58" t="s">
        <v>122</v>
      </c>
      <c r="C37" s="59">
        <f>VLOOKUP(C27,Days_19GME!$A$5:$E$23,5,FALSE)</f>
        <v>14125</v>
      </c>
      <c r="D37" s="59">
        <f>VLOOKUP(D27,Days_19GME!$A$5:$E$23,5,FALSE)</f>
        <v>10557</v>
      </c>
      <c r="E37" s="59">
        <f>VLOOKUP(E27,Days_19GME!$A$5:$E$23,5,FALSE)</f>
        <v>7707</v>
      </c>
      <c r="F37" s="59">
        <f>VLOOKUP(F27,Days_19GME!$A$5:$E$23,5,FALSE)</f>
        <v>8056</v>
      </c>
      <c r="G37" s="59">
        <f>VLOOKUP(G27,Days_19GME!$A$5:$E$23,5,FALSE)</f>
        <v>9265</v>
      </c>
      <c r="H37" s="59">
        <f>VLOOKUP(H27,Days_19GME!$A$5:$E$23,5,FALSE)</f>
        <v>1670</v>
      </c>
      <c r="I37" s="59">
        <f>VLOOKUP(I27,Days_19GME!$A$5:$E$23,5,FALSE)</f>
        <v>30145</v>
      </c>
      <c r="O37" s="81"/>
      <c r="P37" s="41"/>
    </row>
    <row r="38" spans="1:16" x14ac:dyDescent="0.25">
      <c r="A38" s="47" t="s">
        <v>72</v>
      </c>
      <c r="B38" s="58" t="s">
        <v>71</v>
      </c>
      <c r="C38" s="59">
        <f>53460+10230-3449</f>
        <v>60241</v>
      </c>
      <c r="D38" s="59">
        <f>53897+4133+4164-2971</f>
        <v>59223</v>
      </c>
      <c r="E38" s="59">
        <f>30901+8970-4109</f>
        <v>35762</v>
      </c>
      <c r="F38" s="59">
        <f>47258+6715-2710</f>
        <v>51263</v>
      </c>
      <c r="G38" s="59">
        <f>46728+3966-2775</f>
        <v>47919</v>
      </c>
      <c r="H38" s="59">
        <v>12907</v>
      </c>
      <c r="I38" s="59">
        <f>128392+15930-5977</f>
        <v>138345</v>
      </c>
      <c r="O38" s="81"/>
      <c r="P38" s="41"/>
    </row>
    <row r="39" spans="1:16" x14ac:dyDescent="0.25">
      <c r="A39" s="47" t="s">
        <v>70</v>
      </c>
      <c r="B39" s="58" t="s">
        <v>69</v>
      </c>
      <c r="C39" s="57">
        <f t="shared" ref="C39:I39" si="4">+C37/C38</f>
        <v>0.23447485931508441</v>
      </c>
      <c r="D39" s="57">
        <f t="shared" si="4"/>
        <v>0.17825844688718909</v>
      </c>
      <c r="E39" s="57">
        <f t="shared" si="4"/>
        <v>0.21550808120351211</v>
      </c>
      <c r="F39" s="57">
        <f t="shared" si="4"/>
        <v>0.15715038136667772</v>
      </c>
      <c r="G39" s="57">
        <f t="shared" si="4"/>
        <v>0.1933471065756798</v>
      </c>
      <c r="H39" s="57">
        <f t="shared" si="4"/>
        <v>0.12938715425737971</v>
      </c>
      <c r="I39" s="57">
        <f t="shared" si="4"/>
        <v>0.21789728577107956</v>
      </c>
      <c r="O39" s="82"/>
      <c r="P39" s="41"/>
    </row>
    <row r="40" spans="1:16" x14ac:dyDescent="0.25">
      <c r="A40" s="47"/>
      <c r="B40" s="56"/>
      <c r="C40" s="54"/>
      <c r="D40" s="54"/>
      <c r="E40" s="54"/>
      <c r="F40" s="54"/>
      <c r="G40" s="54"/>
      <c r="H40" s="54"/>
      <c r="I40" s="54"/>
      <c r="O40" s="80"/>
      <c r="P40" s="80"/>
    </row>
    <row r="41" spans="1:16" x14ac:dyDescent="0.25">
      <c r="A41" s="47"/>
      <c r="B41" s="55" t="s">
        <v>68</v>
      </c>
      <c r="C41" s="54"/>
      <c r="D41" s="54"/>
      <c r="E41" s="54"/>
      <c r="F41" s="54"/>
      <c r="G41" s="54"/>
      <c r="H41" s="54"/>
      <c r="I41" s="54"/>
      <c r="O41" s="79"/>
      <c r="P41" s="41"/>
    </row>
    <row r="42" spans="1:16" x14ac:dyDescent="0.25">
      <c r="A42" s="47" t="s">
        <v>67</v>
      </c>
      <c r="B42" s="53" t="s">
        <v>66</v>
      </c>
      <c r="C42" s="45">
        <v>386699259</v>
      </c>
      <c r="D42" s="45">
        <v>311400260</v>
      </c>
      <c r="E42" s="45">
        <v>253862344</v>
      </c>
      <c r="F42" s="45">
        <v>553423843</v>
      </c>
      <c r="G42" s="45">
        <v>477750468</v>
      </c>
      <c r="H42" s="45">
        <v>109785259</v>
      </c>
      <c r="I42" s="45">
        <v>1327501992</v>
      </c>
      <c r="O42" s="81"/>
      <c r="P42" s="41"/>
    </row>
    <row r="43" spans="1:16" x14ac:dyDescent="0.25">
      <c r="A43" s="47" t="s">
        <v>65</v>
      </c>
      <c r="B43" s="53" t="s">
        <v>64</v>
      </c>
      <c r="C43" s="45">
        <v>895129754</v>
      </c>
      <c r="D43" s="45">
        <v>891038246</v>
      </c>
      <c r="E43" s="45">
        <v>672349882</v>
      </c>
      <c r="F43" s="45">
        <v>1305639447</v>
      </c>
      <c r="G43" s="45">
        <v>1048663810</v>
      </c>
      <c r="H43" s="45">
        <v>252866221</v>
      </c>
      <c r="I43" s="45">
        <v>2472108971</v>
      </c>
      <c r="O43" s="80"/>
      <c r="P43" s="80"/>
    </row>
    <row r="44" spans="1:16" x14ac:dyDescent="0.25">
      <c r="A44" s="47" t="s">
        <v>63</v>
      </c>
      <c r="B44" s="52" t="s">
        <v>62</v>
      </c>
      <c r="C44" s="51">
        <f t="shared" ref="C44:I44" si="5">+C42/C43</f>
        <v>0.4320035807903666</v>
      </c>
      <c r="D44" s="51">
        <f t="shared" si="5"/>
        <v>0.34948023993124983</v>
      </c>
      <c r="E44" s="51">
        <f t="shared" si="5"/>
        <v>0.37757475801862339</v>
      </c>
      <c r="F44" s="51">
        <f t="shared" si="5"/>
        <v>0.42387187693479667</v>
      </c>
      <c r="G44" s="51">
        <f t="shared" si="5"/>
        <v>0.45558019972101449</v>
      </c>
      <c r="H44" s="51">
        <f t="shared" si="5"/>
        <v>0.43416340294815414</v>
      </c>
      <c r="I44" s="51">
        <f t="shared" si="5"/>
        <v>0.53699169719974293</v>
      </c>
      <c r="O44" s="79"/>
      <c r="P44" s="41"/>
    </row>
    <row r="45" spans="1:16" x14ac:dyDescent="0.25">
      <c r="A45" s="50"/>
      <c r="B45" s="50"/>
      <c r="C45" s="48"/>
      <c r="D45" s="48"/>
      <c r="E45" s="48"/>
      <c r="F45" s="48"/>
      <c r="G45" s="48"/>
      <c r="H45" s="48"/>
      <c r="I45" s="48"/>
      <c r="O45" s="41"/>
      <c r="P45" s="41"/>
    </row>
    <row r="46" spans="1:16" x14ac:dyDescent="0.25">
      <c r="A46" s="50"/>
      <c r="B46" s="49" t="s">
        <v>61</v>
      </c>
      <c r="C46" s="48"/>
      <c r="D46" s="48"/>
      <c r="E46" s="48"/>
      <c r="F46" s="48"/>
      <c r="G46" s="48"/>
      <c r="H46" s="48"/>
      <c r="I46" s="48"/>
      <c r="O46" s="41"/>
      <c r="P46" s="41"/>
    </row>
    <row r="47" spans="1:16" x14ac:dyDescent="0.25">
      <c r="A47" s="47" t="s">
        <v>60</v>
      </c>
      <c r="B47" s="46" t="s">
        <v>59</v>
      </c>
      <c r="C47" s="45">
        <f t="shared" ref="C47:I47" si="6">ROUND(+C34*C39,0)</f>
        <v>1132922</v>
      </c>
      <c r="D47" s="45">
        <f t="shared" si="6"/>
        <v>26434</v>
      </c>
      <c r="E47" s="45">
        <f t="shared" si="6"/>
        <v>745321</v>
      </c>
      <c r="F47" s="45">
        <f t="shared" si="6"/>
        <v>526118</v>
      </c>
      <c r="G47" s="45">
        <f t="shared" si="6"/>
        <v>1483815</v>
      </c>
      <c r="H47" s="45">
        <f t="shared" si="6"/>
        <v>8558</v>
      </c>
      <c r="I47" s="45">
        <f t="shared" si="6"/>
        <v>3586443</v>
      </c>
      <c r="O47" s="41"/>
      <c r="P47" s="41"/>
    </row>
    <row r="48" spans="1:16" x14ac:dyDescent="0.25">
      <c r="A48" s="44" t="s">
        <v>58</v>
      </c>
      <c r="B48" s="43" t="s">
        <v>57</v>
      </c>
      <c r="C48" s="42">
        <f t="shared" ref="C48:I48" si="7">ROUND(C44*C47,0)</f>
        <v>489426</v>
      </c>
      <c r="D48" s="42">
        <f t="shared" si="7"/>
        <v>9238</v>
      </c>
      <c r="E48" s="42">
        <f t="shared" si="7"/>
        <v>281414</v>
      </c>
      <c r="F48" s="42">
        <f t="shared" si="7"/>
        <v>223007</v>
      </c>
      <c r="G48" s="42">
        <f t="shared" si="7"/>
        <v>675997</v>
      </c>
      <c r="H48" s="42">
        <f t="shared" si="7"/>
        <v>3716</v>
      </c>
      <c r="I48" s="42">
        <f t="shared" si="7"/>
        <v>1925890</v>
      </c>
      <c r="O48" s="41"/>
      <c r="P48" s="41"/>
    </row>
    <row r="49" spans="1:15" s="41" customFormat="1" x14ac:dyDescent="0.25">
      <c r="A49" s="78"/>
      <c r="B49" s="77"/>
      <c r="C49" s="76"/>
      <c r="D49" s="76"/>
      <c r="E49" s="76"/>
      <c r="F49" s="76"/>
      <c r="G49" s="76"/>
      <c r="H49" s="76"/>
      <c r="I49" s="76"/>
      <c r="J49" s="39"/>
    </row>
    <row r="50" spans="1:15" s="70" customFormat="1" ht="15.75" thickBot="1" x14ac:dyDescent="0.3">
      <c r="A50" s="75" t="s">
        <v>56</v>
      </c>
      <c r="C50" s="74"/>
      <c r="D50" s="72"/>
      <c r="E50" s="72"/>
      <c r="F50" s="72"/>
      <c r="G50" s="72"/>
      <c r="H50" s="73"/>
      <c r="I50" s="72"/>
      <c r="J50" s="39"/>
      <c r="K50" s="71"/>
      <c r="L50" s="71"/>
      <c r="M50" s="71"/>
    </row>
    <row r="51" spans="1:15" x14ac:dyDescent="0.25">
      <c r="C51" s="54"/>
      <c r="D51" s="54"/>
      <c r="E51" s="54"/>
      <c r="F51" s="54"/>
      <c r="G51" s="54"/>
      <c r="H51" s="54"/>
      <c r="I51" s="54"/>
      <c r="K51" s="41"/>
      <c r="L51" s="41"/>
      <c r="M51" s="41"/>
    </row>
    <row r="52" spans="1:15" x14ac:dyDescent="0.25">
      <c r="A52" s="69"/>
      <c r="B52" s="68" t="s">
        <v>87</v>
      </c>
      <c r="C52" s="67" t="s">
        <v>86</v>
      </c>
      <c r="D52" s="67" t="s">
        <v>85</v>
      </c>
      <c r="E52" s="67" t="s">
        <v>84</v>
      </c>
      <c r="F52" s="67" t="s">
        <v>83</v>
      </c>
      <c r="G52" s="67" t="s">
        <v>82</v>
      </c>
      <c r="H52" s="54"/>
      <c r="I52" s="54"/>
      <c r="K52" s="54"/>
      <c r="L52" s="54"/>
      <c r="M52" s="41"/>
      <c r="N52" s="41"/>
      <c r="O52" s="41"/>
    </row>
    <row r="53" spans="1:15" x14ac:dyDescent="0.25">
      <c r="A53" s="66"/>
      <c r="B53" s="66"/>
      <c r="C53" s="54"/>
      <c r="D53" s="54"/>
      <c r="E53" s="54"/>
      <c r="F53" s="54"/>
      <c r="G53" s="54"/>
      <c r="H53" s="54"/>
      <c r="I53" s="54"/>
      <c r="K53" s="54"/>
      <c r="L53" s="54"/>
      <c r="M53" s="41"/>
      <c r="N53" s="41"/>
      <c r="O53" s="41"/>
    </row>
    <row r="54" spans="1:15" x14ac:dyDescent="0.25">
      <c r="A54" s="65"/>
      <c r="B54" s="49" t="s">
        <v>81</v>
      </c>
      <c r="C54" s="54"/>
      <c r="D54" s="54"/>
      <c r="E54" s="54"/>
      <c r="F54" s="54"/>
      <c r="G54" s="54"/>
      <c r="K54" s="39"/>
      <c r="L54" s="39"/>
    </row>
    <row r="55" spans="1:15" x14ac:dyDescent="0.25">
      <c r="A55" s="47" t="s">
        <v>80</v>
      </c>
      <c r="B55" s="61" t="s">
        <v>102</v>
      </c>
      <c r="C55" s="64">
        <v>32.01</v>
      </c>
      <c r="D55" s="64">
        <v>27.66</v>
      </c>
      <c r="E55" s="64">
        <v>32.380000000000003</v>
      </c>
      <c r="F55" s="64">
        <v>34.06</v>
      </c>
      <c r="G55" s="64">
        <v>172.7</v>
      </c>
      <c r="H55" s="63"/>
      <c r="K55" s="39"/>
      <c r="L55" s="39"/>
    </row>
    <row r="56" spans="1:15" x14ac:dyDescent="0.25">
      <c r="A56" s="47" t="s">
        <v>79</v>
      </c>
      <c r="B56" s="61" t="s">
        <v>103</v>
      </c>
      <c r="C56" s="64">
        <v>12.93</v>
      </c>
      <c r="D56" s="64">
        <v>25.37</v>
      </c>
      <c r="E56" s="64">
        <v>13.48</v>
      </c>
      <c r="F56" s="64">
        <v>10.59</v>
      </c>
      <c r="G56" s="64">
        <v>383.06</v>
      </c>
      <c r="H56" s="63"/>
      <c r="K56" s="39"/>
      <c r="L56" s="39"/>
    </row>
    <row r="57" spans="1:15" x14ac:dyDescent="0.25">
      <c r="A57" s="47" t="s">
        <v>78</v>
      </c>
      <c r="B57" s="61" t="s">
        <v>104</v>
      </c>
      <c r="C57" s="62">
        <v>99363.3</v>
      </c>
      <c r="D57" s="62">
        <v>108727.72</v>
      </c>
      <c r="E57" s="62">
        <v>98439.09</v>
      </c>
      <c r="F57" s="62">
        <v>108610.95</v>
      </c>
      <c r="G57" s="62">
        <v>100478.77</v>
      </c>
      <c r="H57" s="63"/>
      <c r="K57" s="39"/>
      <c r="L57" s="39"/>
    </row>
    <row r="58" spans="1:15" x14ac:dyDescent="0.25">
      <c r="A58" s="47" t="s">
        <v>77</v>
      </c>
      <c r="B58" s="61" t="s">
        <v>105</v>
      </c>
      <c r="C58" s="62">
        <v>98439.09</v>
      </c>
      <c r="D58" s="62">
        <v>103077.11</v>
      </c>
      <c r="E58" s="62">
        <v>98439.09</v>
      </c>
      <c r="F58" s="62">
        <v>102966.35</v>
      </c>
      <c r="G58" s="62">
        <v>98748.91</v>
      </c>
      <c r="K58" s="39"/>
      <c r="L58" s="39"/>
    </row>
    <row r="59" spans="1:15" x14ac:dyDescent="0.25">
      <c r="A59" s="47" t="s">
        <v>76</v>
      </c>
      <c r="B59" s="61" t="s">
        <v>75</v>
      </c>
      <c r="C59" s="45">
        <f>((+C55*C57)+(C56*C58))*('Market Basket'!$D$39)</f>
        <v>4683456.670535055</v>
      </c>
      <c r="D59" s="45">
        <f>((+D55*D57)+(D56*D58))*('Market Basket'!$D$39)</f>
        <v>5912875.8504712349</v>
      </c>
      <c r="E59" s="45">
        <f>((+E55*E57)+(E56*E58))*('Market Basket'!$D$39)</f>
        <v>4747586.2882712102</v>
      </c>
      <c r="F59" s="45">
        <f>((+F55*F57)+(F56*F58))*('Market Basket'!$D$39)</f>
        <v>5037090.7429707749</v>
      </c>
      <c r="G59" s="45">
        <f>((+G55*G57)+(G56*G58))*('Market Basket'!$D$39)</f>
        <v>58029459.173501946</v>
      </c>
      <c r="K59" s="39"/>
      <c r="L59" s="39"/>
    </row>
    <row r="60" spans="1:15" x14ac:dyDescent="0.25">
      <c r="A60" s="50"/>
      <c r="B60" s="50"/>
      <c r="C60" s="54"/>
      <c r="D60" s="54"/>
      <c r="E60" s="54"/>
      <c r="F60" s="54"/>
      <c r="G60" s="54"/>
      <c r="K60" s="39"/>
      <c r="L60" s="39"/>
    </row>
    <row r="61" spans="1:15" x14ac:dyDescent="0.25">
      <c r="A61" s="60"/>
      <c r="B61" s="49" t="s">
        <v>74</v>
      </c>
      <c r="C61" s="54"/>
      <c r="D61" s="54"/>
      <c r="E61" s="54"/>
      <c r="F61" s="54"/>
      <c r="G61" s="54"/>
      <c r="K61" s="39"/>
      <c r="L61" s="39"/>
    </row>
    <row r="62" spans="1:15" x14ac:dyDescent="0.25">
      <c r="A62" s="47" t="s">
        <v>73</v>
      </c>
      <c r="B62" s="58" t="s">
        <v>122</v>
      </c>
      <c r="C62" s="59">
        <f>VLOOKUP(C52,Days_19GME!$A$5:$E$23,5,FALSE)</f>
        <v>11317</v>
      </c>
      <c r="D62" s="59">
        <f>VLOOKUP(D52,Days_19GME!$A$5:$E$23,5,FALSE)</f>
        <v>18280</v>
      </c>
      <c r="E62" s="59">
        <f>VLOOKUP(E52,Days_19GME!$A$5:$E$23,5,FALSE)</f>
        <v>13249</v>
      </c>
      <c r="F62" s="59">
        <f>VLOOKUP(F52,Days_19GME!$A$5:$E$23,5,FALSE)</f>
        <v>11891</v>
      </c>
      <c r="G62" s="59">
        <f>VLOOKUP(G52,Days_19GME!$A$5:$E$23,5,FALSE)</f>
        <v>103698</v>
      </c>
      <c r="K62" s="39"/>
      <c r="L62" s="39"/>
    </row>
    <row r="63" spans="1:15" x14ac:dyDescent="0.25">
      <c r="A63" s="47" t="s">
        <v>72</v>
      </c>
      <c r="B63" s="58" t="s">
        <v>71</v>
      </c>
      <c r="C63" s="59">
        <f>40866+3961-2122</f>
        <v>42705</v>
      </c>
      <c r="D63" s="59">
        <f>56403+24364+2873-2616</f>
        <v>81024</v>
      </c>
      <c r="E63" s="59">
        <f>59313+5818+5475-5740</f>
        <v>64866</v>
      </c>
      <c r="F63" s="59">
        <f>42441+8887-3365</f>
        <v>47963</v>
      </c>
      <c r="G63" s="59">
        <f>367776+42073+6660-8986</f>
        <v>407523</v>
      </c>
      <c r="K63" s="39"/>
      <c r="L63" s="39"/>
    </row>
    <row r="64" spans="1:15" x14ac:dyDescent="0.25">
      <c r="A64" s="47" t="s">
        <v>70</v>
      </c>
      <c r="B64" s="58" t="s">
        <v>69</v>
      </c>
      <c r="C64" s="57">
        <f>+C62/C63</f>
        <v>0.2650040978808102</v>
      </c>
      <c r="D64" s="57">
        <f>+D62/D63</f>
        <v>0.22561216429699843</v>
      </c>
      <c r="E64" s="57">
        <f>+E62/E63</f>
        <v>0.20425184225942714</v>
      </c>
      <c r="F64" s="57">
        <f>+F62/F63</f>
        <v>0.24792027187623794</v>
      </c>
      <c r="G64" s="57">
        <f>+G62/G63</f>
        <v>0.25445925751429982</v>
      </c>
      <c r="K64" s="39"/>
      <c r="L64" s="39"/>
    </row>
    <row r="65" spans="1:12" x14ac:dyDescent="0.25">
      <c r="A65" s="47"/>
      <c r="B65" s="56"/>
      <c r="C65" s="54"/>
      <c r="D65" s="54"/>
      <c r="E65" s="54"/>
      <c r="F65" s="54"/>
      <c r="G65" s="54"/>
      <c r="K65" s="39"/>
      <c r="L65" s="39"/>
    </row>
    <row r="66" spans="1:12" x14ac:dyDescent="0.25">
      <c r="A66" s="47"/>
      <c r="B66" s="55" t="s">
        <v>68</v>
      </c>
      <c r="C66" s="54"/>
      <c r="D66" s="54"/>
      <c r="E66" s="54"/>
      <c r="F66" s="54"/>
      <c r="G66" s="54"/>
      <c r="K66" s="39"/>
      <c r="L66" s="39"/>
    </row>
    <row r="67" spans="1:12" x14ac:dyDescent="0.25">
      <c r="A67" s="47" t="s">
        <v>67</v>
      </c>
      <c r="B67" s="53" t="s">
        <v>66</v>
      </c>
      <c r="C67" s="45">
        <v>363218044</v>
      </c>
      <c r="D67" s="45">
        <v>743526726</v>
      </c>
      <c r="E67" s="45">
        <v>703586354</v>
      </c>
      <c r="F67" s="45">
        <v>497901121</v>
      </c>
      <c r="G67" s="45">
        <v>4712191918</v>
      </c>
      <c r="K67" s="39"/>
      <c r="L67" s="39"/>
    </row>
    <row r="68" spans="1:12" x14ac:dyDescent="0.25">
      <c r="A68" s="47" t="s">
        <v>65</v>
      </c>
      <c r="B68" s="53" t="s">
        <v>64</v>
      </c>
      <c r="C68" s="45">
        <v>879851736</v>
      </c>
      <c r="D68" s="45">
        <v>1247050183</v>
      </c>
      <c r="E68" s="45">
        <v>2285865380</v>
      </c>
      <c r="F68" s="45">
        <v>911473881</v>
      </c>
      <c r="G68" s="45">
        <v>9108105589</v>
      </c>
      <c r="K68" s="39"/>
      <c r="L68" s="39"/>
    </row>
    <row r="69" spans="1:12" x14ac:dyDescent="0.25">
      <c r="A69" s="47" t="s">
        <v>63</v>
      </c>
      <c r="B69" s="52" t="s">
        <v>62</v>
      </c>
      <c r="C69" s="51">
        <f>+C67/C68</f>
        <v>0.41281732948697619</v>
      </c>
      <c r="D69" s="51">
        <f>+D67/D68</f>
        <v>0.59622839251850701</v>
      </c>
      <c r="E69" s="51">
        <f>+E67/E68</f>
        <v>0.30779868322779358</v>
      </c>
      <c r="F69" s="51">
        <f>+F67/F68</f>
        <v>0.54625934037050039</v>
      </c>
      <c r="G69" s="51">
        <f>+G67/G68</f>
        <v>0.51736246049793133</v>
      </c>
      <c r="K69" s="39"/>
      <c r="L69" s="39"/>
    </row>
    <row r="70" spans="1:12" x14ac:dyDescent="0.25">
      <c r="A70" s="50"/>
      <c r="B70" s="50"/>
      <c r="C70" s="48"/>
      <c r="D70" s="48"/>
      <c r="E70" s="48"/>
      <c r="F70" s="48"/>
      <c r="G70" s="48"/>
      <c r="K70" s="39"/>
      <c r="L70" s="39"/>
    </row>
    <row r="71" spans="1:12" x14ac:dyDescent="0.25">
      <c r="A71" s="50"/>
      <c r="B71" s="49" t="s">
        <v>61</v>
      </c>
      <c r="C71" s="48"/>
      <c r="D71" s="48"/>
      <c r="E71" s="48"/>
      <c r="F71" s="48"/>
      <c r="G71" s="48"/>
      <c r="K71" s="39"/>
      <c r="L71" s="39"/>
    </row>
    <row r="72" spans="1:12" x14ac:dyDescent="0.25">
      <c r="A72" s="47" t="s">
        <v>60</v>
      </c>
      <c r="B72" s="46" t="s">
        <v>59</v>
      </c>
      <c r="C72" s="45">
        <f>ROUND(+C59*C64,0)</f>
        <v>1241135</v>
      </c>
      <c r="D72" s="45">
        <f>ROUND(+D59*D64,0)</f>
        <v>1334017</v>
      </c>
      <c r="E72" s="45">
        <f>ROUND(+E59*E64,0)</f>
        <v>969703</v>
      </c>
      <c r="F72" s="45">
        <f>ROUND(+F59*F64,0)</f>
        <v>1248797</v>
      </c>
      <c r="G72" s="45">
        <f>ROUND(+G59*G64,0)</f>
        <v>14766133</v>
      </c>
      <c r="K72" s="39"/>
      <c r="L72" s="39"/>
    </row>
    <row r="73" spans="1:12" x14ac:dyDescent="0.25">
      <c r="A73" s="44" t="s">
        <v>58</v>
      </c>
      <c r="B73" s="43" t="s">
        <v>57</v>
      </c>
      <c r="C73" s="42">
        <f>ROUND(C69*C72,0)</f>
        <v>512362</v>
      </c>
      <c r="D73" s="42">
        <f>ROUND(D69*D72,0)</f>
        <v>795379</v>
      </c>
      <c r="E73" s="42">
        <f>ROUND(E69*E72,0)</f>
        <v>298473</v>
      </c>
      <c r="F73" s="42">
        <f>ROUND(F69*F72,0)</f>
        <v>682167</v>
      </c>
      <c r="G73" s="42">
        <f>ROUND(G69*G72,0)</f>
        <v>7639443</v>
      </c>
      <c r="K73" s="39"/>
      <c r="L73" s="39"/>
    </row>
    <row r="74" spans="1:12" x14ac:dyDescent="0.25">
      <c r="C74" s="41"/>
      <c r="D74" s="41"/>
      <c r="E74" s="41"/>
    </row>
    <row r="75" spans="1:12" x14ac:dyDescent="0.25">
      <c r="A75" s="40" t="s">
        <v>56</v>
      </c>
    </row>
    <row r="79" spans="1:12" x14ac:dyDescent="0.25">
      <c r="A79" s="115"/>
      <c r="B79" s="40"/>
    </row>
  </sheetData>
  <printOptions horizontalCentered="1"/>
  <pageMargins left="0.2" right="0.2" top="0.5" bottom="0.5" header="0.3" footer="0.3"/>
  <pageSetup scale="65" fitToHeight="2" orientation="landscape" r:id="rId1"/>
  <headerFooter>
    <oddFooter>&amp;L&amp;9&amp;Z&amp;F   &amp;A</oddFooter>
  </headerFooter>
  <rowBreaks count="1" manualBreakCount="1">
    <brk id="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C30" sqref="C30"/>
    </sheetView>
  </sheetViews>
  <sheetFormatPr defaultRowHeight="12.75" x14ac:dyDescent="0.2"/>
  <cols>
    <col min="1" max="1" width="21.42578125" style="103" bestFit="1" customWidth="1"/>
    <col min="2" max="2" width="12.140625" style="103" customWidth="1"/>
    <col min="3" max="3" width="12.42578125" style="103" bestFit="1" customWidth="1"/>
    <col min="4" max="4" width="12.5703125" style="103" bestFit="1" customWidth="1"/>
    <col min="5" max="256" width="9.140625" style="103"/>
    <col min="257" max="257" width="49.7109375" style="103" bestFit="1" customWidth="1"/>
    <col min="258" max="258" width="15" style="103" customWidth="1"/>
    <col min="259" max="259" width="12.42578125" style="103" bestFit="1" customWidth="1"/>
    <col min="260" max="260" width="12.5703125" style="103" bestFit="1" customWidth="1"/>
    <col min="261" max="512" width="9.140625" style="103"/>
    <col min="513" max="513" width="49.7109375" style="103" bestFit="1" customWidth="1"/>
    <col min="514" max="514" width="15" style="103" customWidth="1"/>
    <col min="515" max="515" width="12.42578125" style="103" bestFit="1" customWidth="1"/>
    <col min="516" max="516" width="12.5703125" style="103" bestFit="1" customWidth="1"/>
    <col min="517" max="768" width="9.140625" style="103"/>
    <col min="769" max="769" width="49.7109375" style="103" bestFit="1" customWidth="1"/>
    <col min="770" max="770" width="15" style="103" customWidth="1"/>
    <col min="771" max="771" width="12.42578125" style="103" bestFit="1" customWidth="1"/>
    <col min="772" max="772" width="12.5703125" style="103" bestFit="1" customWidth="1"/>
    <col min="773" max="1024" width="9.140625" style="103"/>
    <col min="1025" max="1025" width="49.7109375" style="103" bestFit="1" customWidth="1"/>
    <col min="1026" max="1026" width="15" style="103" customWidth="1"/>
    <col min="1027" max="1027" width="12.42578125" style="103" bestFit="1" customWidth="1"/>
    <col min="1028" max="1028" width="12.5703125" style="103" bestFit="1" customWidth="1"/>
    <col min="1029" max="1280" width="9.140625" style="103"/>
    <col min="1281" max="1281" width="49.7109375" style="103" bestFit="1" customWidth="1"/>
    <col min="1282" max="1282" width="15" style="103" customWidth="1"/>
    <col min="1283" max="1283" width="12.42578125" style="103" bestFit="1" customWidth="1"/>
    <col min="1284" max="1284" width="12.5703125" style="103" bestFit="1" customWidth="1"/>
    <col min="1285" max="1536" width="9.140625" style="103"/>
    <col min="1537" max="1537" width="49.7109375" style="103" bestFit="1" customWidth="1"/>
    <col min="1538" max="1538" width="15" style="103" customWidth="1"/>
    <col min="1539" max="1539" width="12.42578125" style="103" bestFit="1" customWidth="1"/>
    <col min="1540" max="1540" width="12.5703125" style="103" bestFit="1" customWidth="1"/>
    <col min="1541" max="1792" width="9.140625" style="103"/>
    <col min="1793" max="1793" width="49.7109375" style="103" bestFit="1" customWidth="1"/>
    <col min="1794" max="1794" width="15" style="103" customWidth="1"/>
    <col min="1795" max="1795" width="12.42578125" style="103" bestFit="1" customWidth="1"/>
    <col min="1796" max="1796" width="12.5703125" style="103" bestFit="1" customWidth="1"/>
    <col min="1797" max="2048" width="9.140625" style="103"/>
    <col min="2049" max="2049" width="49.7109375" style="103" bestFit="1" customWidth="1"/>
    <col min="2050" max="2050" width="15" style="103" customWidth="1"/>
    <col min="2051" max="2051" width="12.42578125" style="103" bestFit="1" customWidth="1"/>
    <col min="2052" max="2052" width="12.5703125" style="103" bestFit="1" customWidth="1"/>
    <col min="2053" max="2304" width="9.140625" style="103"/>
    <col min="2305" max="2305" width="49.7109375" style="103" bestFit="1" customWidth="1"/>
    <col min="2306" max="2306" width="15" style="103" customWidth="1"/>
    <col min="2307" max="2307" width="12.42578125" style="103" bestFit="1" customWidth="1"/>
    <col min="2308" max="2308" width="12.5703125" style="103" bestFit="1" customWidth="1"/>
    <col min="2309" max="2560" width="9.140625" style="103"/>
    <col min="2561" max="2561" width="49.7109375" style="103" bestFit="1" customWidth="1"/>
    <col min="2562" max="2562" width="15" style="103" customWidth="1"/>
    <col min="2563" max="2563" width="12.42578125" style="103" bestFit="1" customWidth="1"/>
    <col min="2564" max="2564" width="12.5703125" style="103" bestFit="1" customWidth="1"/>
    <col min="2565" max="2816" width="9.140625" style="103"/>
    <col min="2817" max="2817" width="49.7109375" style="103" bestFit="1" customWidth="1"/>
    <col min="2818" max="2818" width="15" style="103" customWidth="1"/>
    <col min="2819" max="2819" width="12.42578125" style="103" bestFit="1" customWidth="1"/>
    <col min="2820" max="2820" width="12.5703125" style="103" bestFit="1" customWidth="1"/>
    <col min="2821" max="3072" width="9.140625" style="103"/>
    <col min="3073" max="3073" width="49.7109375" style="103" bestFit="1" customWidth="1"/>
    <col min="3074" max="3074" width="15" style="103" customWidth="1"/>
    <col min="3075" max="3075" width="12.42578125" style="103" bestFit="1" customWidth="1"/>
    <col min="3076" max="3076" width="12.5703125" style="103" bestFit="1" customWidth="1"/>
    <col min="3077" max="3328" width="9.140625" style="103"/>
    <col min="3329" max="3329" width="49.7109375" style="103" bestFit="1" customWidth="1"/>
    <col min="3330" max="3330" width="15" style="103" customWidth="1"/>
    <col min="3331" max="3331" width="12.42578125" style="103" bestFit="1" customWidth="1"/>
    <col min="3332" max="3332" width="12.5703125" style="103" bestFit="1" customWidth="1"/>
    <col min="3333" max="3584" width="9.140625" style="103"/>
    <col min="3585" max="3585" width="49.7109375" style="103" bestFit="1" customWidth="1"/>
    <col min="3586" max="3586" width="15" style="103" customWidth="1"/>
    <col min="3587" max="3587" width="12.42578125" style="103" bestFit="1" customWidth="1"/>
    <col min="3588" max="3588" width="12.5703125" style="103" bestFit="1" customWidth="1"/>
    <col min="3589" max="3840" width="9.140625" style="103"/>
    <col min="3841" max="3841" width="49.7109375" style="103" bestFit="1" customWidth="1"/>
    <col min="3842" max="3842" width="15" style="103" customWidth="1"/>
    <col min="3843" max="3843" width="12.42578125" style="103" bestFit="1" customWidth="1"/>
    <col min="3844" max="3844" width="12.5703125" style="103" bestFit="1" customWidth="1"/>
    <col min="3845" max="4096" width="9.140625" style="103"/>
    <col min="4097" max="4097" width="49.7109375" style="103" bestFit="1" customWidth="1"/>
    <col min="4098" max="4098" width="15" style="103" customWidth="1"/>
    <col min="4099" max="4099" width="12.42578125" style="103" bestFit="1" customWidth="1"/>
    <col min="4100" max="4100" width="12.5703125" style="103" bestFit="1" customWidth="1"/>
    <col min="4101" max="4352" width="9.140625" style="103"/>
    <col min="4353" max="4353" width="49.7109375" style="103" bestFit="1" customWidth="1"/>
    <col min="4354" max="4354" width="15" style="103" customWidth="1"/>
    <col min="4355" max="4355" width="12.42578125" style="103" bestFit="1" customWidth="1"/>
    <col min="4356" max="4356" width="12.5703125" style="103" bestFit="1" customWidth="1"/>
    <col min="4357" max="4608" width="9.140625" style="103"/>
    <col min="4609" max="4609" width="49.7109375" style="103" bestFit="1" customWidth="1"/>
    <col min="4610" max="4610" width="15" style="103" customWidth="1"/>
    <col min="4611" max="4611" width="12.42578125" style="103" bestFit="1" customWidth="1"/>
    <col min="4612" max="4612" width="12.5703125" style="103" bestFit="1" customWidth="1"/>
    <col min="4613" max="4864" width="9.140625" style="103"/>
    <col min="4865" max="4865" width="49.7109375" style="103" bestFit="1" customWidth="1"/>
    <col min="4866" max="4866" width="15" style="103" customWidth="1"/>
    <col min="4867" max="4867" width="12.42578125" style="103" bestFit="1" customWidth="1"/>
    <col min="4868" max="4868" width="12.5703125" style="103" bestFit="1" customWidth="1"/>
    <col min="4869" max="5120" width="9.140625" style="103"/>
    <col min="5121" max="5121" width="49.7109375" style="103" bestFit="1" customWidth="1"/>
    <col min="5122" max="5122" width="15" style="103" customWidth="1"/>
    <col min="5123" max="5123" width="12.42578125" style="103" bestFit="1" customWidth="1"/>
    <col min="5124" max="5124" width="12.5703125" style="103" bestFit="1" customWidth="1"/>
    <col min="5125" max="5376" width="9.140625" style="103"/>
    <col min="5377" max="5377" width="49.7109375" style="103" bestFit="1" customWidth="1"/>
    <col min="5378" max="5378" width="15" style="103" customWidth="1"/>
    <col min="5379" max="5379" width="12.42578125" style="103" bestFit="1" customWidth="1"/>
    <col min="5380" max="5380" width="12.5703125" style="103" bestFit="1" customWidth="1"/>
    <col min="5381" max="5632" width="9.140625" style="103"/>
    <col min="5633" max="5633" width="49.7109375" style="103" bestFit="1" customWidth="1"/>
    <col min="5634" max="5634" width="15" style="103" customWidth="1"/>
    <col min="5635" max="5635" width="12.42578125" style="103" bestFit="1" customWidth="1"/>
    <col min="5636" max="5636" width="12.5703125" style="103" bestFit="1" customWidth="1"/>
    <col min="5637" max="5888" width="9.140625" style="103"/>
    <col min="5889" max="5889" width="49.7109375" style="103" bestFit="1" customWidth="1"/>
    <col min="5890" max="5890" width="15" style="103" customWidth="1"/>
    <col min="5891" max="5891" width="12.42578125" style="103" bestFit="1" customWidth="1"/>
    <col min="5892" max="5892" width="12.5703125" style="103" bestFit="1" customWidth="1"/>
    <col min="5893" max="6144" width="9.140625" style="103"/>
    <col min="6145" max="6145" width="49.7109375" style="103" bestFit="1" customWidth="1"/>
    <col min="6146" max="6146" width="15" style="103" customWidth="1"/>
    <col min="6147" max="6147" width="12.42578125" style="103" bestFit="1" customWidth="1"/>
    <col min="6148" max="6148" width="12.5703125" style="103" bestFit="1" customWidth="1"/>
    <col min="6149" max="6400" width="9.140625" style="103"/>
    <col min="6401" max="6401" width="49.7109375" style="103" bestFit="1" customWidth="1"/>
    <col min="6402" max="6402" width="15" style="103" customWidth="1"/>
    <col min="6403" max="6403" width="12.42578125" style="103" bestFit="1" customWidth="1"/>
    <col min="6404" max="6404" width="12.5703125" style="103" bestFit="1" customWidth="1"/>
    <col min="6405" max="6656" width="9.140625" style="103"/>
    <col min="6657" max="6657" width="49.7109375" style="103" bestFit="1" customWidth="1"/>
    <col min="6658" max="6658" width="15" style="103" customWidth="1"/>
    <col min="6659" max="6659" width="12.42578125" style="103" bestFit="1" customWidth="1"/>
    <col min="6660" max="6660" width="12.5703125" style="103" bestFit="1" customWidth="1"/>
    <col min="6661" max="6912" width="9.140625" style="103"/>
    <col min="6913" max="6913" width="49.7109375" style="103" bestFit="1" customWidth="1"/>
    <col min="6914" max="6914" width="15" style="103" customWidth="1"/>
    <col min="6915" max="6915" width="12.42578125" style="103" bestFit="1" customWidth="1"/>
    <col min="6916" max="6916" width="12.5703125" style="103" bestFit="1" customWidth="1"/>
    <col min="6917" max="7168" width="9.140625" style="103"/>
    <col min="7169" max="7169" width="49.7109375" style="103" bestFit="1" customWidth="1"/>
    <col min="7170" max="7170" width="15" style="103" customWidth="1"/>
    <col min="7171" max="7171" width="12.42578125" style="103" bestFit="1" customWidth="1"/>
    <col min="7172" max="7172" width="12.5703125" style="103" bestFit="1" customWidth="1"/>
    <col min="7173" max="7424" width="9.140625" style="103"/>
    <col min="7425" max="7425" width="49.7109375" style="103" bestFit="1" customWidth="1"/>
    <col min="7426" max="7426" width="15" style="103" customWidth="1"/>
    <col min="7427" max="7427" width="12.42578125" style="103" bestFit="1" customWidth="1"/>
    <col min="7428" max="7428" width="12.5703125" style="103" bestFit="1" customWidth="1"/>
    <col min="7429" max="7680" width="9.140625" style="103"/>
    <col min="7681" max="7681" width="49.7109375" style="103" bestFit="1" customWidth="1"/>
    <col min="7682" max="7682" width="15" style="103" customWidth="1"/>
    <col min="7683" max="7683" width="12.42578125" style="103" bestFit="1" customWidth="1"/>
    <col min="7684" max="7684" width="12.5703125" style="103" bestFit="1" customWidth="1"/>
    <col min="7685" max="7936" width="9.140625" style="103"/>
    <col min="7937" max="7937" width="49.7109375" style="103" bestFit="1" customWidth="1"/>
    <col min="7938" max="7938" width="15" style="103" customWidth="1"/>
    <col min="7939" max="7939" width="12.42578125" style="103" bestFit="1" customWidth="1"/>
    <col min="7940" max="7940" width="12.5703125" style="103" bestFit="1" customWidth="1"/>
    <col min="7941" max="8192" width="9.140625" style="103"/>
    <col min="8193" max="8193" width="49.7109375" style="103" bestFit="1" customWidth="1"/>
    <col min="8194" max="8194" width="15" style="103" customWidth="1"/>
    <col min="8195" max="8195" width="12.42578125" style="103" bestFit="1" customWidth="1"/>
    <col min="8196" max="8196" width="12.5703125" style="103" bestFit="1" customWidth="1"/>
    <col min="8197" max="8448" width="9.140625" style="103"/>
    <col min="8449" max="8449" width="49.7109375" style="103" bestFit="1" customWidth="1"/>
    <col min="8450" max="8450" width="15" style="103" customWidth="1"/>
    <col min="8451" max="8451" width="12.42578125" style="103" bestFit="1" customWidth="1"/>
    <col min="8452" max="8452" width="12.5703125" style="103" bestFit="1" customWidth="1"/>
    <col min="8453" max="8704" width="9.140625" style="103"/>
    <col min="8705" max="8705" width="49.7109375" style="103" bestFit="1" customWidth="1"/>
    <col min="8706" max="8706" width="15" style="103" customWidth="1"/>
    <col min="8707" max="8707" width="12.42578125" style="103" bestFit="1" customWidth="1"/>
    <col min="8708" max="8708" width="12.5703125" style="103" bestFit="1" customWidth="1"/>
    <col min="8709" max="8960" width="9.140625" style="103"/>
    <col min="8961" max="8961" width="49.7109375" style="103" bestFit="1" customWidth="1"/>
    <col min="8962" max="8962" width="15" style="103" customWidth="1"/>
    <col min="8963" max="8963" width="12.42578125" style="103" bestFit="1" customWidth="1"/>
    <col min="8964" max="8964" width="12.5703125" style="103" bestFit="1" customWidth="1"/>
    <col min="8965" max="9216" width="9.140625" style="103"/>
    <col min="9217" max="9217" width="49.7109375" style="103" bestFit="1" customWidth="1"/>
    <col min="9218" max="9218" width="15" style="103" customWidth="1"/>
    <col min="9219" max="9219" width="12.42578125" style="103" bestFit="1" customWidth="1"/>
    <col min="9220" max="9220" width="12.5703125" style="103" bestFit="1" customWidth="1"/>
    <col min="9221" max="9472" width="9.140625" style="103"/>
    <col min="9473" max="9473" width="49.7109375" style="103" bestFit="1" customWidth="1"/>
    <col min="9474" max="9474" width="15" style="103" customWidth="1"/>
    <col min="9475" max="9475" width="12.42578125" style="103" bestFit="1" customWidth="1"/>
    <col min="9476" max="9476" width="12.5703125" style="103" bestFit="1" customWidth="1"/>
    <col min="9477" max="9728" width="9.140625" style="103"/>
    <col min="9729" max="9729" width="49.7109375" style="103" bestFit="1" customWidth="1"/>
    <col min="9730" max="9730" width="15" style="103" customWidth="1"/>
    <col min="9731" max="9731" width="12.42578125" style="103" bestFit="1" customWidth="1"/>
    <col min="9732" max="9732" width="12.5703125" style="103" bestFit="1" customWidth="1"/>
    <col min="9733" max="9984" width="9.140625" style="103"/>
    <col min="9985" max="9985" width="49.7109375" style="103" bestFit="1" customWidth="1"/>
    <col min="9986" max="9986" width="15" style="103" customWidth="1"/>
    <col min="9987" max="9987" width="12.42578125" style="103" bestFit="1" customWidth="1"/>
    <col min="9988" max="9988" width="12.5703125" style="103" bestFit="1" customWidth="1"/>
    <col min="9989" max="10240" width="9.140625" style="103"/>
    <col min="10241" max="10241" width="49.7109375" style="103" bestFit="1" customWidth="1"/>
    <col min="10242" max="10242" width="15" style="103" customWidth="1"/>
    <col min="10243" max="10243" width="12.42578125" style="103" bestFit="1" customWidth="1"/>
    <col min="10244" max="10244" width="12.5703125" style="103" bestFit="1" customWidth="1"/>
    <col min="10245" max="10496" width="9.140625" style="103"/>
    <col min="10497" max="10497" width="49.7109375" style="103" bestFit="1" customWidth="1"/>
    <col min="10498" max="10498" width="15" style="103" customWidth="1"/>
    <col min="10499" max="10499" width="12.42578125" style="103" bestFit="1" customWidth="1"/>
    <col min="10500" max="10500" width="12.5703125" style="103" bestFit="1" customWidth="1"/>
    <col min="10501" max="10752" width="9.140625" style="103"/>
    <col min="10753" max="10753" width="49.7109375" style="103" bestFit="1" customWidth="1"/>
    <col min="10754" max="10754" width="15" style="103" customWidth="1"/>
    <col min="10755" max="10755" width="12.42578125" style="103" bestFit="1" customWidth="1"/>
    <col min="10756" max="10756" width="12.5703125" style="103" bestFit="1" customWidth="1"/>
    <col min="10757" max="11008" width="9.140625" style="103"/>
    <col min="11009" max="11009" width="49.7109375" style="103" bestFit="1" customWidth="1"/>
    <col min="11010" max="11010" width="15" style="103" customWidth="1"/>
    <col min="11011" max="11011" width="12.42578125" style="103" bestFit="1" customWidth="1"/>
    <col min="11012" max="11012" width="12.5703125" style="103" bestFit="1" customWidth="1"/>
    <col min="11013" max="11264" width="9.140625" style="103"/>
    <col min="11265" max="11265" width="49.7109375" style="103" bestFit="1" customWidth="1"/>
    <col min="11266" max="11266" width="15" style="103" customWidth="1"/>
    <col min="11267" max="11267" width="12.42578125" style="103" bestFit="1" customWidth="1"/>
    <col min="11268" max="11268" width="12.5703125" style="103" bestFit="1" customWidth="1"/>
    <col min="11269" max="11520" width="9.140625" style="103"/>
    <col min="11521" max="11521" width="49.7109375" style="103" bestFit="1" customWidth="1"/>
    <col min="11522" max="11522" width="15" style="103" customWidth="1"/>
    <col min="11523" max="11523" width="12.42578125" style="103" bestFit="1" customWidth="1"/>
    <col min="11524" max="11524" width="12.5703125" style="103" bestFit="1" customWidth="1"/>
    <col min="11525" max="11776" width="9.140625" style="103"/>
    <col min="11777" max="11777" width="49.7109375" style="103" bestFit="1" customWidth="1"/>
    <col min="11778" max="11778" width="15" style="103" customWidth="1"/>
    <col min="11779" max="11779" width="12.42578125" style="103" bestFit="1" customWidth="1"/>
    <col min="11780" max="11780" width="12.5703125" style="103" bestFit="1" customWidth="1"/>
    <col min="11781" max="12032" width="9.140625" style="103"/>
    <col min="12033" max="12033" width="49.7109375" style="103" bestFit="1" customWidth="1"/>
    <col min="12034" max="12034" width="15" style="103" customWidth="1"/>
    <col min="12035" max="12035" width="12.42578125" style="103" bestFit="1" customWidth="1"/>
    <col min="12036" max="12036" width="12.5703125" style="103" bestFit="1" customWidth="1"/>
    <col min="12037" max="12288" width="9.140625" style="103"/>
    <col min="12289" max="12289" width="49.7109375" style="103" bestFit="1" customWidth="1"/>
    <col min="12290" max="12290" width="15" style="103" customWidth="1"/>
    <col min="12291" max="12291" width="12.42578125" style="103" bestFit="1" customWidth="1"/>
    <col min="12292" max="12292" width="12.5703125" style="103" bestFit="1" customWidth="1"/>
    <col min="12293" max="12544" width="9.140625" style="103"/>
    <col min="12545" max="12545" width="49.7109375" style="103" bestFit="1" customWidth="1"/>
    <col min="12546" max="12546" width="15" style="103" customWidth="1"/>
    <col min="12547" max="12547" width="12.42578125" style="103" bestFit="1" customWidth="1"/>
    <col min="12548" max="12548" width="12.5703125" style="103" bestFit="1" customWidth="1"/>
    <col min="12549" max="12800" width="9.140625" style="103"/>
    <col min="12801" max="12801" width="49.7109375" style="103" bestFit="1" customWidth="1"/>
    <col min="12802" max="12802" width="15" style="103" customWidth="1"/>
    <col min="12803" max="12803" width="12.42578125" style="103" bestFit="1" customWidth="1"/>
    <col min="12804" max="12804" width="12.5703125" style="103" bestFit="1" customWidth="1"/>
    <col min="12805" max="13056" width="9.140625" style="103"/>
    <col min="13057" max="13057" width="49.7109375" style="103" bestFit="1" customWidth="1"/>
    <col min="13058" max="13058" width="15" style="103" customWidth="1"/>
    <col min="13059" max="13059" width="12.42578125" style="103" bestFit="1" customWidth="1"/>
    <col min="13060" max="13060" width="12.5703125" style="103" bestFit="1" customWidth="1"/>
    <col min="13061" max="13312" width="9.140625" style="103"/>
    <col min="13313" max="13313" width="49.7109375" style="103" bestFit="1" customWidth="1"/>
    <col min="13314" max="13314" width="15" style="103" customWidth="1"/>
    <col min="13315" max="13315" width="12.42578125" style="103" bestFit="1" customWidth="1"/>
    <col min="13316" max="13316" width="12.5703125" style="103" bestFit="1" customWidth="1"/>
    <col min="13317" max="13568" width="9.140625" style="103"/>
    <col min="13569" max="13569" width="49.7109375" style="103" bestFit="1" customWidth="1"/>
    <col min="13570" max="13570" width="15" style="103" customWidth="1"/>
    <col min="13571" max="13571" width="12.42578125" style="103" bestFit="1" customWidth="1"/>
    <col min="13572" max="13572" width="12.5703125" style="103" bestFit="1" customWidth="1"/>
    <col min="13573" max="13824" width="9.140625" style="103"/>
    <col min="13825" max="13825" width="49.7109375" style="103" bestFit="1" customWidth="1"/>
    <col min="13826" max="13826" width="15" style="103" customWidth="1"/>
    <col min="13827" max="13827" width="12.42578125" style="103" bestFit="1" customWidth="1"/>
    <col min="13828" max="13828" width="12.5703125" style="103" bestFit="1" customWidth="1"/>
    <col min="13829" max="14080" width="9.140625" style="103"/>
    <col min="14081" max="14081" width="49.7109375" style="103" bestFit="1" customWidth="1"/>
    <col min="14082" max="14082" width="15" style="103" customWidth="1"/>
    <col min="14083" max="14083" width="12.42578125" style="103" bestFit="1" customWidth="1"/>
    <col min="14084" max="14084" width="12.5703125" style="103" bestFit="1" customWidth="1"/>
    <col min="14085" max="14336" width="9.140625" style="103"/>
    <col min="14337" max="14337" width="49.7109375" style="103" bestFit="1" customWidth="1"/>
    <col min="14338" max="14338" width="15" style="103" customWidth="1"/>
    <col min="14339" max="14339" width="12.42578125" style="103" bestFit="1" customWidth="1"/>
    <col min="14340" max="14340" width="12.5703125" style="103" bestFit="1" customWidth="1"/>
    <col min="14341" max="14592" width="9.140625" style="103"/>
    <col min="14593" max="14593" width="49.7109375" style="103" bestFit="1" customWidth="1"/>
    <col min="14594" max="14594" width="15" style="103" customWidth="1"/>
    <col min="14595" max="14595" width="12.42578125" style="103" bestFit="1" customWidth="1"/>
    <col min="14596" max="14596" width="12.5703125" style="103" bestFit="1" customWidth="1"/>
    <col min="14597" max="14848" width="9.140625" style="103"/>
    <col min="14849" max="14849" width="49.7109375" style="103" bestFit="1" customWidth="1"/>
    <col min="14850" max="14850" width="15" style="103" customWidth="1"/>
    <col min="14851" max="14851" width="12.42578125" style="103" bestFit="1" customWidth="1"/>
    <col min="14852" max="14852" width="12.5703125" style="103" bestFit="1" customWidth="1"/>
    <col min="14853" max="15104" width="9.140625" style="103"/>
    <col min="15105" max="15105" width="49.7109375" style="103" bestFit="1" customWidth="1"/>
    <col min="15106" max="15106" width="15" style="103" customWidth="1"/>
    <col min="15107" max="15107" width="12.42578125" style="103" bestFit="1" customWidth="1"/>
    <col min="15108" max="15108" width="12.5703125" style="103" bestFit="1" customWidth="1"/>
    <col min="15109" max="15360" width="9.140625" style="103"/>
    <col min="15361" max="15361" width="49.7109375" style="103" bestFit="1" customWidth="1"/>
    <col min="15362" max="15362" width="15" style="103" customWidth="1"/>
    <col min="15363" max="15363" width="12.42578125" style="103" bestFit="1" customWidth="1"/>
    <col min="15364" max="15364" width="12.5703125" style="103" bestFit="1" customWidth="1"/>
    <col min="15365" max="15616" width="9.140625" style="103"/>
    <col min="15617" max="15617" width="49.7109375" style="103" bestFit="1" customWidth="1"/>
    <col min="15618" max="15618" width="15" style="103" customWidth="1"/>
    <col min="15619" max="15619" width="12.42578125" style="103" bestFit="1" customWidth="1"/>
    <col min="15620" max="15620" width="12.5703125" style="103" bestFit="1" customWidth="1"/>
    <col min="15621" max="15872" width="9.140625" style="103"/>
    <col min="15873" max="15873" width="49.7109375" style="103" bestFit="1" customWidth="1"/>
    <col min="15874" max="15874" width="15" style="103" customWidth="1"/>
    <col min="15875" max="15875" width="12.42578125" style="103" bestFit="1" customWidth="1"/>
    <col min="15876" max="15876" width="12.5703125" style="103" bestFit="1" customWidth="1"/>
    <col min="15877" max="16128" width="9.140625" style="103"/>
    <col min="16129" max="16129" width="49.7109375" style="103" bestFit="1" customWidth="1"/>
    <col min="16130" max="16130" width="15" style="103" customWidth="1"/>
    <col min="16131" max="16131" width="12.42578125" style="103" bestFit="1" customWidth="1"/>
    <col min="16132" max="16132" width="12.5703125" style="103" bestFit="1" customWidth="1"/>
    <col min="16133" max="16384" width="9.140625" style="103"/>
  </cols>
  <sheetData>
    <row r="1" spans="1:6" ht="15" x14ac:dyDescent="0.25">
      <c r="A1" s="102"/>
      <c r="B1" s="102"/>
    </row>
    <row r="2" spans="1:6" ht="15" x14ac:dyDescent="0.25">
      <c r="A2" s="102"/>
      <c r="B2" s="104"/>
    </row>
    <row r="3" spans="1:6" ht="15" x14ac:dyDescent="0.25">
      <c r="A3" s="102"/>
      <c r="B3" s="102"/>
    </row>
    <row r="4" spans="1:6" ht="51" x14ac:dyDescent="0.2">
      <c r="A4" s="121" t="s">
        <v>108</v>
      </c>
      <c r="B4" s="121" t="s">
        <v>106</v>
      </c>
      <c r="C4" s="121" t="s">
        <v>109</v>
      </c>
      <c r="D4" s="121" t="s">
        <v>110</v>
      </c>
      <c r="E4" s="122" t="s">
        <v>118</v>
      </c>
    </row>
    <row r="5" spans="1:6" x14ac:dyDescent="0.2">
      <c r="A5" s="108" t="s">
        <v>101</v>
      </c>
      <c r="B5" s="107">
        <v>29878</v>
      </c>
      <c r="C5" s="105">
        <v>67</v>
      </c>
      <c r="D5" s="105">
        <v>2946</v>
      </c>
      <c r="E5" s="106">
        <f>+B5-C5-D5</f>
        <v>26865</v>
      </c>
    </row>
    <row r="6" spans="1:6" x14ac:dyDescent="0.2">
      <c r="A6" s="108" t="s">
        <v>100</v>
      </c>
      <c r="B6" s="107">
        <v>22151</v>
      </c>
      <c r="C6" s="105">
        <v>87</v>
      </c>
      <c r="D6" s="105">
        <v>7628</v>
      </c>
      <c r="E6" s="106">
        <f>+B6-C6-D6</f>
        <v>14436</v>
      </c>
    </row>
    <row r="7" spans="1:6" x14ac:dyDescent="0.2">
      <c r="A7" s="108" t="s">
        <v>99</v>
      </c>
      <c r="B7" s="107">
        <f>16539+B28</f>
        <v>16814</v>
      </c>
      <c r="C7" s="105">
        <v>36</v>
      </c>
      <c r="D7" s="105">
        <v>3819</v>
      </c>
      <c r="E7" s="106">
        <f t="shared" ref="E7:E23" si="0">+B7-C7-D7</f>
        <v>12959</v>
      </c>
      <c r="F7" s="103" t="s">
        <v>128</v>
      </c>
    </row>
    <row r="8" spans="1:6" x14ac:dyDescent="0.2">
      <c r="A8" s="108" t="s">
        <v>97</v>
      </c>
      <c r="B8" s="107">
        <v>1796</v>
      </c>
      <c r="C8" s="105">
        <v>0</v>
      </c>
      <c r="D8" s="105">
        <v>201</v>
      </c>
      <c r="E8" s="106">
        <f t="shared" si="0"/>
        <v>1595</v>
      </c>
    </row>
    <row r="9" spans="1:6" x14ac:dyDescent="0.2">
      <c r="A9" s="108" t="s">
        <v>96</v>
      </c>
      <c r="B9" s="107">
        <v>7618</v>
      </c>
      <c r="C9" s="105">
        <v>29</v>
      </c>
      <c r="D9" s="105">
        <v>618</v>
      </c>
      <c r="E9" s="106">
        <f t="shared" si="0"/>
        <v>6971</v>
      </c>
    </row>
    <row r="10" spans="1:6" x14ac:dyDescent="0.2">
      <c r="A10" s="108" t="s">
        <v>95</v>
      </c>
      <c r="B10" s="107">
        <v>57193</v>
      </c>
      <c r="C10" s="105">
        <v>5573</v>
      </c>
      <c r="D10" s="105">
        <v>3187</v>
      </c>
      <c r="E10" s="106">
        <f t="shared" si="0"/>
        <v>48433</v>
      </c>
    </row>
    <row r="11" spans="1:6" x14ac:dyDescent="0.2">
      <c r="A11" s="108" t="s">
        <v>93</v>
      </c>
      <c r="B11" s="107">
        <v>13044</v>
      </c>
      <c r="C11" s="105">
        <v>42</v>
      </c>
      <c r="D11" s="105">
        <v>2445</v>
      </c>
      <c r="E11" s="106">
        <f t="shared" si="0"/>
        <v>10557</v>
      </c>
    </row>
    <row r="12" spans="1:6" x14ac:dyDescent="0.2">
      <c r="A12" s="108" t="s">
        <v>92</v>
      </c>
      <c r="B12" s="107">
        <f>1388+9019</f>
        <v>10407</v>
      </c>
      <c r="C12" s="105">
        <f>132+920</f>
        <v>1052</v>
      </c>
      <c r="D12" s="105">
        <f>1438+210</f>
        <v>1648</v>
      </c>
      <c r="E12" s="106">
        <f t="shared" si="0"/>
        <v>7707</v>
      </c>
    </row>
    <row r="13" spans="1:6" x14ac:dyDescent="0.2">
      <c r="A13" s="108" t="s">
        <v>91</v>
      </c>
      <c r="B13" s="107">
        <v>9131</v>
      </c>
      <c r="C13" s="105">
        <v>60</v>
      </c>
      <c r="D13" s="105">
        <v>1015</v>
      </c>
      <c r="E13" s="106">
        <f t="shared" si="0"/>
        <v>8056</v>
      </c>
    </row>
    <row r="14" spans="1:6" x14ac:dyDescent="0.2">
      <c r="A14" s="108" t="s">
        <v>90</v>
      </c>
      <c r="B14" s="107">
        <v>10359</v>
      </c>
      <c r="C14" s="105">
        <v>25</v>
      </c>
      <c r="D14" s="105">
        <v>1069</v>
      </c>
      <c r="E14" s="106">
        <f t="shared" si="0"/>
        <v>9265</v>
      </c>
    </row>
    <row r="15" spans="1:6" x14ac:dyDescent="0.2">
      <c r="A15" s="108" t="s">
        <v>89</v>
      </c>
      <c r="B15" s="107">
        <f>1620+240</f>
        <v>1860</v>
      </c>
      <c r="C15" s="105">
        <v>190</v>
      </c>
      <c r="D15" s="105">
        <v>0</v>
      </c>
      <c r="E15" s="106">
        <f t="shared" si="0"/>
        <v>1670</v>
      </c>
    </row>
    <row r="16" spans="1:6" x14ac:dyDescent="0.2">
      <c r="A16" s="108" t="s">
        <v>84</v>
      </c>
      <c r="B16" s="107">
        <v>16018</v>
      </c>
      <c r="C16" s="105">
        <v>31</v>
      </c>
      <c r="D16" s="105">
        <v>2738</v>
      </c>
      <c r="E16" s="106">
        <f t="shared" si="0"/>
        <v>13249</v>
      </c>
    </row>
    <row r="17" spans="1:5" x14ac:dyDescent="0.2">
      <c r="A17" s="108" t="s">
        <v>98</v>
      </c>
      <c r="B17" s="107">
        <v>9845</v>
      </c>
      <c r="C17" s="105">
        <v>23</v>
      </c>
      <c r="D17" s="105">
        <v>631</v>
      </c>
      <c r="E17" s="106">
        <f t="shared" si="0"/>
        <v>9191</v>
      </c>
    </row>
    <row r="18" spans="1:5" x14ac:dyDescent="0.2">
      <c r="A18" s="108" t="s">
        <v>88</v>
      </c>
      <c r="B18" s="107">
        <f>29067+9008</f>
        <v>38075</v>
      </c>
      <c r="C18" s="105">
        <f>7+3337</f>
        <v>3344</v>
      </c>
      <c r="D18" s="105">
        <v>4586</v>
      </c>
      <c r="E18" s="106">
        <f t="shared" si="0"/>
        <v>30145</v>
      </c>
    </row>
    <row r="19" spans="1:5" x14ac:dyDescent="0.2">
      <c r="A19" s="108" t="s">
        <v>86</v>
      </c>
      <c r="B19" s="107">
        <v>13436</v>
      </c>
      <c r="C19" s="105">
        <v>61</v>
      </c>
      <c r="D19" s="105">
        <v>2058</v>
      </c>
      <c r="E19" s="106">
        <f t="shared" si="0"/>
        <v>11317</v>
      </c>
    </row>
    <row r="20" spans="1:5" x14ac:dyDescent="0.2">
      <c r="A20" s="108" t="s">
        <v>85</v>
      </c>
      <c r="B20" s="107">
        <v>22593</v>
      </c>
      <c r="C20" s="105">
        <v>2847</v>
      </c>
      <c r="D20" s="105">
        <v>1466</v>
      </c>
      <c r="E20" s="106">
        <f t="shared" si="0"/>
        <v>18280</v>
      </c>
    </row>
    <row r="21" spans="1:5" x14ac:dyDescent="0.2">
      <c r="A21" s="108" t="s">
        <v>94</v>
      </c>
      <c r="B21" s="107">
        <v>17459</v>
      </c>
      <c r="C21" s="105">
        <v>37</v>
      </c>
      <c r="D21" s="105">
        <v>3297</v>
      </c>
      <c r="E21" s="106">
        <f t="shared" si="0"/>
        <v>14125</v>
      </c>
    </row>
    <row r="22" spans="1:5" x14ac:dyDescent="0.2">
      <c r="A22" s="108" t="s">
        <v>83</v>
      </c>
      <c r="B22" s="107">
        <f>2733+12280</f>
        <v>15013</v>
      </c>
      <c r="C22" s="105">
        <f>133+511</f>
        <v>644</v>
      </c>
      <c r="D22" s="105">
        <f>526+1952</f>
        <v>2478</v>
      </c>
      <c r="E22" s="106">
        <f t="shared" si="0"/>
        <v>11891</v>
      </c>
    </row>
    <row r="23" spans="1:5" x14ac:dyDescent="0.2">
      <c r="A23" s="108" t="s">
        <v>82</v>
      </c>
      <c r="B23" s="107">
        <v>116982</v>
      </c>
      <c r="C23" s="105">
        <v>8022</v>
      </c>
      <c r="D23" s="105">
        <v>5262</v>
      </c>
      <c r="E23" s="106">
        <f t="shared" si="0"/>
        <v>103698</v>
      </c>
    </row>
    <row r="25" spans="1:5" x14ac:dyDescent="0.2">
      <c r="B25" s="103">
        <f>SUM(B5:B24)</f>
        <v>429672</v>
      </c>
      <c r="C25" s="103">
        <f t="shared" ref="C25:E25" si="1">SUM(C5:C24)</f>
        <v>22170</v>
      </c>
      <c r="D25" s="103">
        <f t="shared" si="1"/>
        <v>47092</v>
      </c>
      <c r="E25" s="103">
        <f t="shared" si="1"/>
        <v>360410</v>
      </c>
    </row>
    <row r="28" spans="1:5" x14ac:dyDescent="0.2">
      <c r="A28" s="103" t="s">
        <v>127</v>
      </c>
      <c r="B28" s="103">
        <v>275</v>
      </c>
    </row>
  </sheetData>
  <pageMargins left="0.7" right="0.7" top="0.75" bottom="0.75" header="0.3" footer="0.3"/>
  <pageSetup orientation="portrait" r:id="rId1"/>
  <headerFooter>
    <oddFooter>&amp;L&amp;9&amp;Z&amp;F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>
      <selection activeCell="L10" sqref="L10"/>
    </sheetView>
  </sheetViews>
  <sheetFormatPr defaultRowHeight="15" x14ac:dyDescent="0.25"/>
  <sheetData>
    <row r="1" spans="1:1" x14ac:dyDescent="0.25">
      <c r="A1" t="s">
        <v>106</v>
      </c>
    </row>
    <row r="29" spans="1:2" x14ac:dyDescent="0.25">
      <c r="A29" s="113" t="s">
        <v>116</v>
      </c>
      <c r="B29" t="s">
        <v>107</v>
      </c>
    </row>
    <row r="60" spans="1:1" x14ac:dyDescent="0.25">
      <c r="A60" s="113" t="s">
        <v>117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9"/>
  <sheetViews>
    <sheetView workbookViewId="0">
      <pane xSplit="1" ySplit="3" topLeftCell="B12" activePane="bottomRight" state="frozen"/>
      <selection activeCell="C10" sqref="C10"/>
      <selection pane="topRight" activeCell="C10" sqref="C10"/>
      <selection pane="bottomLeft" activeCell="C10" sqref="C10"/>
      <selection pane="bottomRight" activeCell="C39" sqref="C39"/>
    </sheetView>
  </sheetViews>
  <sheetFormatPr defaultRowHeight="12" x14ac:dyDescent="0.2"/>
  <cols>
    <col min="1" max="1" width="41.42578125" style="109" customWidth="1"/>
    <col min="2" max="2" width="8.7109375" style="109" customWidth="1"/>
    <col min="3" max="3" width="8.140625" style="109" customWidth="1"/>
    <col min="4" max="4" width="8.28515625" style="109" customWidth="1"/>
    <col min="5" max="5" width="8.140625" style="109" customWidth="1"/>
    <col min="6" max="41" width="6.28515625" style="109" customWidth="1"/>
    <col min="42" max="42" width="6.42578125" style="109" customWidth="1"/>
    <col min="43" max="256" width="9.140625" style="109"/>
    <col min="257" max="257" width="56.7109375" style="109" customWidth="1"/>
    <col min="258" max="297" width="6.28515625" style="109" customWidth="1"/>
    <col min="298" max="298" width="6.42578125" style="109" customWidth="1"/>
    <col min="299" max="512" width="9.140625" style="109"/>
    <col min="513" max="513" width="56.7109375" style="109" customWidth="1"/>
    <col min="514" max="553" width="6.28515625" style="109" customWidth="1"/>
    <col min="554" max="554" width="6.42578125" style="109" customWidth="1"/>
    <col min="555" max="768" width="9.140625" style="109"/>
    <col min="769" max="769" width="56.7109375" style="109" customWidth="1"/>
    <col min="770" max="809" width="6.28515625" style="109" customWidth="1"/>
    <col min="810" max="810" width="6.42578125" style="109" customWidth="1"/>
    <col min="811" max="1024" width="9.140625" style="109"/>
    <col min="1025" max="1025" width="56.7109375" style="109" customWidth="1"/>
    <col min="1026" max="1065" width="6.28515625" style="109" customWidth="1"/>
    <col min="1066" max="1066" width="6.42578125" style="109" customWidth="1"/>
    <col min="1067" max="1280" width="9.140625" style="109"/>
    <col min="1281" max="1281" width="56.7109375" style="109" customWidth="1"/>
    <col min="1282" max="1321" width="6.28515625" style="109" customWidth="1"/>
    <col min="1322" max="1322" width="6.42578125" style="109" customWidth="1"/>
    <col min="1323" max="1536" width="9.140625" style="109"/>
    <col min="1537" max="1537" width="56.7109375" style="109" customWidth="1"/>
    <col min="1538" max="1577" width="6.28515625" style="109" customWidth="1"/>
    <col min="1578" max="1578" width="6.42578125" style="109" customWidth="1"/>
    <col min="1579" max="1792" width="9.140625" style="109"/>
    <col min="1793" max="1793" width="56.7109375" style="109" customWidth="1"/>
    <col min="1794" max="1833" width="6.28515625" style="109" customWidth="1"/>
    <col min="1834" max="1834" width="6.42578125" style="109" customWidth="1"/>
    <col min="1835" max="2048" width="9.140625" style="109"/>
    <col min="2049" max="2049" width="56.7109375" style="109" customWidth="1"/>
    <col min="2050" max="2089" width="6.28515625" style="109" customWidth="1"/>
    <col min="2090" max="2090" width="6.42578125" style="109" customWidth="1"/>
    <col min="2091" max="2304" width="9.140625" style="109"/>
    <col min="2305" max="2305" width="56.7109375" style="109" customWidth="1"/>
    <col min="2306" max="2345" width="6.28515625" style="109" customWidth="1"/>
    <col min="2346" max="2346" width="6.42578125" style="109" customWidth="1"/>
    <col min="2347" max="2560" width="9.140625" style="109"/>
    <col min="2561" max="2561" width="56.7109375" style="109" customWidth="1"/>
    <col min="2562" max="2601" width="6.28515625" style="109" customWidth="1"/>
    <col min="2602" max="2602" width="6.42578125" style="109" customWidth="1"/>
    <col min="2603" max="2816" width="9.140625" style="109"/>
    <col min="2817" max="2817" width="56.7109375" style="109" customWidth="1"/>
    <col min="2818" max="2857" width="6.28515625" style="109" customWidth="1"/>
    <col min="2858" max="2858" width="6.42578125" style="109" customWidth="1"/>
    <col min="2859" max="3072" width="9.140625" style="109"/>
    <col min="3073" max="3073" width="56.7109375" style="109" customWidth="1"/>
    <col min="3074" max="3113" width="6.28515625" style="109" customWidth="1"/>
    <col min="3114" max="3114" width="6.42578125" style="109" customWidth="1"/>
    <col min="3115" max="3328" width="9.140625" style="109"/>
    <col min="3329" max="3329" width="56.7109375" style="109" customWidth="1"/>
    <col min="3330" max="3369" width="6.28515625" style="109" customWidth="1"/>
    <col min="3370" max="3370" width="6.42578125" style="109" customWidth="1"/>
    <col min="3371" max="3584" width="9.140625" style="109"/>
    <col min="3585" max="3585" width="56.7109375" style="109" customWidth="1"/>
    <col min="3586" max="3625" width="6.28515625" style="109" customWidth="1"/>
    <col min="3626" max="3626" width="6.42578125" style="109" customWidth="1"/>
    <col min="3627" max="3840" width="9.140625" style="109"/>
    <col min="3841" max="3841" width="56.7109375" style="109" customWidth="1"/>
    <col min="3842" max="3881" width="6.28515625" style="109" customWidth="1"/>
    <col min="3882" max="3882" width="6.42578125" style="109" customWidth="1"/>
    <col min="3883" max="4096" width="9.140625" style="109"/>
    <col min="4097" max="4097" width="56.7109375" style="109" customWidth="1"/>
    <col min="4098" max="4137" width="6.28515625" style="109" customWidth="1"/>
    <col min="4138" max="4138" width="6.42578125" style="109" customWidth="1"/>
    <col min="4139" max="4352" width="9.140625" style="109"/>
    <col min="4353" max="4353" width="56.7109375" style="109" customWidth="1"/>
    <col min="4354" max="4393" width="6.28515625" style="109" customWidth="1"/>
    <col min="4394" max="4394" width="6.42578125" style="109" customWidth="1"/>
    <col min="4395" max="4608" width="9.140625" style="109"/>
    <col min="4609" max="4609" width="56.7109375" style="109" customWidth="1"/>
    <col min="4610" max="4649" width="6.28515625" style="109" customWidth="1"/>
    <col min="4650" max="4650" width="6.42578125" style="109" customWidth="1"/>
    <col min="4651" max="4864" width="9.140625" style="109"/>
    <col min="4865" max="4865" width="56.7109375" style="109" customWidth="1"/>
    <col min="4866" max="4905" width="6.28515625" style="109" customWidth="1"/>
    <col min="4906" max="4906" width="6.42578125" style="109" customWidth="1"/>
    <col min="4907" max="5120" width="9.140625" style="109"/>
    <col min="5121" max="5121" width="56.7109375" style="109" customWidth="1"/>
    <col min="5122" max="5161" width="6.28515625" style="109" customWidth="1"/>
    <col min="5162" max="5162" width="6.42578125" style="109" customWidth="1"/>
    <col min="5163" max="5376" width="9.140625" style="109"/>
    <col min="5377" max="5377" width="56.7109375" style="109" customWidth="1"/>
    <col min="5378" max="5417" width="6.28515625" style="109" customWidth="1"/>
    <col min="5418" max="5418" width="6.42578125" style="109" customWidth="1"/>
    <col min="5419" max="5632" width="9.140625" style="109"/>
    <col min="5633" max="5633" width="56.7109375" style="109" customWidth="1"/>
    <col min="5634" max="5673" width="6.28515625" style="109" customWidth="1"/>
    <col min="5674" max="5674" width="6.42578125" style="109" customWidth="1"/>
    <col min="5675" max="5888" width="9.140625" style="109"/>
    <col min="5889" max="5889" width="56.7109375" style="109" customWidth="1"/>
    <col min="5890" max="5929" width="6.28515625" style="109" customWidth="1"/>
    <col min="5930" max="5930" width="6.42578125" style="109" customWidth="1"/>
    <col min="5931" max="6144" width="9.140625" style="109"/>
    <col min="6145" max="6145" width="56.7109375" style="109" customWidth="1"/>
    <col min="6146" max="6185" width="6.28515625" style="109" customWidth="1"/>
    <col min="6186" max="6186" width="6.42578125" style="109" customWidth="1"/>
    <col min="6187" max="6400" width="9.140625" style="109"/>
    <col min="6401" max="6401" width="56.7109375" style="109" customWidth="1"/>
    <col min="6402" max="6441" width="6.28515625" style="109" customWidth="1"/>
    <col min="6442" max="6442" width="6.42578125" style="109" customWidth="1"/>
    <col min="6443" max="6656" width="9.140625" style="109"/>
    <col min="6657" max="6657" width="56.7109375" style="109" customWidth="1"/>
    <col min="6658" max="6697" width="6.28515625" style="109" customWidth="1"/>
    <col min="6698" max="6698" width="6.42578125" style="109" customWidth="1"/>
    <col min="6699" max="6912" width="9.140625" style="109"/>
    <col min="6913" max="6913" width="56.7109375" style="109" customWidth="1"/>
    <col min="6914" max="6953" width="6.28515625" style="109" customWidth="1"/>
    <col min="6954" max="6954" width="6.42578125" style="109" customWidth="1"/>
    <col min="6955" max="7168" width="9.140625" style="109"/>
    <col min="7169" max="7169" width="56.7109375" style="109" customWidth="1"/>
    <col min="7170" max="7209" width="6.28515625" style="109" customWidth="1"/>
    <col min="7210" max="7210" width="6.42578125" style="109" customWidth="1"/>
    <col min="7211" max="7424" width="9.140625" style="109"/>
    <col min="7425" max="7425" width="56.7109375" style="109" customWidth="1"/>
    <col min="7426" max="7465" width="6.28515625" style="109" customWidth="1"/>
    <col min="7466" max="7466" width="6.42578125" style="109" customWidth="1"/>
    <col min="7467" max="7680" width="9.140625" style="109"/>
    <col min="7681" max="7681" width="56.7109375" style="109" customWidth="1"/>
    <col min="7682" max="7721" width="6.28515625" style="109" customWidth="1"/>
    <col min="7722" max="7722" width="6.42578125" style="109" customWidth="1"/>
    <col min="7723" max="7936" width="9.140625" style="109"/>
    <col min="7937" max="7937" width="56.7109375" style="109" customWidth="1"/>
    <col min="7938" max="7977" width="6.28515625" style="109" customWidth="1"/>
    <col min="7978" max="7978" width="6.42578125" style="109" customWidth="1"/>
    <col min="7979" max="8192" width="9.140625" style="109"/>
    <col min="8193" max="8193" width="56.7109375" style="109" customWidth="1"/>
    <col min="8194" max="8233" width="6.28515625" style="109" customWidth="1"/>
    <col min="8234" max="8234" width="6.42578125" style="109" customWidth="1"/>
    <col min="8235" max="8448" width="9.140625" style="109"/>
    <col min="8449" max="8449" width="56.7109375" style="109" customWidth="1"/>
    <col min="8450" max="8489" width="6.28515625" style="109" customWidth="1"/>
    <col min="8490" max="8490" width="6.42578125" style="109" customWidth="1"/>
    <col min="8491" max="8704" width="9.140625" style="109"/>
    <col min="8705" max="8705" width="56.7109375" style="109" customWidth="1"/>
    <col min="8706" max="8745" width="6.28515625" style="109" customWidth="1"/>
    <col min="8746" max="8746" width="6.42578125" style="109" customWidth="1"/>
    <col min="8747" max="8960" width="9.140625" style="109"/>
    <col min="8961" max="8961" width="56.7109375" style="109" customWidth="1"/>
    <col min="8962" max="9001" width="6.28515625" style="109" customWidth="1"/>
    <col min="9002" max="9002" width="6.42578125" style="109" customWidth="1"/>
    <col min="9003" max="9216" width="9.140625" style="109"/>
    <col min="9217" max="9217" width="56.7109375" style="109" customWidth="1"/>
    <col min="9218" max="9257" width="6.28515625" style="109" customWidth="1"/>
    <col min="9258" max="9258" width="6.42578125" style="109" customWidth="1"/>
    <col min="9259" max="9472" width="9.140625" style="109"/>
    <col min="9473" max="9473" width="56.7109375" style="109" customWidth="1"/>
    <col min="9474" max="9513" width="6.28515625" style="109" customWidth="1"/>
    <col min="9514" max="9514" width="6.42578125" style="109" customWidth="1"/>
    <col min="9515" max="9728" width="9.140625" style="109"/>
    <col min="9729" max="9729" width="56.7109375" style="109" customWidth="1"/>
    <col min="9730" max="9769" width="6.28515625" style="109" customWidth="1"/>
    <col min="9770" max="9770" width="6.42578125" style="109" customWidth="1"/>
    <col min="9771" max="9984" width="9.140625" style="109"/>
    <col min="9985" max="9985" width="56.7109375" style="109" customWidth="1"/>
    <col min="9986" max="10025" width="6.28515625" style="109" customWidth="1"/>
    <col min="10026" max="10026" width="6.42578125" style="109" customWidth="1"/>
    <col min="10027" max="10240" width="9.140625" style="109"/>
    <col min="10241" max="10241" width="56.7109375" style="109" customWidth="1"/>
    <col min="10242" max="10281" width="6.28515625" style="109" customWidth="1"/>
    <col min="10282" max="10282" width="6.42578125" style="109" customWidth="1"/>
    <col min="10283" max="10496" width="9.140625" style="109"/>
    <col min="10497" max="10497" width="56.7109375" style="109" customWidth="1"/>
    <col min="10498" max="10537" width="6.28515625" style="109" customWidth="1"/>
    <col min="10538" max="10538" width="6.42578125" style="109" customWidth="1"/>
    <col min="10539" max="10752" width="9.140625" style="109"/>
    <col min="10753" max="10753" width="56.7109375" style="109" customWidth="1"/>
    <col min="10754" max="10793" width="6.28515625" style="109" customWidth="1"/>
    <col min="10794" max="10794" width="6.42578125" style="109" customWidth="1"/>
    <col min="10795" max="11008" width="9.140625" style="109"/>
    <col min="11009" max="11009" width="56.7109375" style="109" customWidth="1"/>
    <col min="11010" max="11049" width="6.28515625" style="109" customWidth="1"/>
    <col min="11050" max="11050" width="6.42578125" style="109" customWidth="1"/>
    <col min="11051" max="11264" width="9.140625" style="109"/>
    <col min="11265" max="11265" width="56.7109375" style="109" customWidth="1"/>
    <col min="11266" max="11305" width="6.28515625" style="109" customWidth="1"/>
    <col min="11306" max="11306" width="6.42578125" style="109" customWidth="1"/>
    <col min="11307" max="11520" width="9.140625" style="109"/>
    <col min="11521" max="11521" width="56.7109375" style="109" customWidth="1"/>
    <col min="11522" max="11561" width="6.28515625" style="109" customWidth="1"/>
    <col min="11562" max="11562" width="6.42578125" style="109" customWidth="1"/>
    <col min="11563" max="11776" width="9.140625" style="109"/>
    <col min="11777" max="11777" width="56.7109375" style="109" customWidth="1"/>
    <col min="11778" max="11817" width="6.28515625" style="109" customWidth="1"/>
    <col min="11818" max="11818" width="6.42578125" style="109" customWidth="1"/>
    <col min="11819" max="12032" width="9.140625" style="109"/>
    <col min="12033" max="12033" width="56.7109375" style="109" customWidth="1"/>
    <col min="12034" max="12073" width="6.28515625" style="109" customWidth="1"/>
    <col min="12074" max="12074" width="6.42578125" style="109" customWidth="1"/>
    <col min="12075" max="12288" width="9.140625" style="109"/>
    <col min="12289" max="12289" width="56.7109375" style="109" customWidth="1"/>
    <col min="12290" max="12329" width="6.28515625" style="109" customWidth="1"/>
    <col min="12330" max="12330" width="6.42578125" style="109" customWidth="1"/>
    <col min="12331" max="12544" width="9.140625" style="109"/>
    <col min="12545" max="12545" width="56.7109375" style="109" customWidth="1"/>
    <col min="12546" max="12585" width="6.28515625" style="109" customWidth="1"/>
    <col min="12586" max="12586" width="6.42578125" style="109" customWidth="1"/>
    <col min="12587" max="12800" width="9.140625" style="109"/>
    <col min="12801" max="12801" width="56.7109375" style="109" customWidth="1"/>
    <col min="12802" max="12841" width="6.28515625" style="109" customWidth="1"/>
    <col min="12842" max="12842" width="6.42578125" style="109" customWidth="1"/>
    <col min="12843" max="13056" width="9.140625" style="109"/>
    <col min="13057" max="13057" width="56.7109375" style="109" customWidth="1"/>
    <col min="13058" max="13097" width="6.28515625" style="109" customWidth="1"/>
    <col min="13098" max="13098" width="6.42578125" style="109" customWidth="1"/>
    <col min="13099" max="13312" width="9.140625" style="109"/>
    <col min="13313" max="13313" width="56.7109375" style="109" customWidth="1"/>
    <col min="13314" max="13353" width="6.28515625" style="109" customWidth="1"/>
    <col min="13354" max="13354" width="6.42578125" style="109" customWidth="1"/>
    <col min="13355" max="13568" width="9.140625" style="109"/>
    <col min="13569" max="13569" width="56.7109375" style="109" customWidth="1"/>
    <col min="13570" max="13609" width="6.28515625" style="109" customWidth="1"/>
    <col min="13610" max="13610" width="6.42578125" style="109" customWidth="1"/>
    <col min="13611" max="13824" width="9.140625" style="109"/>
    <col min="13825" max="13825" width="56.7109375" style="109" customWidth="1"/>
    <col min="13826" max="13865" width="6.28515625" style="109" customWidth="1"/>
    <col min="13866" max="13866" width="6.42578125" style="109" customWidth="1"/>
    <col min="13867" max="14080" width="9.140625" style="109"/>
    <col min="14081" max="14081" width="56.7109375" style="109" customWidth="1"/>
    <col min="14082" max="14121" width="6.28515625" style="109" customWidth="1"/>
    <col min="14122" max="14122" width="6.42578125" style="109" customWidth="1"/>
    <col min="14123" max="14336" width="9.140625" style="109"/>
    <col min="14337" max="14337" width="56.7109375" style="109" customWidth="1"/>
    <col min="14338" max="14377" width="6.28515625" style="109" customWidth="1"/>
    <col min="14378" max="14378" width="6.42578125" style="109" customWidth="1"/>
    <col min="14379" max="14592" width="9.140625" style="109"/>
    <col min="14593" max="14593" width="56.7109375" style="109" customWidth="1"/>
    <col min="14594" max="14633" width="6.28515625" style="109" customWidth="1"/>
    <col min="14634" max="14634" width="6.42578125" style="109" customWidth="1"/>
    <col min="14635" max="14848" width="9.140625" style="109"/>
    <col min="14849" max="14849" width="56.7109375" style="109" customWidth="1"/>
    <col min="14850" max="14889" width="6.28515625" style="109" customWidth="1"/>
    <col min="14890" max="14890" width="6.42578125" style="109" customWidth="1"/>
    <col min="14891" max="15104" width="9.140625" style="109"/>
    <col min="15105" max="15105" width="56.7109375" style="109" customWidth="1"/>
    <col min="15106" max="15145" width="6.28515625" style="109" customWidth="1"/>
    <col min="15146" max="15146" width="6.42578125" style="109" customWidth="1"/>
    <col min="15147" max="15360" width="9.140625" style="109"/>
    <col min="15361" max="15361" width="56.7109375" style="109" customWidth="1"/>
    <col min="15362" max="15401" width="6.28515625" style="109" customWidth="1"/>
    <col min="15402" max="15402" width="6.42578125" style="109" customWidth="1"/>
    <col min="15403" max="15616" width="9.140625" style="109"/>
    <col min="15617" max="15617" width="56.7109375" style="109" customWidth="1"/>
    <col min="15618" max="15657" width="6.28515625" style="109" customWidth="1"/>
    <col min="15658" max="15658" width="6.42578125" style="109" customWidth="1"/>
    <col min="15659" max="15872" width="9.140625" style="109"/>
    <col min="15873" max="15873" width="56.7109375" style="109" customWidth="1"/>
    <col min="15874" max="15913" width="6.28515625" style="109" customWidth="1"/>
    <col min="15914" max="15914" width="6.42578125" style="109" customWidth="1"/>
    <col min="15915" max="16128" width="9.140625" style="109"/>
    <col min="16129" max="16129" width="56.7109375" style="109" customWidth="1"/>
    <col min="16130" max="16169" width="6.28515625" style="109" customWidth="1"/>
    <col min="16170" max="16170" width="6.42578125" style="109" customWidth="1"/>
    <col min="16171" max="16384" width="9.140625" style="109"/>
  </cols>
  <sheetData>
    <row r="1" spans="1:41" ht="60" x14ac:dyDescent="0.25">
      <c r="A1" s="123" t="s">
        <v>134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</row>
    <row r="2" spans="1:41" ht="60" x14ac:dyDescent="0.2">
      <c r="A2" s="125" t="s">
        <v>111</v>
      </c>
      <c r="B2" s="126" t="s">
        <v>135</v>
      </c>
      <c r="C2" s="126" t="s">
        <v>136</v>
      </c>
      <c r="D2" s="126" t="s">
        <v>137</v>
      </c>
      <c r="E2" s="126" t="s">
        <v>138</v>
      </c>
      <c r="F2" s="126" t="s">
        <v>139</v>
      </c>
      <c r="G2" s="126" t="s">
        <v>140</v>
      </c>
      <c r="H2" s="126" t="s">
        <v>141</v>
      </c>
      <c r="I2" s="126" t="s">
        <v>142</v>
      </c>
      <c r="J2" s="126" t="s">
        <v>143</v>
      </c>
      <c r="K2" s="126" t="s">
        <v>144</v>
      </c>
      <c r="L2" s="126" t="s">
        <v>145</v>
      </c>
      <c r="M2" s="126" t="s">
        <v>146</v>
      </c>
      <c r="N2" s="126" t="s">
        <v>147</v>
      </c>
      <c r="O2" s="126" t="s">
        <v>148</v>
      </c>
      <c r="P2" s="126" t="s">
        <v>149</v>
      </c>
      <c r="Q2" s="126" t="s">
        <v>150</v>
      </c>
      <c r="R2" s="126" t="s">
        <v>151</v>
      </c>
      <c r="S2" s="126" t="s">
        <v>152</v>
      </c>
      <c r="T2" s="126" t="s">
        <v>153</v>
      </c>
      <c r="U2" s="126" t="s">
        <v>154</v>
      </c>
      <c r="V2" s="126" t="s">
        <v>155</v>
      </c>
      <c r="W2" s="126" t="s">
        <v>156</v>
      </c>
      <c r="X2" s="126" t="s">
        <v>157</v>
      </c>
      <c r="Y2" s="126" t="s">
        <v>158</v>
      </c>
      <c r="Z2" s="126" t="s">
        <v>159</v>
      </c>
      <c r="AA2" s="126" t="s">
        <v>160</v>
      </c>
      <c r="AB2" s="126" t="s">
        <v>161</v>
      </c>
      <c r="AC2" s="126" t="s">
        <v>162</v>
      </c>
      <c r="AD2" s="126" t="s">
        <v>163</v>
      </c>
      <c r="AE2" s="126" t="s">
        <v>164</v>
      </c>
      <c r="AF2" s="126" t="s">
        <v>165</v>
      </c>
      <c r="AG2" s="126" t="s">
        <v>166</v>
      </c>
      <c r="AH2" s="126" t="s">
        <v>167</v>
      </c>
      <c r="AI2" s="126" t="s">
        <v>168</v>
      </c>
      <c r="AJ2" s="126" t="s">
        <v>169</v>
      </c>
      <c r="AK2" s="126" t="s">
        <v>170</v>
      </c>
      <c r="AL2" s="126" t="s">
        <v>171</v>
      </c>
      <c r="AM2" s="126" t="s">
        <v>172</v>
      </c>
      <c r="AN2" s="126" t="s">
        <v>173</v>
      </c>
      <c r="AO2" s="127" t="s">
        <v>174</v>
      </c>
    </row>
    <row r="3" spans="1:41" ht="34.9" customHeight="1" x14ac:dyDescent="0.25">
      <c r="A3" s="128" t="s">
        <v>175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30"/>
    </row>
    <row r="4" spans="1:41" s="110" customFormat="1" ht="15" x14ac:dyDescent="0.25">
      <c r="A4" s="131" t="s">
        <v>112</v>
      </c>
      <c r="B4" s="132">
        <v>1.083</v>
      </c>
      <c r="C4" s="132">
        <v>1.0900000000000001</v>
      </c>
      <c r="D4" s="132">
        <v>1.0980000000000001</v>
      </c>
      <c r="E4" s="132">
        <v>1.103</v>
      </c>
      <c r="F4" s="132">
        <v>1.1140000000000001</v>
      </c>
      <c r="G4" s="132">
        <v>1.121</v>
      </c>
      <c r="H4" s="132">
        <v>1.1299999999999999</v>
      </c>
      <c r="I4" s="132">
        <v>1.135</v>
      </c>
      <c r="J4" s="132">
        <v>1.147</v>
      </c>
      <c r="K4" s="132">
        <v>1.155</v>
      </c>
      <c r="L4" s="132">
        <v>1.1639999999999999</v>
      </c>
      <c r="M4" s="132">
        <v>1.169</v>
      </c>
      <c r="N4" s="132">
        <v>1.181</v>
      </c>
      <c r="O4" s="132">
        <v>1.1890000000000001</v>
      </c>
      <c r="P4" s="132">
        <v>1.198</v>
      </c>
      <c r="Q4" s="132">
        <v>1.204</v>
      </c>
      <c r="R4" s="132">
        <v>1.216</v>
      </c>
      <c r="S4" s="132">
        <v>1.224</v>
      </c>
      <c r="T4" s="132">
        <v>1.234</v>
      </c>
      <c r="U4" s="132">
        <v>1.24</v>
      </c>
      <c r="V4" s="132">
        <v>1.2529999999999999</v>
      </c>
      <c r="W4" s="132">
        <v>1.2609999999999999</v>
      </c>
      <c r="X4" s="132">
        <v>1.2709999999999999</v>
      </c>
      <c r="Y4" s="132">
        <v>1.2769999999999999</v>
      </c>
      <c r="Z4" s="132">
        <v>1.29</v>
      </c>
      <c r="AA4" s="132">
        <v>1.2989999999999999</v>
      </c>
      <c r="AB4" s="132">
        <v>1.31</v>
      </c>
      <c r="AC4" s="132">
        <v>1.3160000000000001</v>
      </c>
      <c r="AD4" s="132">
        <v>1.329</v>
      </c>
      <c r="AE4" s="132">
        <v>1.3380000000000001</v>
      </c>
      <c r="AF4" s="132">
        <v>1.349</v>
      </c>
      <c r="AG4" s="132">
        <v>1.355</v>
      </c>
      <c r="AH4" s="132">
        <v>1.369</v>
      </c>
      <c r="AI4" s="132">
        <v>1.3779999999999999</v>
      </c>
      <c r="AJ4" s="132">
        <v>1.389</v>
      </c>
      <c r="AK4" s="132">
        <v>1.3959999999999999</v>
      </c>
      <c r="AL4" s="132">
        <v>1.41</v>
      </c>
      <c r="AM4" s="132">
        <v>1.419</v>
      </c>
      <c r="AN4" s="132">
        <v>1.43</v>
      </c>
      <c r="AO4" s="133">
        <v>1.4370000000000001</v>
      </c>
    </row>
    <row r="5" spans="1:41" s="110" customFormat="1" ht="15" x14ac:dyDescent="0.25">
      <c r="A5" s="131" t="s">
        <v>113</v>
      </c>
      <c r="B5" s="134">
        <v>2.5</v>
      </c>
      <c r="C5" s="134">
        <v>2.4</v>
      </c>
      <c r="D5" s="134">
        <v>2.5</v>
      </c>
      <c r="E5" s="134">
        <v>2.5</v>
      </c>
      <c r="F5" s="134">
        <v>2.6</v>
      </c>
      <c r="G5" s="134">
        <v>2.7</v>
      </c>
      <c r="H5" s="134">
        <v>2.8</v>
      </c>
      <c r="I5" s="134">
        <v>2.9</v>
      </c>
      <c r="J5" s="134">
        <v>2.9</v>
      </c>
      <c r="K5" s="134">
        <v>3</v>
      </c>
      <c r="L5" s="134">
        <v>3</v>
      </c>
      <c r="M5" s="134">
        <v>3</v>
      </c>
      <c r="N5" s="134">
        <v>3</v>
      </c>
      <c r="O5" s="134">
        <v>3</v>
      </c>
      <c r="P5" s="134">
        <v>3</v>
      </c>
      <c r="Q5" s="134">
        <v>3</v>
      </c>
      <c r="R5" s="134">
        <v>3</v>
      </c>
      <c r="S5" s="134">
        <v>3</v>
      </c>
      <c r="T5" s="134">
        <v>3</v>
      </c>
      <c r="U5" s="134">
        <v>3</v>
      </c>
      <c r="V5" s="134">
        <v>3</v>
      </c>
      <c r="W5" s="134">
        <v>3</v>
      </c>
      <c r="X5" s="134">
        <v>3</v>
      </c>
      <c r="Y5" s="134">
        <v>3</v>
      </c>
      <c r="Z5" s="134">
        <v>3</v>
      </c>
      <c r="AA5" s="134">
        <v>3</v>
      </c>
      <c r="AB5" s="134">
        <v>3</v>
      </c>
      <c r="AC5" s="134">
        <v>3</v>
      </c>
      <c r="AD5" s="134">
        <v>3</v>
      </c>
      <c r="AE5" s="134">
        <v>3</v>
      </c>
      <c r="AF5" s="134">
        <v>3</v>
      </c>
      <c r="AG5" s="134">
        <v>3</v>
      </c>
      <c r="AH5" s="134">
        <v>3</v>
      </c>
      <c r="AI5" s="134">
        <v>3</v>
      </c>
      <c r="AJ5" s="134">
        <v>3</v>
      </c>
      <c r="AK5" s="134">
        <v>3</v>
      </c>
      <c r="AL5" s="134">
        <v>3</v>
      </c>
      <c r="AM5" s="134">
        <v>3</v>
      </c>
      <c r="AN5" s="134">
        <v>3</v>
      </c>
      <c r="AO5" s="135">
        <v>3</v>
      </c>
    </row>
    <row r="6" spans="1:41" ht="15" x14ac:dyDescent="0.25">
      <c r="A6" s="128" t="s">
        <v>176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30"/>
    </row>
    <row r="7" spans="1:41" ht="15" x14ac:dyDescent="0.25">
      <c r="A7" s="131" t="s">
        <v>112</v>
      </c>
      <c r="B7" s="132">
        <v>1.0429999999999999</v>
      </c>
      <c r="C7" s="132">
        <v>1.046</v>
      </c>
      <c r="D7" s="132">
        <v>1.0469999999999999</v>
      </c>
      <c r="E7" s="132">
        <v>1.052</v>
      </c>
      <c r="F7" s="132">
        <v>1.0549999999999999</v>
      </c>
      <c r="G7" s="132">
        <v>1.0589999999999999</v>
      </c>
      <c r="H7" s="132">
        <v>1.0609999999999999</v>
      </c>
      <c r="I7" s="132">
        <v>1.0649999999999999</v>
      </c>
      <c r="J7" s="132">
        <v>1.069</v>
      </c>
      <c r="K7" s="132">
        <v>1.073</v>
      </c>
      <c r="L7" s="132">
        <v>1.075</v>
      </c>
      <c r="M7" s="132">
        <v>1.08</v>
      </c>
      <c r="N7" s="132">
        <v>1.0840000000000001</v>
      </c>
      <c r="O7" s="132">
        <v>1.087</v>
      </c>
      <c r="P7" s="132">
        <v>1.089</v>
      </c>
      <c r="Q7" s="132">
        <v>1.0940000000000001</v>
      </c>
      <c r="R7" s="132">
        <v>1.0980000000000001</v>
      </c>
      <c r="S7" s="132">
        <v>1.1020000000000001</v>
      </c>
      <c r="T7" s="132">
        <v>1.1040000000000001</v>
      </c>
      <c r="U7" s="132">
        <v>1.109</v>
      </c>
      <c r="V7" s="132">
        <v>1.1140000000000001</v>
      </c>
      <c r="W7" s="132">
        <v>1.117</v>
      </c>
      <c r="X7" s="132">
        <v>1.1200000000000001</v>
      </c>
      <c r="Y7" s="132">
        <v>1.125</v>
      </c>
      <c r="Z7" s="132">
        <v>1.129</v>
      </c>
      <c r="AA7" s="132">
        <v>1.133</v>
      </c>
      <c r="AB7" s="132">
        <v>1.1359999999999999</v>
      </c>
      <c r="AC7" s="132">
        <v>1.141</v>
      </c>
      <c r="AD7" s="132">
        <v>1.1459999999999999</v>
      </c>
      <c r="AE7" s="132">
        <v>1.149</v>
      </c>
      <c r="AF7" s="132">
        <v>1.1519999999999999</v>
      </c>
      <c r="AG7" s="132">
        <v>1.1579999999999999</v>
      </c>
      <c r="AH7" s="132">
        <v>1.1619999999999999</v>
      </c>
      <c r="AI7" s="132">
        <v>1.1659999999999999</v>
      </c>
      <c r="AJ7" s="132">
        <v>1.169</v>
      </c>
      <c r="AK7" s="132">
        <v>1.1739999999999999</v>
      </c>
      <c r="AL7" s="132">
        <v>1.179</v>
      </c>
      <c r="AM7" s="132">
        <v>1.1830000000000001</v>
      </c>
      <c r="AN7" s="132">
        <v>1.1870000000000001</v>
      </c>
      <c r="AO7" s="133">
        <v>1.1919999999999999</v>
      </c>
    </row>
    <row r="8" spans="1:41" ht="15" x14ac:dyDescent="0.25">
      <c r="A8" s="131" t="s">
        <v>113</v>
      </c>
      <c r="B8" s="134">
        <v>1.1000000000000001</v>
      </c>
      <c r="C8" s="134">
        <v>1.1000000000000001</v>
      </c>
      <c r="D8" s="134">
        <v>1.1000000000000001</v>
      </c>
      <c r="E8" s="134">
        <v>1.2</v>
      </c>
      <c r="F8" s="134">
        <v>1.2</v>
      </c>
      <c r="G8" s="134">
        <v>1.2</v>
      </c>
      <c r="H8" s="134">
        <v>1.2</v>
      </c>
      <c r="I8" s="134">
        <v>1.3</v>
      </c>
      <c r="J8" s="134">
        <v>1.3</v>
      </c>
      <c r="K8" s="134">
        <v>1.3</v>
      </c>
      <c r="L8" s="134">
        <v>1.3</v>
      </c>
      <c r="M8" s="134">
        <v>1.3</v>
      </c>
      <c r="N8" s="134">
        <v>1.3</v>
      </c>
      <c r="O8" s="134">
        <v>1.3</v>
      </c>
      <c r="P8" s="134">
        <v>1.3</v>
      </c>
      <c r="Q8" s="134">
        <v>1.3</v>
      </c>
      <c r="R8" s="134">
        <v>1.3</v>
      </c>
      <c r="S8" s="134">
        <v>1.4</v>
      </c>
      <c r="T8" s="134">
        <v>1.4</v>
      </c>
      <c r="U8" s="134">
        <v>1.4</v>
      </c>
      <c r="V8" s="134">
        <v>1.4</v>
      </c>
      <c r="W8" s="134">
        <v>1.4</v>
      </c>
      <c r="X8" s="134">
        <v>1.4</v>
      </c>
      <c r="Y8" s="134">
        <v>1.4</v>
      </c>
      <c r="Z8" s="134">
        <v>1.4</v>
      </c>
      <c r="AA8" s="134">
        <v>1.4</v>
      </c>
      <c r="AB8" s="134">
        <v>1.4</v>
      </c>
      <c r="AC8" s="134">
        <v>1.4</v>
      </c>
      <c r="AD8" s="134">
        <v>1.4</v>
      </c>
      <c r="AE8" s="134">
        <v>1.4</v>
      </c>
      <c r="AF8" s="134">
        <v>1.4</v>
      </c>
      <c r="AG8" s="134">
        <v>1.5</v>
      </c>
      <c r="AH8" s="134">
        <v>1.5</v>
      </c>
      <c r="AI8" s="134">
        <v>1.5</v>
      </c>
      <c r="AJ8" s="134">
        <v>1.5</v>
      </c>
      <c r="AK8" s="134">
        <v>1.5</v>
      </c>
      <c r="AL8" s="134">
        <v>1.5</v>
      </c>
      <c r="AM8" s="134">
        <v>1.5</v>
      </c>
      <c r="AN8" s="134">
        <v>1.5</v>
      </c>
      <c r="AO8" s="135">
        <v>1.5</v>
      </c>
    </row>
    <row r="9" spans="1:41" ht="15" x14ac:dyDescent="0.25">
      <c r="A9" s="128" t="s">
        <v>177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30"/>
    </row>
    <row r="10" spans="1:41" ht="15" x14ac:dyDescent="0.25">
      <c r="A10" s="131" t="s">
        <v>112</v>
      </c>
      <c r="B10" s="132">
        <v>1.089</v>
      </c>
      <c r="C10" s="132">
        <v>1.0960000000000001</v>
      </c>
      <c r="D10" s="132">
        <v>1.103</v>
      </c>
      <c r="E10" s="132">
        <v>1.1080000000000001</v>
      </c>
      <c r="F10" s="132">
        <v>1.1180000000000001</v>
      </c>
      <c r="G10" s="132">
        <v>1.125</v>
      </c>
      <c r="H10" s="132">
        <v>1.1319999999999999</v>
      </c>
      <c r="I10" s="132">
        <v>1.1379999999999999</v>
      </c>
      <c r="J10" s="132">
        <v>1.149</v>
      </c>
      <c r="K10" s="132">
        <v>1.1559999999999999</v>
      </c>
      <c r="L10" s="132">
        <v>1.163</v>
      </c>
      <c r="M10" s="132">
        <v>1.169</v>
      </c>
      <c r="N10" s="132">
        <v>1.179</v>
      </c>
      <c r="O10" s="132">
        <v>1.1859999999999999</v>
      </c>
      <c r="P10" s="132">
        <v>1.194</v>
      </c>
      <c r="Q10" s="132">
        <v>1.2</v>
      </c>
      <c r="R10" s="132">
        <v>1.2110000000000001</v>
      </c>
      <c r="S10" s="132">
        <v>1.218</v>
      </c>
      <c r="T10" s="132">
        <v>1.226</v>
      </c>
      <c r="U10" s="132">
        <v>1.232</v>
      </c>
      <c r="V10" s="132">
        <v>1.244</v>
      </c>
      <c r="W10" s="132">
        <v>1.2509999999999999</v>
      </c>
      <c r="X10" s="132">
        <v>1.26</v>
      </c>
      <c r="Y10" s="132">
        <v>1.266</v>
      </c>
      <c r="Z10" s="132">
        <v>1.2789999999999999</v>
      </c>
      <c r="AA10" s="132">
        <v>1.286</v>
      </c>
      <c r="AB10" s="132">
        <v>1.2949999999999999</v>
      </c>
      <c r="AC10" s="132">
        <v>1.3009999999999999</v>
      </c>
      <c r="AD10" s="132">
        <v>1.3140000000000001</v>
      </c>
      <c r="AE10" s="132">
        <v>1.3220000000000001</v>
      </c>
      <c r="AF10" s="132">
        <v>1.331</v>
      </c>
      <c r="AG10" s="132">
        <v>1.337</v>
      </c>
      <c r="AH10" s="132">
        <v>1.35</v>
      </c>
      <c r="AI10" s="132">
        <v>1.3580000000000001</v>
      </c>
      <c r="AJ10" s="132">
        <v>1.367</v>
      </c>
      <c r="AK10" s="132">
        <v>1.3740000000000001</v>
      </c>
      <c r="AL10" s="132">
        <v>1.387</v>
      </c>
      <c r="AM10" s="132">
        <v>1.395</v>
      </c>
      <c r="AN10" s="132">
        <v>1.405</v>
      </c>
      <c r="AO10" s="133">
        <v>1.411</v>
      </c>
    </row>
    <row r="11" spans="1:41" ht="15" x14ac:dyDescent="0.25">
      <c r="A11" s="131" t="s">
        <v>113</v>
      </c>
      <c r="B11" s="134">
        <v>2.6</v>
      </c>
      <c r="C11" s="134">
        <v>2.5</v>
      </c>
      <c r="D11" s="134">
        <v>2.5</v>
      </c>
      <c r="E11" s="134">
        <v>2.5</v>
      </c>
      <c r="F11" s="134">
        <v>2.5</v>
      </c>
      <c r="G11" s="134">
        <v>2.6</v>
      </c>
      <c r="H11" s="134">
        <v>2.6</v>
      </c>
      <c r="I11" s="134">
        <v>2.7</v>
      </c>
      <c r="J11" s="134">
        <v>2.7</v>
      </c>
      <c r="K11" s="134">
        <v>2.7</v>
      </c>
      <c r="L11" s="134">
        <v>2.7</v>
      </c>
      <c r="M11" s="134">
        <v>2.7</v>
      </c>
      <c r="N11" s="134">
        <v>2.7</v>
      </c>
      <c r="O11" s="134">
        <v>2.7</v>
      </c>
      <c r="P11" s="134">
        <v>2.7</v>
      </c>
      <c r="Q11" s="134">
        <v>2.7</v>
      </c>
      <c r="R11" s="134">
        <v>2.7</v>
      </c>
      <c r="S11" s="134">
        <v>2.7</v>
      </c>
      <c r="T11" s="134">
        <v>2.7</v>
      </c>
      <c r="U11" s="134">
        <v>2.7</v>
      </c>
      <c r="V11" s="134">
        <v>2.7</v>
      </c>
      <c r="W11" s="134">
        <v>2.7</v>
      </c>
      <c r="X11" s="134">
        <v>2.7</v>
      </c>
      <c r="Y11" s="134">
        <v>2.7</v>
      </c>
      <c r="Z11" s="134">
        <v>2.7</v>
      </c>
      <c r="AA11" s="134">
        <v>2.8</v>
      </c>
      <c r="AB11" s="134">
        <v>2.8</v>
      </c>
      <c r="AC11" s="134">
        <v>2.8</v>
      </c>
      <c r="AD11" s="134">
        <v>2.8</v>
      </c>
      <c r="AE11" s="134">
        <v>2.8</v>
      </c>
      <c r="AF11" s="134">
        <v>2.8</v>
      </c>
      <c r="AG11" s="134">
        <v>2.8</v>
      </c>
      <c r="AH11" s="134">
        <v>2.8</v>
      </c>
      <c r="AI11" s="134">
        <v>2.8</v>
      </c>
      <c r="AJ11" s="134">
        <v>2.8</v>
      </c>
      <c r="AK11" s="134">
        <v>2.8</v>
      </c>
      <c r="AL11" s="134">
        <v>2.8</v>
      </c>
      <c r="AM11" s="134">
        <v>2.8</v>
      </c>
      <c r="AN11" s="134">
        <v>2.7</v>
      </c>
      <c r="AO11" s="135">
        <v>2.7</v>
      </c>
    </row>
    <row r="12" spans="1:41" ht="15" x14ac:dyDescent="0.25">
      <c r="A12" s="128" t="s">
        <v>119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30"/>
    </row>
    <row r="13" spans="1:41" ht="15" x14ac:dyDescent="0.25">
      <c r="A13" s="131" t="s">
        <v>112</v>
      </c>
      <c r="B13" s="132">
        <v>1.1519999999999999</v>
      </c>
      <c r="C13" s="132">
        <v>1.1599999999999999</v>
      </c>
      <c r="D13" s="132">
        <v>1.167</v>
      </c>
      <c r="E13" s="132">
        <v>1.173</v>
      </c>
      <c r="F13" s="132">
        <v>1.1830000000000001</v>
      </c>
      <c r="G13" s="132">
        <v>1.1910000000000001</v>
      </c>
      <c r="H13" s="132">
        <v>1.1990000000000001</v>
      </c>
      <c r="I13" s="132">
        <v>1.206</v>
      </c>
      <c r="J13" s="132">
        <v>1.216</v>
      </c>
      <c r="K13" s="132">
        <v>1.2250000000000001</v>
      </c>
      <c r="L13" s="132">
        <v>1.234</v>
      </c>
      <c r="M13" s="132">
        <v>1.2410000000000001</v>
      </c>
      <c r="N13" s="132">
        <v>1.252</v>
      </c>
      <c r="O13" s="132">
        <v>1.2609999999999999</v>
      </c>
      <c r="P13" s="132">
        <v>1.27</v>
      </c>
      <c r="Q13" s="132">
        <v>1.2769999999999999</v>
      </c>
      <c r="R13" s="132">
        <v>1.288</v>
      </c>
      <c r="S13" s="132">
        <v>1.298</v>
      </c>
      <c r="T13" s="132">
        <v>1.3069999999999999</v>
      </c>
      <c r="U13" s="132">
        <v>1.3149999999999999</v>
      </c>
      <c r="V13" s="132">
        <v>1.3260000000000001</v>
      </c>
      <c r="W13" s="132">
        <v>1.337</v>
      </c>
      <c r="X13" s="132">
        <v>1.3460000000000001</v>
      </c>
      <c r="Y13" s="132">
        <v>1.3540000000000001</v>
      </c>
      <c r="Z13" s="132">
        <v>1.3660000000000001</v>
      </c>
      <c r="AA13" s="132">
        <v>1.3759999999999999</v>
      </c>
      <c r="AB13" s="132">
        <v>1.3859999999999999</v>
      </c>
      <c r="AC13" s="132">
        <v>1.3939999999999999</v>
      </c>
      <c r="AD13" s="132">
        <v>1.4059999999999999</v>
      </c>
      <c r="AE13" s="132">
        <v>1.417</v>
      </c>
      <c r="AF13" s="132">
        <v>1.4259999999999999</v>
      </c>
      <c r="AG13" s="132">
        <v>1.4339999999999999</v>
      </c>
      <c r="AH13" s="132">
        <v>1.4470000000000001</v>
      </c>
      <c r="AI13" s="132">
        <v>1.458</v>
      </c>
      <c r="AJ13" s="132">
        <v>1.468</v>
      </c>
      <c r="AK13" s="132">
        <v>1.476</v>
      </c>
      <c r="AL13" s="132">
        <v>1.488</v>
      </c>
      <c r="AM13" s="132">
        <v>1.5</v>
      </c>
      <c r="AN13" s="132">
        <v>1.51</v>
      </c>
      <c r="AO13" s="133">
        <v>1.518</v>
      </c>
    </row>
    <row r="14" spans="1:41" ht="15" x14ac:dyDescent="0.25">
      <c r="A14" s="131" t="s">
        <v>113</v>
      </c>
      <c r="B14" s="134">
        <v>2.2000000000000002</v>
      </c>
      <c r="C14" s="134">
        <v>2.2999999999999998</v>
      </c>
      <c r="D14" s="134">
        <v>2.4</v>
      </c>
      <c r="E14" s="134">
        <v>2.4</v>
      </c>
      <c r="F14" s="134">
        <v>2.5</v>
      </c>
      <c r="G14" s="134">
        <v>2.6</v>
      </c>
      <c r="H14" s="134">
        <v>2.7</v>
      </c>
      <c r="I14" s="134">
        <v>2.7</v>
      </c>
      <c r="J14" s="134">
        <v>2.8</v>
      </c>
      <c r="K14" s="134">
        <v>2.8</v>
      </c>
      <c r="L14" s="134">
        <v>2.8</v>
      </c>
      <c r="M14" s="134">
        <v>2.9</v>
      </c>
      <c r="N14" s="134">
        <v>2.9</v>
      </c>
      <c r="O14" s="134">
        <v>2.9</v>
      </c>
      <c r="P14" s="134">
        <v>2.9</v>
      </c>
      <c r="Q14" s="134">
        <v>2.9</v>
      </c>
      <c r="R14" s="134">
        <v>2.9</v>
      </c>
      <c r="S14" s="134">
        <v>2.9</v>
      </c>
      <c r="T14" s="134">
        <v>2.9</v>
      </c>
      <c r="U14" s="134">
        <v>3</v>
      </c>
      <c r="V14" s="134">
        <v>3</v>
      </c>
      <c r="W14" s="134">
        <v>3</v>
      </c>
      <c r="X14" s="134">
        <v>3</v>
      </c>
      <c r="Y14" s="134">
        <v>3</v>
      </c>
      <c r="Z14" s="134">
        <v>3</v>
      </c>
      <c r="AA14" s="134">
        <v>3</v>
      </c>
      <c r="AB14" s="134">
        <v>3</v>
      </c>
      <c r="AC14" s="134">
        <v>3</v>
      </c>
      <c r="AD14" s="134">
        <v>2.9</v>
      </c>
      <c r="AE14" s="134">
        <v>2.9</v>
      </c>
      <c r="AF14" s="134">
        <v>2.9</v>
      </c>
      <c r="AG14" s="134">
        <v>2.9</v>
      </c>
      <c r="AH14" s="134">
        <v>2.9</v>
      </c>
      <c r="AI14" s="134">
        <v>2.9</v>
      </c>
      <c r="AJ14" s="134">
        <v>2.9</v>
      </c>
      <c r="AK14" s="134">
        <v>2.9</v>
      </c>
      <c r="AL14" s="134">
        <v>2.9</v>
      </c>
      <c r="AM14" s="134">
        <v>2.9</v>
      </c>
      <c r="AN14" s="134">
        <v>2.9</v>
      </c>
      <c r="AO14" s="135">
        <v>2.9</v>
      </c>
    </row>
    <row r="15" spans="1:41" ht="15" x14ac:dyDescent="0.25">
      <c r="A15" s="136" t="s">
        <v>120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30"/>
    </row>
    <row r="16" spans="1:41" ht="15" x14ac:dyDescent="0.25">
      <c r="A16" s="131" t="s">
        <v>112</v>
      </c>
      <c r="B16" s="132">
        <v>1.1259999999999999</v>
      </c>
      <c r="C16" s="132">
        <v>1.133</v>
      </c>
      <c r="D16" s="132">
        <v>1.141</v>
      </c>
      <c r="E16" s="132">
        <v>1.1459999999999999</v>
      </c>
      <c r="F16" s="132">
        <v>1.157</v>
      </c>
      <c r="G16" s="132">
        <v>1.1639999999999999</v>
      </c>
      <c r="H16" s="132">
        <v>1.173</v>
      </c>
      <c r="I16" s="132">
        <v>1.179</v>
      </c>
      <c r="J16" s="132">
        <v>1.19</v>
      </c>
      <c r="K16" s="132">
        <v>1.198</v>
      </c>
      <c r="L16" s="132">
        <v>1.2070000000000001</v>
      </c>
      <c r="M16" s="132">
        <v>1.2130000000000001</v>
      </c>
      <c r="N16" s="132">
        <v>1.2250000000000001</v>
      </c>
      <c r="O16" s="132">
        <v>1.232</v>
      </c>
      <c r="P16" s="132">
        <v>1.242</v>
      </c>
      <c r="Q16" s="132">
        <v>1.248</v>
      </c>
      <c r="R16" s="132">
        <v>1.26</v>
      </c>
      <c r="S16" s="132">
        <v>1.268</v>
      </c>
      <c r="T16" s="132">
        <v>1.278</v>
      </c>
      <c r="U16" s="132">
        <v>1.2849999999999999</v>
      </c>
      <c r="V16" s="132">
        <v>1.2969999999999999</v>
      </c>
      <c r="W16" s="132">
        <v>1.306</v>
      </c>
      <c r="X16" s="132">
        <v>1.3160000000000001</v>
      </c>
      <c r="Y16" s="132">
        <v>1.323</v>
      </c>
      <c r="Z16" s="132">
        <v>1.3360000000000001</v>
      </c>
      <c r="AA16" s="132">
        <v>1.345</v>
      </c>
      <c r="AB16" s="132">
        <v>1.355</v>
      </c>
      <c r="AC16" s="132">
        <v>1.3620000000000001</v>
      </c>
      <c r="AD16" s="132">
        <v>1.375</v>
      </c>
      <c r="AE16" s="132">
        <v>1.3839999999999999</v>
      </c>
      <c r="AF16" s="132">
        <v>1.395</v>
      </c>
      <c r="AG16" s="132">
        <v>1.4019999999999999</v>
      </c>
      <c r="AH16" s="132">
        <v>1.4159999999999999</v>
      </c>
      <c r="AI16" s="132">
        <v>1.425</v>
      </c>
      <c r="AJ16" s="132">
        <v>1.4359999999999999</v>
      </c>
      <c r="AK16" s="132">
        <v>1.4430000000000001</v>
      </c>
      <c r="AL16" s="132">
        <v>1.4570000000000001</v>
      </c>
      <c r="AM16" s="132">
        <v>1.4670000000000001</v>
      </c>
      <c r="AN16" s="132">
        <v>1.478</v>
      </c>
      <c r="AO16" s="133">
        <v>1.486</v>
      </c>
    </row>
    <row r="17" spans="1:41" ht="15" x14ac:dyDescent="0.25">
      <c r="A17" s="131" t="s">
        <v>113</v>
      </c>
      <c r="B17" s="134">
        <v>2.4</v>
      </c>
      <c r="C17" s="134">
        <v>2.4</v>
      </c>
      <c r="D17" s="134">
        <v>2.4</v>
      </c>
      <c r="E17" s="134">
        <v>2.5</v>
      </c>
      <c r="F17" s="134">
        <v>2.6</v>
      </c>
      <c r="G17" s="134">
        <v>2.7</v>
      </c>
      <c r="H17" s="134">
        <v>2.7</v>
      </c>
      <c r="I17" s="134">
        <v>2.8</v>
      </c>
      <c r="J17" s="134">
        <v>2.8</v>
      </c>
      <c r="K17" s="134">
        <v>2.9</v>
      </c>
      <c r="L17" s="134">
        <v>2.9</v>
      </c>
      <c r="M17" s="134">
        <v>2.9</v>
      </c>
      <c r="N17" s="134">
        <v>2.9</v>
      </c>
      <c r="O17" s="134">
        <v>2.9</v>
      </c>
      <c r="P17" s="134">
        <v>2.9</v>
      </c>
      <c r="Q17" s="134">
        <v>2.9</v>
      </c>
      <c r="R17" s="134">
        <v>2.9</v>
      </c>
      <c r="S17" s="134">
        <v>2.9</v>
      </c>
      <c r="T17" s="134">
        <v>2.9</v>
      </c>
      <c r="U17" s="134">
        <v>2.9</v>
      </c>
      <c r="V17" s="134">
        <v>2.9</v>
      </c>
      <c r="W17" s="134">
        <v>2.9</v>
      </c>
      <c r="X17" s="134">
        <v>2.9</v>
      </c>
      <c r="Y17" s="134">
        <v>2.9</v>
      </c>
      <c r="Z17" s="134">
        <v>3</v>
      </c>
      <c r="AA17" s="134">
        <v>3</v>
      </c>
      <c r="AB17" s="134">
        <v>3</v>
      </c>
      <c r="AC17" s="134">
        <v>3</v>
      </c>
      <c r="AD17" s="134">
        <v>3</v>
      </c>
      <c r="AE17" s="134">
        <v>3</v>
      </c>
      <c r="AF17" s="134">
        <v>3</v>
      </c>
      <c r="AG17" s="134">
        <v>2.9</v>
      </c>
      <c r="AH17" s="134">
        <v>2.9</v>
      </c>
      <c r="AI17" s="134">
        <v>2.9</v>
      </c>
      <c r="AJ17" s="134">
        <v>2.9</v>
      </c>
      <c r="AK17" s="134">
        <v>2.9</v>
      </c>
      <c r="AL17" s="134">
        <v>2.9</v>
      </c>
      <c r="AM17" s="134">
        <v>2.9</v>
      </c>
      <c r="AN17" s="134">
        <v>2.9</v>
      </c>
      <c r="AO17" s="135">
        <v>2.9</v>
      </c>
    </row>
    <row r="18" spans="1:41" ht="15" x14ac:dyDescent="0.25">
      <c r="A18" s="136" t="s">
        <v>121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30"/>
    </row>
    <row r="19" spans="1:41" ht="15" x14ac:dyDescent="0.25">
      <c r="A19" s="131" t="s">
        <v>112</v>
      </c>
      <c r="B19" s="132">
        <v>1.1299999999999999</v>
      </c>
      <c r="C19" s="132">
        <v>1.1359999999999999</v>
      </c>
      <c r="D19" s="132">
        <v>1.1439999999999999</v>
      </c>
      <c r="E19" s="132">
        <v>1.149</v>
      </c>
      <c r="F19" s="132">
        <v>1.161</v>
      </c>
      <c r="G19" s="132">
        <v>1.1679999999999999</v>
      </c>
      <c r="H19" s="132">
        <v>1.1759999999999999</v>
      </c>
      <c r="I19" s="132">
        <v>1.1819999999999999</v>
      </c>
      <c r="J19" s="132">
        <v>1.194</v>
      </c>
      <c r="K19" s="132">
        <v>1.202</v>
      </c>
      <c r="L19" s="132">
        <v>1.21</v>
      </c>
      <c r="M19" s="132">
        <v>1.216</v>
      </c>
      <c r="N19" s="132">
        <v>1.228</v>
      </c>
      <c r="O19" s="132">
        <v>1.236</v>
      </c>
      <c r="P19" s="132">
        <v>1.2450000000000001</v>
      </c>
      <c r="Q19" s="132">
        <v>1.2509999999999999</v>
      </c>
      <c r="R19" s="132">
        <v>1.264</v>
      </c>
      <c r="S19" s="132">
        <v>1.272</v>
      </c>
      <c r="T19" s="132">
        <v>1.2809999999999999</v>
      </c>
      <c r="U19" s="132">
        <v>1.288</v>
      </c>
      <c r="V19" s="132">
        <v>1.3009999999999999</v>
      </c>
      <c r="W19" s="132">
        <v>1.3089999999999999</v>
      </c>
      <c r="X19" s="132">
        <v>1.319</v>
      </c>
      <c r="Y19" s="132">
        <v>1.3260000000000001</v>
      </c>
      <c r="Z19" s="132">
        <v>1.339</v>
      </c>
      <c r="AA19" s="132">
        <v>1.3480000000000001</v>
      </c>
      <c r="AB19" s="132">
        <v>1.3580000000000001</v>
      </c>
      <c r="AC19" s="132">
        <v>1.3640000000000001</v>
      </c>
      <c r="AD19" s="132">
        <v>1.3779999999999999</v>
      </c>
      <c r="AE19" s="132">
        <v>1.387</v>
      </c>
      <c r="AF19" s="132">
        <v>1.397</v>
      </c>
      <c r="AG19" s="132">
        <v>1.4039999999999999</v>
      </c>
      <c r="AH19" s="132">
        <v>1.4179999999999999</v>
      </c>
      <c r="AI19" s="132">
        <v>1.427</v>
      </c>
      <c r="AJ19" s="132">
        <v>1.4379999999999999</v>
      </c>
      <c r="AK19" s="132">
        <v>1.4450000000000001</v>
      </c>
      <c r="AL19" s="132">
        <v>1.4590000000000001</v>
      </c>
      <c r="AM19" s="132">
        <v>1.468</v>
      </c>
      <c r="AN19" s="132">
        <v>1.4790000000000001</v>
      </c>
      <c r="AO19" s="133">
        <v>1.486</v>
      </c>
    </row>
    <row r="20" spans="1:41" ht="15" x14ac:dyDescent="0.25">
      <c r="A20" s="131" t="s">
        <v>113</v>
      </c>
      <c r="B20" s="134">
        <v>2.5</v>
      </c>
      <c r="C20" s="134">
        <v>2.4</v>
      </c>
      <c r="D20" s="134">
        <v>2.4</v>
      </c>
      <c r="E20" s="134">
        <v>2.5</v>
      </c>
      <c r="F20" s="134">
        <v>2.6</v>
      </c>
      <c r="G20" s="134">
        <v>2.7</v>
      </c>
      <c r="H20" s="134">
        <v>2.7</v>
      </c>
      <c r="I20" s="134">
        <v>2.8</v>
      </c>
      <c r="J20" s="134">
        <v>2.8</v>
      </c>
      <c r="K20" s="134">
        <v>2.9</v>
      </c>
      <c r="L20" s="134">
        <v>2.9</v>
      </c>
      <c r="M20" s="134">
        <v>2.9</v>
      </c>
      <c r="N20" s="134">
        <v>2.9</v>
      </c>
      <c r="O20" s="134">
        <v>2.9</v>
      </c>
      <c r="P20" s="134">
        <v>2.9</v>
      </c>
      <c r="Q20" s="134">
        <v>2.9</v>
      </c>
      <c r="R20" s="134">
        <v>2.9</v>
      </c>
      <c r="S20" s="134">
        <v>2.9</v>
      </c>
      <c r="T20" s="134">
        <v>2.9</v>
      </c>
      <c r="U20" s="134">
        <v>2.9</v>
      </c>
      <c r="V20" s="134">
        <v>2.9</v>
      </c>
      <c r="W20" s="134">
        <v>2.9</v>
      </c>
      <c r="X20" s="134">
        <v>2.9</v>
      </c>
      <c r="Y20" s="134">
        <v>2.9</v>
      </c>
      <c r="Z20" s="134">
        <v>2.9</v>
      </c>
      <c r="AA20" s="134">
        <v>2.9</v>
      </c>
      <c r="AB20" s="134">
        <v>2.9</v>
      </c>
      <c r="AC20" s="134">
        <v>2.9</v>
      </c>
      <c r="AD20" s="134">
        <v>2.9</v>
      </c>
      <c r="AE20" s="134">
        <v>2.9</v>
      </c>
      <c r="AF20" s="134">
        <v>2.9</v>
      </c>
      <c r="AG20" s="134">
        <v>2.9</v>
      </c>
      <c r="AH20" s="134">
        <v>2.9</v>
      </c>
      <c r="AI20" s="134">
        <v>2.9</v>
      </c>
      <c r="AJ20" s="134">
        <v>2.9</v>
      </c>
      <c r="AK20" s="134">
        <v>2.9</v>
      </c>
      <c r="AL20" s="134">
        <v>2.9</v>
      </c>
      <c r="AM20" s="134">
        <v>2.9</v>
      </c>
      <c r="AN20" s="134">
        <v>2.9</v>
      </c>
      <c r="AO20" s="135">
        <v>2.9</v>
      </c>
    </row>
    <row r="21" spans="1:41" ht="15" x14ac:dyDescent="0.25">
      <c r="A21" s="128" t="s">
        <v>178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30"/>
    </row>
    <row r="22" spans="1:41" ht="15" x14ac:dyDescent="0.25">
      <c r="A22" s="131" t="s">
        <v>112</v>
      </c>
      <c r="B22" s="132">
        <v>1.1080000000000001</v>
      </c>
      <c r="C22" s="132">
        <v>1.115</v>
      </c>
      <c r="D22" s="132">
        <v>1.123</v>
      </c>
      <c r="E22" s="132">
        <v>1.127</v>
      </c>
      <c r="F22" s="132">
        <v>1.1379999999999999</v>
      </c>
      <c r="G22" s="132">
        <v>1.145</v>
      </c>
      <c r="H22" s="132">
        <v>1.1539999999999999</v>
      </c>
      <c r="I22" s="132">
        <v>1.1599999999999999</v>
      </c>
      <c r="J22" s="132">
        <v>1.1719999999999999</v>
      </c>
      <c r="K22" s="132">
        <v>1.179</v>
      </c>
      <c r="L22" s="132">
        <v>1.1879999999999999</v>
      </c>
      <c r="M22" s="132">
        <v>1.194</v>
      </c>
      <c r="N22" s="132">
        <v>1.206</v>
      </c>
      <c r="O22" s="132">
        <v>1.2130000000000001</v>
      </c>
      <c r="P22" s="132">
        <v>1.222</v>
      </c>
      <c r="Q22" s="132">
        <v>1.228</v>
      </c>
      <c r="R22" s="132">
        <v>1.2410000000000001</v>
      </c>
      <c r="S22" s="132">
        <v>1.2490000000000001</v>
      </c>
      <c r="T22" s="132">
        <v>1.258</v>
      </c>
      <c r="U22" s="132">
        <v>1.264</v>
      </c>
      <c r="V22" s="132">
        <v>1.2769999999999999</v>
      </c>
      <c r="W22" s="132">
        <v>1.2849999999999999</v>
      </c>
      <c r="X22" s="132">
        <v>1.2949999999999999</v>
      </c>
      <c r="Y22" s="132">
        <v>1.302</v>
      </c>
      <c r="Z22" s="132">
        <v>1.3149999999999999</v>
      </c>
      <c r="AA22" s="132">
        <v>1.323</v>
      </c>
      <c r="AB22" s="132">
        <v>1.3340000000000001</v>
      </c>
      <c r="AC22" s="132">
        <v>1.34</v>
      </c>
      <c r="AD22" s="132">
        <v>1.3540000000000001</v>
      </c>
      <c r="AE22" s="132">
        <v>1.3620000000000001</v>
      </c>
      <c r="AF22" s="132">
        <v>1.373</v>
      </c>
      <c r="AG22" s="132">
        <v>1.379</v>
      </c>
      <c r="AH22" s="132">
        <v>1.393</v>
      </c>
      <c r="AI22" s="132">
        <v>1.4019999999999999</v>
      </c>
      <c r="AJ22" s="132">
        <v>1.413</v>
      </c>
      <c r="AK22" s="132">
        <v>1.42</v>
      </c>
      <c r="AL22" s="132">
        <v>1.4339999999999999</v>
      </c>
      <c r="AM22" s="132">
        <v>1.4430000000000001</v>
      </c>
      <c r="AN22" s="132">
        <v>1.454</v>
      </c>
      <c r="AO22" s="133">
        <v>1.4610000000000001</v>
      </c>
    </row>
    <row r="23" spans="1:41" ht="15" x14ac:dyDescent="0.25">
      <c r="A23" s="131" t="s">
        <v>113</v>
      </c>
      <c r="B23" s="134">
        <v>2.5</v>
      </c>
      <c r="C23" s="134">
        <v>2.5</v>
      </c>
      <c r="D23" s="134">
        <v>2.5</v>
      </c>
      <c r="E23" s="134">
        <v>2.5</v>
      </c>
      <c r="F23" s="134">
        <v>2.6</v>
      </c>
      <c r="G23" s="134">
        <v>2.7</v>
      </c>
      <c r="H23" s="134">
        <v>2.7</v>
      </c>
      <c r="I23" s="134">
        <v>2.8</v>
      </c>
      <c r="J23" s="134">
        <v>2.8</v>
      </c>
      <c r="K23" s="134">
        <v>2.9</v>
      </c>
      <c r="L23" s="134">
        <v>2.9</v>
      </c>
      <c r="M23" s="134">
        <v>2.9</v>
      </c>
      <c r="N23" s="134">
        <v>2.9</v>
      </c>
      <c r="O23" s="134">
        <v>2.9</v>
      </c>
      <c r="P23" s="134">
        <v>2.9</v>
      </c>
      <c r="Q23" s="134">
        <v>2.9</v>
      </c>
      <c r="R23" s="134">
        <v>2.9</v>
      </c>
      <c r="S23" s="134">
        <v>2.9</v>
      </c>
      <c r="T23" s="134">
        <v>2.9</v>
      </c>
      <c r="U23" s="134">
        <v>2.9</v>
      </c>
      <c r="V23" s="134">
        <v>2.9</v>
      </c>
      <c r="W23" s="134">
        <v>2.9</v>
      </c>
      <c r="X23" s="134">
        <v>2.9</v>
      </c>
      <c r="Y23" s="134">
        <v>2.9</v>
      </c>
      <c r="Z23" s="134">
        <v>3</v>
      </c>
      <c r="AA23" s="134">
        <v>3</v>
      </c>
      <c r="AB23" s="134">
        <v>3</v>
      </c>
      <c r="AC23" s="134">
        <v>3</v>
      </c>
      <c r="AD23" s="134">
        <v>3</v>
      </c>
      <c r="AE23" s="134">
        <v>3</v>
      </c>
      <c r="AF23" s="134">
        <v>2.9</v>
      </c>
      <c r="AG23" s="134">
        <v>2.9</v>
      </c>
      <c r="AH23" s="134">
        <v>2.9</v>
      </c>
      <c r="AI23" s="134">
        <v>2.9</v>
      </c>
      <c r="AJ23" s="134">
        <v>2.9</v>
      </c>
      <c r="AK23" s="134">
        <v>2.9</v>
      </c>
      <c r="AL23" s="134">
        <v>2.9</v>
      </c>
      <c r="AM23" s="134">
        <v>2.9</v>
      </c>
      <c r="AN23" s="134">
        <v>2.9</v>
      </c>
      <c r="AO23" s="135">
        <v>2.9</v>
      </c>
    </row>
    <row r="24" spans="1:41" ht="15" x14ac:dyDescent="0.25">
      <c r="A24" s="136" t="s">
        <v>114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30"/>
    </row>
    <row r="25" spans="1:41" ht="15" x14ac:dyDescent="0.25">
      <c r="A25" s="131" t="s">
        <v>112</v>
      </c>
      <c r="B25" s="132">
        <v>1.101</v>
      </c>
      <c r="C25" s="132">
        <v>1.107</v>
      </c>
      <c r="D25" s="132">
        <v>1.113</v>
      </c>
      <c r="E25" s="132">
        <v>1.117</v>
      </c>
      <c r="F25" s="132">
        <v>1.1240000000000001</v>
      </c>
      <c r="G25" s="132">
        <v>1.129</v>
      </c>
      <c r="H25" s="132">
        <v>1.1359999999999999</v>
      </c>
      <c r="I25" s="132">
        <v>1.141</v>
      </c>
      <c r="J25" s="132">
        <v>1.1479999999999999</v>
      </c>
      <c r="K25" s="132">
        <v>1.1539999999999999</v>
      </c>
      <c r="L25" s="132">
        <v>1.1599999999999999</v>
      </c>
      <c r="M25" s="132">
        <v>1.1659999999999999</v>
      </c>
      <c r="N25" s="132">
        <v>1.1739999999999999</v>
      </c>
      <c r="O25" s="132">
        <v>1.18</v>
      </c>
      <c r="P25" s="132">
        <v>1.1870000000000001</v>
      </c>
      <c r="Q25" s="132">
        <v>1.1930000000000001</v>
      </c>
      <c r="R25" s="132">
        <v>1.2010000000000001</v>
      </c>
      <c r="S25" s="132">
        <v>1.208</v>
      </c>
      <c r="T25" s="132">
        <v>1.2150000000000001</v>
      </c>
      <c r="U25" s="132">
        <v>1.222</v>
      </c>
      <c r="V25" s="132">
        <v>1.23</v>
      </c>
      <c r="W25" s="132">
        <v>1.2370000000000001</v>
      </c>
      <c r="X25" s="132">
        <v>1.244</v>
      </c>
      <c r="Y25" s="132">
        <v>1.2509999999999999</v>
      </c>
      <c r="Z25" s="132">
        <v>1.26</v>
      </c>
      <c r="AA25" s="132">
        <v>1.2669999999999999</v>
      </c>
      <c r="AB25" s="132">
        <v>1.2749999999999999</v>
      </c>
      <c r="AC25" s="132">
        <v>1.2809999999999999</v>
      </c>
      <c r="AD25" s="132">
        <v>1.29</v>
      </c>
      <c r="AE25" s="132">
        <v>1.298</v>
      </c>
      <c r="AF25" s="132">
        <v>1.306</v>
      </c>
      <c r="AG25" s="132">
        <v>1.3120000000000001</v>
      </c>
      <c r="AH25" s="132">
        <v>1.321</v>
      </c>
      <c r="AI25" s="132">
        <v>1.329</v>
      </c>
      <c r="AJ25" s="132">
        <v>1.337</v>
      </c>
      <c r="AK25" s="132">
        <v>1.3440000000000001</v>
      </c>
      <c r="AL25" s="132">
        <v>1.353</v>
      </c>
      <c r="AM25" s="132">
        <v>1.361</v>
      </c>
      <c r="AN25" s="132">
        <v>1.369</v>
      </c>
      <c r="AO25" s="133">
        <v>1.3759999999999999</v>
      </c>
    </row>
    <row r="26" spans="1:41" ht="15" x14ac:dyDescent="0.25">
      <c r="A26" s="131" t="s">
        <v>113</v>
      </c>
      <c r="B26" s="134">
        <v>1.3</v>
      </c>
      <c r="C26" s="134">
        <v>1.5</v>
      </c>
      <c r="D26" s="134">
        <v>1.7</v>
      </c>
      <c r="E26" s="134">
        <v>1.9</v>
      </c>
      <c r="F26" s="134">
        <v>2</v>
      </c>
      <c r="G26" s="134">
        <v>2.1</v>
      </c>
      <c r="H26" s="134">
        <v>2</v>
      </c>
      <c r="I26" s="134">
        <v>2.1</v>
      </c>
      <c r="J26" s="134">
        <v>2.1</v>
      </c>
      <c r="K26" s="134">
        <v>2.1</v>
      </c>
      <c r="L26" s="134">
        <v>2.1</v>
      </c>
      <c r="M26" s="134">
        <v>2.2000000000000002</v>
      </c>
      <c r="N26" s="134">
        <v>2.2000000000000002</v>
      </c>
      <c r="O26" s="134">
        <v>2.2000000000000002</v>
      </c>
      <c r="P26" s="134">
        <v>2.2999999999999998</v>
      </c>
      <c r="Q26" s="134">
        <v>2.2999999999999998</v>
      </c>
      <c r="R26" s="134">
        <v>2.2999999999999998</v>
      </c>
      <c r="S26" s="134">
        <v>2.2999999999999998</v>
      </c>
      <c r="T26" s="134">
        <v>2.4</v>
      </c>
      <c r="U26" s="134">
        <v>2.4</v>
      </c>
      <c r="V26" s="134">
        <v>2.4</v>
      </c>
      <c r="W26" s="134">
        <v>2.4</v>
      </c>
      <c r="X26" s="134">
        <v>2.4</v>
      </c>
      <c r="Y26" s="134">
        <v>2.4</v>
      </c>
      <c r="Z26" s="134">
        <v>2.4</v>
      </c>
      <c r="AA26" s="134">
        <v>2.4</v>
      </c>
      <c r="AB26" s="134">
        <v>2.4</v>
      </c>
      <c r="AC26" s="134">
        <v>2.4</v>
      </c>
      <c r="AD26" s="134">
        <v>2.4</v>
      </c>
      <c r="AE26" s="134">
        <v>2.4</v>
      </c>
      <c r="AF26" s="134">
        <v>2.4</v>
      </c>
      <c r="AG26" s="134">
        <v>2.4</v>
      </c>
      <c r="AH26" s="134">
        <v>2.4</v>
      </c>
      <c r="AI26" s="134">
        <v>2.4</v>
      </c>
      <c r="AJ26" s="134">
        <v>2.4</v>
      </c>
      <c r="AK26" s="134">
        <v>2.4</v>
      </c>
      <c r="AL26" s="134">
        <v>2.4</v>
      </c>
      <c r="AM26" s="134">
        <v>2.4</v>
      </c>
      <c r="AN26" s="134">
        <v>2.4</v>
      </c>
      <c r="AO26" s="135">
        <v>2.4</v>
      </c>
    </row>
    <row r="27" spans="1:41" ht="15" x14ac:dyDescent="0.25">
      <c r="A27" s="128" t="s">
        <v>179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30"/>
    </row>
    <row r="28" spans="1:41" ht="15" x14ac:dyDescent="0.25">
      <c r="A28" s="131" t="s">
        <v>112</v>
      </c>
      <c r="B28" s="132">
        <v>1.1080000000000001</v>
      </c>
      <c r="C28" s="132">
        <v>1.115</v>
      </c>
      <c r="D28" s="132">
        <v>1.1220000000000001</v>
      </c>
      <c r="E28" s="132">
        <v>1.1259999999999999</v>
      </c>
      <c r="F28" s="132">
        <v>1.1379999999999999</v>
      </c>
      <c r="G28" s="132">
        <v>1.145</v>
      </c>
      <c r="H28" s="132">
        <v>1.153</v>
      </c>
      <c r="I28" s="132">
        <v>1.157</v>
      </c>
      <c r="J28" s="132">
        <v>1.169</v>
      </c>
      <c r="K28" s="132">
        <v>1.177</v>
      </c>
      <c r="L28" s="132">
        <v>1.1850000000000001</v>
      </c>
      <c r="M28" s="132">
        <v>1.1890000000000001</v>
      </c>
      <c r="N28" s="132">
        <v>1.202</v>
      </c>
      <c r="O28" s="132">
        <v>1.21</v>
      </c>
      <c r="P28" s="132">
        <v>1.218</v>
      </c>
      <c r="Q28" s="132">
        <v>1.2230000000000001</v>
      </c>
      <c r="R28" s="132">
        <v>1.2350000000000001</v>
      </c>
      <c r="S28" s="132">
        <v>1.244</v>
      </c>
      <c r="T28" s="132">
        <v>1.252</v>
      </c>
      <c r="U28" s="132">
        <v>1.2569999999999999</v>
      </c>
      <c r="V28" s="132">
        <v>1.27</v>
      </c>
      <c r="W28" s="132">
        <v>1.2789999999999999</v>
      </c>
      <c r="X28" s="132">
        <v>1.288</v>
      </c>
      <c r="Y28" s="132">
        <v>1.2929999999999999</v>
      </c>
      <c r="Z28" s="132">
        <v>1.306</v>
      </c>
      <c r="AA28" s="132">
        <v>1.3149999999999999</v>
      </c>
      <c r="AB28" s="132">
        <v>1.3240000000000001</v>
      </c>
      <c r="AC28" s="132">
        <v>1.329</v>
      </c>
      <c r="AD28" s="132">
        <v>1.343</v>
      </c>
      <c r="AE28" s="132">
        <v>1.3520000000000001</v>
      </c>
      <c r="AF28" s="132">
        <v>1.361</v>
      </c>
      <c r="AG28" s="132">
        <v>1.3660000000000001</v>
      </c>
      <c r="AH28" s="132">
        <v>1.38</v>
      </c>
      <c r="AI28" s="132">
        <v>1.39</v>
      </c>
      <c r="AJ28" s="132">
        <v>1.399</v>
      </c>
      <c r="AK28" s="132">
        <v>1.4039999999999999</v>
      </c>
      <c r="AL28" s="132">
        <v>1.419</v>
      </c>
      <c r="AM28" s="132">
        <v>1.429</v>
      </c>
      <c r="AN28" s="132">
        <v>1.4379999999999999</v>
      </c>
      <c r="AO28" s="133">
        <v>1.444</v>
      </c>
    </row>
    <row r="29" spans="1:41" ht="15" x14ac:dyDescent="0.25">
      <c r="A29" s="131" t="s">
        <v>113</v>
      </c>
      <c r="B29" s="134">
        <v>2.2999999999999998</v>
      </c>
      <c r="C29" s="134">
        <v>2.2999999999999998</v>
      </c>
      <c r="D29" s="134">
        <v>2.4</v>
      </c>
      <c r="E29" s="134">
        <v>2.5</v>
      </c>
      <c r="F29" s="134">
        <v>2.6</v>
      </c>
      <c r="G29" s="134">
        <v>2.6</v>
      </c>
      <c r="H29" s="134">
        <v>2.7</v>
      </c>
      <c r="I29" s="134">
        <v>2.7</v>
      </c>
      <c r="J29" s="134">
        <v>2.7</v>
      </c>
      <c r="K29" s="134">
        <v>2.8</v>
      </c>
      <c r="L29" s="134">
        <v>2.8</v>
      </c>
      <c r="M29" s="134">
        <v>2.8</v>
      </c>
      <c r="N29" s="134">
        <v>2.8</v>
      </c>
      <c r="O29" s="134">
        <v>2.8</v>
      </c>
      <c r="P29" s="134">
        <v>2.8</v>
      </c>
      <c r="Q29" s="134">
        <v>2.8</v>
      </c>
      <c r="R29" s="134">
        <v>2.8</v>
      </c>
      <c r="S29" s="134">
        <v>2.8</v>
      </c>
      <c r="T29" s="134">
        <v>2.8</v>
      </c>
      <c r="U29" s="134">
        <v>2.8</v>
      </c>
      <c r="V29" s="134">
        <v>2.8</v>
      </c>
      <c r="W29" s="134">
        <v>2.8</v>
      </c>
      <c r="X29" s="134">
        <v>2.8</v>
      </c>
      <c r="Y29" s="134">
        <v>2.8</v>
      </c>
      <c r="Z29" s="134">
        <v>2.8</v>
      </c>
      <c r="AA29" s="134">
        <v>2.8</v>
      </c>
      <c r="AB29" s="134">
        <v>2.8</v>
      </c>
      <c r="AC29" s="134">
        <v>2.8</v>
      </c>
      <c r="AD29" s="134">
        <v>2.8</v>
      </c>
      <c r="AE29" s="134">
        <v>2.8</v>
      </c>
      <c r="AF29" s="134">
        <v>2.8</v>
      </c>
      <c r="AG29" s="134">
        <v>2.8</v>
      </c>
      <c r="AH29" s="134">
        <v>2.8</v>
      </c>
      <c r="AI29" s="134">
        <v>2.8</v>
      </c>
      <c r="AJ29" s="134">
        <v>2.8</v>
      </c>
      <c r="AK29" s="134">
        <v>2.8</v>
      </c>
      <c r="AL29" s="134">
        <v>2.8</v>
      </c>
      <c r="AM29" s="134">
        <v>2.8</v>
      </c>
      <c r="AN29" s="134">
        <v>2.8</v>
      </c>
      <c r="AO29" s="135">
        <v>2.8</v>
      </c>
    </row>
    <row r="30" spans="1:41" ht="15" x14ac:dyDescent="0.25">
      <c r="A30" s="136" t="s">
        <v>115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30"/>
    </row>
    <row r="31" spans="1:41" ht="24" customHeight="1" x14ac:dyDescent="0.25">
      <c r="A31" s="131" t="s">
        <v>112</v>
      </c>
      <c r="B31" s="132">
        <v>1.2430000000000001</v>
      </c>
      <c r="C31" s="132">
        <v>1.25</v>
      </c>
      <c r="D31" s="132">
        <v>1.258</v>
      </c>
      <c r="E31" s="132">
        <v>1.2629999999999999</v>
      </c>
      <c r="F31" s="132">
        <v>1.274</v>
      </c>
      <c r="G31" s="132">
        <v>1.282</v>
      </c>
      <c r="H31" s="132">
        <v>1.29</v>
      </c>
      <c r="I31" s="132">
        <v>1.2949999999999999</v>
      </c>
      <c r="J31" s="132">
        <v>1.306</v>
      </c>
      <c r="K31" s="132">
        <v>1.3140000000000001</v>
      </c>
      <c r="L31" s="132">
        <v>1.323</v>
      </c>
      <c r="M31" s="132">
        <v>1.3280000000000001</v>
      </c>
      <c r="N31" s="132">
        <v>1.34</v>
      </c>
      <c r="O31" s="132">
        <v>1.3480000000000001</v>
      </c>
      <c r="P31" s="132">
        <v>1.357</v>
      </c>
      <c r="Q31" s="132">
        <v>1.363</v>
      </c>
      <c r="R31" s="132">
        <v>1.375</v>
      </c>
      <c r="S31" s="132">
        <v>1.3839999999999999</v>
      </c>
      <c r="T31" s="132">
        <v>1.393</v>
      </c>
      <c r="U31" s="132">
        <v>1.399</v>
      </c>
      <c r="V31" s="132">
        <v>1.411</v>
      </c>
      <c r="W31" s="132">
        <v>1.42</v>
      </c>
      <c r="X31" s="132">
        <v>1.43</v>
      </c>
      <c r="Y31" s="132">
        <v>1.4350000000000001</v>
      </c>
      <c r="Z31" s="132">
        <v>1.448</v>
      </c>
      <c r="AA31" s="132">
        <v>1.4570000000000001</v>
      </c>
      <c r="AB31" s="132">
        <v>1.4670000000000001</v>
      </c>
      <c r="AC31" s="132">
        <v>1.4730000000000001</v>
      </c>
      <c r="AD31" s="132">
        <v>1.486</v>
      </c>
      <c r="AE31" s="132">
        <v>1.4950000000000001</v>
      </c>
      <c r="AF31" s="132">
        <v>1.5049999999999999</v>
      </c>
      <c r="AG31" s="132">
        <v>1.5109999999999999</v>
      </c>
      <c r="AH31" s="132">
        <v>1.524</v>
      </c>
      <c r="AI31" s="132">
        <v>1.534</v>
      </c>
      <c r="AJ31" s="132">
        <v>1.544</v>
      </c>
      <c r="AK31" s="132">
        <v>1.55</v>
      </c>
      <c r="AL31" s="132">
        <v>1.5640000000000001</v>
      </c>
      <c r="AM31" s="132">
        <v>1.573</v>
      </c>
      <c r="AN31" s="132">
        <v>1.5840000000000001</v>
      </c>
      <c r="AO31" s="133">
        <v>1.59</v>
      </c>
    </row>
    <row r="32" spans="1:41" ht="15" x14ac:dyDescent="0.25">
      <c r="A32" s="137" t="s">
        <v>113</v>
      </c>
      <c r="B32" s="138">
        <v>1.6</v>
      </c>
      <c r="C32" s="138">
        <v>1.7000000000000002</v>
      </c>
      <c r="D32" s="138">
        <v>1.7000000000000002</v>
      </c>
      <c r="E32" s="138">
        <v>1.7999999999999998</v>
      </c>
      <c r="F32" s="138">
        <v>1.9</v>
      </c>
      <c r="G32" s="138">
        <v>1.9</v>
      </c>
      <c r="H32" s="138">
        <v>1.8</v>
      </c>
      <c r="I32" s="138">
        <v>1.8</v>
      </c>
      <c r="J32" s="138">
        <v>1.7</v>
      </c>
      <c r="K32" s="138">
        <v>1.8</v>
      </c>
      <c r="L32" s="138">
        <v>1.9</v>
      </c>
      <c r="M32" s="138">
        <v>1.9</v>
      </c>
      <c r="N32" s="138">
        <v>2.1</v>
      </c>
      <c r="O32" s="138">
        <v>2.1</v>
      </c>
      <c r="P32" s="138">
        <v>2.1</v>
      </c>
      <c r="Q32" s="138">
        <v>2.1</v>
      </c>
      <c r="R32" s="138">
        <v>2.1</v>
      </c>
      <c r="S32" s="138">
        <v>2.1</v>
      </c>
      <c r="T32" s="138">
        <v>2.1</v>
      </c>
      <c r="U32" s="138">
        <v>2.1</v>
      </c>
      <c r="V32" s="138">
        <v>2.2000000000000002</v>
      </c>
      <c r="W32" s="138">
        <v>2.2000000000000002</v>
      </c>
      <c r="X32" s="138">
        <v>2.2000000000000002</v>
      </c>
      <c r="Y32" s="138">
        <v>2.1</v>
      </c>
      <c r="Z32" s="138">
        <v>2.1</v>
      </c>
      <c r="AA32" s="138">
        <v>2.2000000000000002</v>
      </c>
      <c r="AB32" s="138">
        <v>2.2000000000000002</v>
      </c>
      <c r="AC32" s="138">
        <v>2.2000000000000002</v>
      </c>
      <c r="AD32" s="138">
        <v>2.2000000000000002</v>
      </c>
      <c r="AE32" s="138">
        <v>2.2000000000000002</v>
      </c>
      <c r="AF32" s="138">
        <v>2.2000000000000002</v>
      </c>
      <c r="AG32" s="138">
        <v>2.2000000000000002</v>
      </c>
      <c r="AH32" s="138">
        <v>2.2000000000000002</v>
      </c>
      <c r="AI32" s="138">
        <v>2.2000000000000002</v>
      </c>
      <c r="AJ32" s="138">
        <v>2.2000000000000002</v>
      </c>
      <c r="AK32" s="138">
        <v>2.2000000000000002</v>
      </c>
      <c r="AL32" s="138">
        <v>2.2000000000000002</v>
      </c>
      <c r="AM32" s="138">
        <v>2.2000000000000002</v>
      </c>
      <c r="AN32" s="138">
        <v>2.2000000000000002</v>
      </c>
      <c r="AO32" s="139">
        <v>2.2000000000000002</v>
      </c>
    </row>
    <row r="33" spans="1:41" ht="15" x14ac:dyDescent="0.25">
      <c r="A33" s="140" t="s">
        <v>180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</row>
    <row r="34" spans="1:41" ht="36" customHeight="1" x14ac:dyDescent="0.25">
      <c r="A34" s="124" t="s">
        <v>181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</row>
    <row r="35" spans="1:41" ht="15" x14ac:dyDescent="0.25">
      <c r="A35" s="124" t="s">
        <v>182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</row>
    <row r="36" spans="1:41" ht="15" x14ac:dyDescent="0.25">
      <c r="A36" s="124" t="s">
        <v>183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</row>
    <row r="37" spans="1:41" ht="15" x14ac:dyDescent="0.25">
      <c r="A37" s="124" t="s">
        <v>184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</row>
    <row r="38" spans="1:41" ht="15" x14ac:dyDescent="0.25">
      <c r="A38" s="141">
        <v>43179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</row>
    <row r="39" spans="1:41" x14ac:dyDescent="0.2">
      <c r="B39" s="111">
        <f>+B5/100</f>
        <v>2.5000000000000001E-2</v>
      </c>
      <c r="C39" s="112">
        <f>+F5/100</f>
        <v>2.6000000000000002E-2</v>
      </c>
      <c r="D39" s="112">
        <f>(1+B39)*(1+C39)</f>
        <v>1.05165</v>
      </c>
    </row>
  </sheetData>
  <pageMargins left="0.25" right="0.25" top="0.75" bottom="0.75" header="0.3" footer="0.3"/>
  <pageSetup scale="85" orientation="landscape" r:id="rId1"/>
  <headerFooter>
    <oddFooter>&amp;L&amp;F
Worksheet: &amp;A&amp;R&amp;D &amp;T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SFY19_GMEsummary</vt:lpstr>
      <vt:lpstr>SFY19_GME</vt:lpstr>
      <vt:lpstr>Days_19GME</vt:lpstr>
      <vt:lpstr>Queries 17</vt:lpstr>
      <vt:lpstr>Market Basket</vt:lpstr>
      <vt:lpstr>'Market Basket'!Print_Area</vt:lpstr>
      <vt:lpstr>SFY19_GME!Print_Area</vt:lpstr>
      <vt:lpstr>SFY19_GMEsummary!Print_Area</vt:lpstr>
      <vt:lpstr>'Market Basket'!Print_Titles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Cecil, Roberta C.</cp:lastModifiedBy>
  <cp:lastPrinted>2018-06-04T17:48:35Z</cp:lastPrinted>
  <dcterms:created xsi:type="dcterms:W3CDTF">2015-09-21T13:32:29Z</dcterms:created>
  <dcterms:modified xsi:type="dcterms:W3CDTF">2018-07-11T15:37:59Z</dcterms:modified>
</cp:coreProperties>
</file>