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720" yWindow="405" windowWidth="17955" windowHeight="12045" firstSheet="1" activeTab="1"/>
  </bookViews>
  <sheets>
    <sheet name="2020 1st qtr interim pmt" sheetId="23" state="hidden" r:id="rId1"/>
    <sheet name="2020" sheetId="11" r:id="rId2"/>
    <sheet name="General IP" sheetId="7" r:id="rId3"/>
    <sheet name="Small IP" sheetId="8" r:id="rId4"/>
    <sheet name="Mid IP" sheetId="19" r:id="rId5"/>
    <sheet name="Large IP" sheetId="6" r:id="rId6"/>
    <sheet name="General OP" sheetId="5" r:id="rId7"/>
    <sheet name="Mid OP" sheetId="2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 localSheetId="1">#REF!</definedName>
    <definedName name="\p" localSheetId="2">#REF!</definedName>
    <definedName name="\p" localSheetId="6">#REF!</definedName>
    <definedName name="\p" localSheetId="5">#REF!</definedName>
    <definedName name="\p" localSheetId="4">#REF!</definedName>
    <definedName name="\p" localSheetId="7">#REF!</definedName>
    <definedName name="\p" localSheetId="3">#REF!</definedName>
    <definedName name="\p">#REF!</definedName>
    <definedName name="\s" localSheetId="1">#REF!</definedName>
    <definedName name="\s" localSheetId="2">#REF!</definedName>
    <definedName name="\s" localSheetId="6">#REF!</definedName>
    <definedName name="\s" localSheetId="5">#REF!</definedName>
    <definedName name="\s" localSheetId="4">#REF!</definedName>
    <definedName name="\s" localSheetId="7">#REF!</definedName>
    <definedName name="\s" localSheetId="3">#REF!</definedName>
    <definedName name="\s">#REF!</definedName>
    <definedName name="_Fill" localSheetId="1" hidden="1">#REF!</definedName>
    <definedName name="_Fill" localSheetId="2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7" hidden="1">#REF!</definedName>
    <definedName name="_Fill" localSheetId="3" hidden="1">#REF!</definedName>
    <definedName name="_Fill" hidden="1">#REF!</definedName>
    <definedName name="_fy13" localSheetId="1">#REF!</definedName>
    <definedName name="_fy13" localSheetId="2">#REF!</definedName>
    <definedName name="_fy13" localSheetId="6">#REF!</definedName>
    <definedName name="_fy13" localSheetId="5">#REF!</definedName>
    <definedName name="_fy13" localSheetId="4">#REF!</definedName>
    <definedName name="_fy13" localSheetId="7">#REF!</definedName>
    <definedName name="_fy13" localSheetId="3">#REF!</definedName>
    <definedName name="_fy13">#REF!</definedName>
    <definedName name="_T2" localSheetId="1">#REF!</definedName>
    <definedName name="_T2" localSheetId="2">#REF!</definedName>
    <definedName name="_T2" localSheetId="6">#REF!</definedName>
    <definedName name="_T2" localSheetId="5">#REF!</definedName>
    <definedName name="_T2" localSheetId="4">#REF!</definedName>
    <definedName name="_T2" localSheetId="7">#REF!</definedName>
    <definedName name="_T2" localSheetId="3">#REF!</definedName>
    <definedName name="_T2">#REF!</definedName>
    <definedName name="_t3" localSheetId="1">#REF!</definedName>
    <definedName name="_t3" localSheetId="2">#REF!</definedName>
    <definedName name="_t3" localSheetId="6">#REF!</definedName>
    <definedName name="_t3" localSheetId="5">#REF!</definedName>
    <definedName name="_t3" localSheetId="4">#REF!</definedName>
    <definedName name="_t3" localSheetId="7">#REF!</definedName>
    <definedName name="_t3" localSheetId="3">#REF!</definedName>
    <definedName name="_t3">#REF!</definedName>
    <definedName name="A" localSheetId="1">#REF!</definedName>
    <definedName name="A" localSheetId="2">#REF!</definedName>
    <definedName name="A" localSheetId="6">#REF!</definedName>
    <definedName name="A" localSheetId="5">#REF!</definedName>
    <definedName name="A" localSheetId="4">#REF!</definedName>
    <definedName name="A" localSheetId="7">#REF!</definedName>
    <definedName name="A" localSheetId="3">#REF!</definedName>
    <definedName name="A">#REF!</definedName>
    <definedName name="BaseRates" localSheetId="1">#REF!</definedName>
    <definedName name="BaseRates" localSheetId="2">#REF!</definedName>
    <definedName name="BaseRates" localSheetId="6">#REF!</definedName>
    <definedName name="BaseRates" localSheetId="5">#REF!</definedName>
    <definedName name="BaseRates" localSheetId="4">#REF!</definedName>
    <definedName name="BaseRates" localSheetId="7">#REF!</definedName>
    <definedName name="BaseRates" localSheetId="3">#REF!</definedName>
    <definedName name="BaseRates">#REF!</definedName>
    <definedName name="CAT_SUMM" localSheetId="1">#REF!</definedName>
    <definedName name="CAT_SUMM" localSheetId="2">#REF!</definedName>
    <definedName name="CAT_SUMM" localSheetId="6">#REF!</definedName>
    <definedName name="CAT_SUMM" localSheetId="5">#REF!</definedName>
    <definedName name="CAT_SUMM" localSheetId="4">#REF!</definedName>
    <definedName name="CAT_SUMM" localSheetId="7">#REF!</definedName>
    <definedName name="CAT_SUMM" localSheetId="3">#REF!</definedName>
    <definedName name="CAT_SUMM">#REF!</definedName>
    <definedName name="codes" localSheetId="1">#REF!</definedName>
    <definedName name="codes" localSheetId="2">#REF!</definedName>
    <definedName name="codes" localSheetId="6">#REF!</definedName>
    <definedName name="codes" localSheetId="5">#REF!</definedName>
    <definedName name="codes" localSheetId="4">#REF!</definedName>
    <definedName name="codes" localSheetId="7">#REF!</definedName>
    <definedName name="codes" localSheetId="3">#REF!</definedName>
    <definedName name="codes">#REF!</definedName>
    <definedName name="COPIES" localSheetId="1">#REF!</definedName>
    <definedName name="COPIES" localSheetId="2">#REF!</definedName>
    <definedName name="COPIES" localSheetId="6">#REF!</definedName>
    <definedName name="COPIES" localSheetId="5">#REF!</definedName>
    <definedName name="COPIES" localSheetId="4">#REF!</definedName>
    <definedName name="COPIES" localSheetId="7">#REF!</definedName>
    <definedName name="COPIES" localSheetId="3">#REF!</definedName>
    <definedName name="COPIES">#REF!</definedName>
    <definedName name="COSImpact" localSheetId="1">#REF!</definedName>
    <definedName name="COSImpact" localSheetId="2">#REF!</definedName>
    <definedName name="COSImpact" localSheetId="6">#REF!</definedName>
    <definedName name="COSImpact" localSheetId="5">#REF!</definedName>
    <definedName name="COSImpact" localSheetId="4">#REF!</definedName>
    <definedName name="COSImpact" localSheetId="7">#REF!</definedName>
    <definedName name="COSImpact" localSheetId="3">#REF!</definedName>
    <definedName name="COSImpact">#REF!</definedName>
    <definedName name="cost2charges" localSheetId="1">#REF!</definedName>
    <definedName name="cost2charges" localSheetId="2">#REF!</definedName>
    <definedName name="cost2charges" localSheetId="6">#REF!</definedName>
    <definedName name="cost2charges" localSheetId="5">#REF!</definedName>
    <definedName name="cost2charges" localSheetId="4">#REF!</definedName>
    <definedName name="cost2charges" localSheetId="7">#REF!</definedName>
    <definedName name="cost2charges" localSheetId="3">#REF!</definedName>
    <definedName name="cost2charges">#REF!</definedName>
    <definedName name="COUNTER" localSheetId="1">#REF!</definedName>
    <definedName name="COUNTER" localSheetId="2">#REF!</definedName>
    <definedName name="COUNTER" localSheetId="6">#REF!</definedName>
    <definedName name="COUNTER" localSheetId="5">#REF!</definedName>
    <definedName name="COUNTER" localSheetId="4">#REF!</definedName>
    <definedName name="COUNTER" localSheetId="7">#REF!</definedName>
    <definedName name="COUNTER" localSheetId="3">#REF!</definedName>
    <definedName name="COUNTER">#REF!</definedName>
    <definedName name="crextract">[1]crextract!$A$4:$T$34</definedName>
    <definedName name="CY2001_AllPIPFinal" localSheetId="1">#REF!</definedName>
    <definedName name="CY2001_AllPIPFinal" localSheetId="2">#REF!</definedName>
    <definedName name="CY2001_AllPIPFinal" localSheetId="6">#REF!</definedName>
    <definedName name="CY2001_AllPIPFinal" localSheetId="5">#REF!</definedName>
    <definedName name="CY2001_AllPIPFinal" localSheetId="4">#REF!</definedName>
    <definedName name="CY2001_AllPIPFinal" localSheetId="7">#REF!</definedName>
    <definedName name="CY2001_AllPIPFinal" localSheetId="3">#REF!</definedName>
    <definedName name="CY2001_AllPIPFinal">#REF!</definedName>
    <definedName name="CY2001Summary_Final" localSheetId="1">#REF!</definedName>
    <definedName name="CY2001Summary_Final" localSheetId="2">#REF!</definedName>
    <definedName name="CY2001Summary_Final" localSheetId="6">#REF!</definedName>
    <definedName name="CY2001Summary_Final" localSheetId="5">#REF!</definedName>
    <definedName name="CY2001Summary_Final" localSheetId="4">#REF!</definedName>
    <definedName name="CY2001Summary_Final" localSheetId="7">#REF!</definedName>
    <definedName name="CY2001Summary_Final" localSheetId="3">#REF!</definedName>
    <definedName name="CY2001Summary_Final">#REF!</definedName>
    <definedName name="_xlnm.Database" localSheetId="1">#REF!</definedName>
    <definedName name="_xlnm.Database" localSheetId="2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7">#REF!</definedName>
    <definedName name="_xlnm.Database" localSheetId="3">#REF!</definedName>
    <definedName name="_xlnm.Database">#REF!</definedName>
    <definedName name="DAYS_SUMM" localSheetId="1">#REF!</definedName>
    <definedName name="DAYS_SUMM" localSheetId="2">#REF!</definedName>
    <definedName name="DAYS_SUMM" localSheetId="6">#REF!</definedName>
    <definedName name="DAYS_SUMM" localSheetId="5">#REF!</definedName>
    <definedName name="DAYS_SUMM" localSheetId="4">#REF!</definedName>
    <definedName name="DAYS_SUMM" localSheetId="7">#REF!</definedName>
    <definedName name="DAYS_SUMM" localSheetId="3">#REF!</definedName>
    <definedName name="DAYS_SUMM">#REF!</definedName>
    <definedName name="Disch_desc">[2]Lists!$G$3:$G$57</definedName>
    <definedName name="DRG_Label" localSheetId="1">#REF!</definedName>
    <definedName name="DRG_Label" localSheetId="2">#REF!</definedName>
    <definedName name="DRG_Label" localSheetId="6">#REF!</definedName>
    <definedName name="DRG_Label" localSheetId="5">#REF!</definedName>
    <definedName name="DRG_Label" localSheetId="4">#REF!</definedName>
    <definedName name="DRG_Label" localSheetId="7">#REF!</definedName>
    <definedName name="DRG_Label" localSheetId="3">#REF!</definedName>
    <definedName name="DRG_Label">#REF!</definedName>
    <definedName name="DRG_Num">[2]Lists!$A$3:$A$323</definedName>
    <definedName name="DRG_SUMM" localSheetId="1">#REF!</definedName>
    <definedName name="DRG_SUMM" localSheetId="2">#REF!</definedName>
    <definedName name="DRG_SUMM" localSheetId="6">#REF!</definedName>
    <definedName name="DRG_SUMM" localSheetId="5">#REF!</definedName>
    <definedName name="DRG_SUMM" localSheetId="4">#REF!</definedName>
    <definedName name="DRG_SUMM" localSheetId="7">#REF!</definedName>
    <definedName name="DRG_SUMM" localSheetId="3">#REF!</definedName>
    <definedName name="DRG_SUMM">#REF!</definedName>
    <definedName name="EnhancedpayChk" localSheetId="1">#REF!</definedName>
    <definedName name="EnhancedpayChk" localSheetId="2">#REF!</definedName>
    <definedName name="EnhancedpayChk" localSheetId="6">#REF!</definedName>
    <definedName name="EnhancedpayChk" localSheetId="5">#REF!</definedName>
    <definedName name="EnhancedpayChk" localSheetId="4">#REF!</definedName>
    <definedName name="EnhancedpayChk" localSheetId="7">#REF!</definedName>
    <definedName name="EnhancedpayChk" localSheetId="3">#REF!</definedName>
    <definedName name="EnhancedpayChk">#REF!</definedName>
    <definedName name="FFY05_DSH_Query" localSheetId="1">#REF!</definedName>
    <definedName name="FFY05_DSH_Query" localSheetId="2">#REF!</definedName>
    <definedName name="FFY05_DSH_Query" localSheetId="6">#REF!</definedName>
    <definedName name="FFY05_DSH_Query" localSheetId="5">#REF!</definedName>
    <definedName name="FFY05_DSH_Query" localSheetId="4">#REF!</definedName>
    <definedName name="FFY05_DSH_Query" localSheetId="7">#REF!</definedName>
    <definedName name="FFY05_DSH_Query" localSheetId="3">#REF!</definedName>
    <definedName name="FFY05_DSH_Query">#REF!</definedName>
    <definedName name="FFY05_DSH_QUERY_1" localSheetId="1">#REF!</definedName>
    <definedName name="FFY05_DSH_QUERY_1" localSheetId="2">#REF!</definedName>
    <definedName name="FFY05_DSH_QUERY_1" localSheetId="6">#REF!</definedName>
    <definedName name="FFY05_DSH_QUERY_1" localSheetId="5">#REF!</definedName>
    <definedName name="FFY05_DSH_QUERY_1" localSheetId="4">#REF!</definedName>
    <definedName name="FFY05_DSH_QUERY_1" localSheetId="7">#REF!</definedName>
    <definedName name="FFY05_DSH_QUERY_1" localSheetId="3">#REF!</definedName>
    <definedName name="FFY05_DSH_QUERY_1">#REF!</definedName>
    <definedName name="hart." localSheetId="1" hidden="1">#REF!</definedName>
    <definedName name="hart." localSheetId="2" hidden="1">#REF!</definedName>
    <definedName name="hart." localSheetId="6" hidden="1">#REF!</definedName>
    <definedName name="hart." localSheetId="5" hidden="1">#REF!</definedName>
    <definedName name="hart." localSheetId="4" hidden="1">#REF!</definedName>
    <definedName name="hart." localSheetId="7" hidden="1">#REF!</definedName>
    <definedName name="hart." localSheetId="3" hidden="1">#REF!</definedName>
    <definedName name="hart." hidden="1">#REF!</definedName>
    <definedName name="HVASUMRYb" localSheetId="1">#REF!</definedName>
    <definedName name="HVASUMRYb" localSheetId="2">#REF!</definedName>
    <definedName name="HVASUMRYb" localSheetId="6">#REF!</definedName>
    <definedName name="HVASUMRYb" localSheetId="5">#REF!</definedName>
    <definedName name="HVASUMRYb" localSheetId="4">#REF!</definedName>
    <definedName name="HVASUMRYb" localSheetId="7">#REF!</definedName>
    <definedName name="HVASUMRYb" localSheetId="3">#REF!</definedName>
    <definedName name="HVASUMRYb">#REF!</definedName>
    <definedName name="IncludeFlag">[3]Lookup!$C$19:$C$20</definedName>
    <definedName name="KY_CORRELATION" localSheetId="1">#REF!</definedName>
    <definedName name="KY_CORRELATION" localSheetId="2">#REF!</definedName>
    <definedName name="KY_CORRELATION" localSheetId="6">#REF!</definedName>
    <definedName name="KY_CORRELATION" localSheetId="5">#REF!</definedName>
    <definedName name="KY_CORRELATION" localSheetId="4">#REF!</definedName>
    <definedName name="KY_CORRELATION" localSheetId="7">#REF!</definedName>
    <definedName name="KY_CORRELATION" localSheetId="3">#REF!</definedName>
    <definedName name="KY_CORRELATION">#REF!</definedName>
    <definedName name="LABELS" localSheetId="1">#REF!</definedName>
    <definedName name="LABELS" localSheetId="2">#REF!</definedName>
    <definedName name="LABELS" localSheetId="6">#REF!</definedName>
    <definedName name="LABELS" localSheetId="5">#REF!</definedName>
    <definedName name="LABELS" localSheetId="4">#REF!</definedName>
    <definedName name="LABELS" localSheetId="7">#REF!</definedName>
    <definedName name="LABELS" localSheetId="3">#REF!</definedName>
    <definedName name="LABELS">#REF!</definedName>
    <definedName name="LN_1D2">[4]Report500!$D$119</definedName>
    <definedName name="LN_IA1">[4]Report500!$D$15</definedName>
    <definedName name="LN_IA11">[4]Report500!$D$27</definedName>
    <definedName name="LN_IA12">[4]Report500!$D$28</definedName>
    <definedName name="LN_IA14">[4]Report500!$D$30</definedName>
    <definedName name="LN_IA15">[4]Report500!$D$31</definedName>
    <definedName name="LN_IA16">[4]Report500!$D$32</definedName>
    <definedName name="LN_IA17">[4]Report500!$D$35</definedName>
    <definedName name="LN_IA18">[4]Report500!$D$36</definedName>
    <definedName name="LN_IA2">[4]Report500!$D$16</definedName>
    <definedName name="LN_IA4">[4]Report500!$D$18</definedName>
    <definedName name="LN_IA5">[4]Report500!$D$19</definedName>
    <definedName name="LN_IA6">[4]Report500!$D$20</definedName>
    <definedName name="LN_IA7">[4]Report500!$D$21</definedName>
    <definedName name="LN_IA8">[4]Report500!$D$22</definedName>
    <definedName name="LN_IB1">[4]Report500!$D$42</definedName>
    <definedName name="LN_IB10">[4]Report500!$D$51</definedName>
    <definedName name="LN_IB13">[4]Report500!$D$56</definedName>
    <definedName name="LN_IB14">[4]Report500!$D$57</definedName>
    <definedName name="LN_IB16">[4]Report500!$D$59</definedName>
    <definedName name="LN_IB17">[4]Report500!$D$60</definedName>
    <definedName name="LN_IB18">[4]Report500!$D$61</definedName>
    <definedName name="LN_IB19">[4]Report500!$D$62</definedName>
    <definedName name="LN_IB2">[4]Report500!$D$43</definedName>
    <definedName name="LN_IB20">[4]Report500!$D$63</definedName>
    <definedName name="LN_IB21">[4]Report500!$D$66</definedName>
    <definedName name="LN_IB22">[4]Report500!$D$67</definedName>
    <definedName name="LN_IB32">[4]Report500!$D$73</definedName>
    <definedName name="LN_IB33">[4]Report500!$D$74</definedName>
    <definedName name="LN_IB34">[4]Report500!$D$76</definedName>
    <definedName name="LN_IB4">[4]Report500!$D$45</definedName>
    <definedName name="LN_IB5">[4]Report500!$D$46</definedName>
    <definedName name="LN_IB6">[4]Report500!$D$47</definedName>
    <definedName name="LN_IB7">[4]Report500!$D$48</definedName>
    <definedName name="LN_IB8">[4]Report500!$D$49</definedName>
    <definedName name="LN_IB9">[4]Report500!$D$50</definedName>
    <definedName name="LN_IC1">[4]Report500!$D$83</definedName>
    <definedName name="LN_IC10">[4]Report500!$D$92</definedName>
    <definedName name="LN_IC11">[4]Report500!$D$93</definedName>
    <definedName name="LN_IC14">[4]Report500!$D$98</definedName>
    <definedName name="LN_IC15">[4]Report500!$D$99</definedName>
    <definedName name="LN_IC17">[4]Report500!$D$101</definedName>
    <definedName name="LN_IC18">[4]Report500!$D$102</definedName>
    <definedName name="LN_IC19">[4]Report500!$D$103</definedName>
    <definedName name="LN_IC2">[4]Report500!$D$84</definedName>
    <definedName name="LN_IC21">[4]Report500!$D$105</definedName>
    <definedName name="LN_IC22">[4]Report500!$D$106</definedName>
    <definedName name="LN_IC23">[4]Report500!$D$109</definedName>
    <definedName name="LN_IC24">[4]Report500!$D$110</definedName>
    <definedName name="LN_IC4">[4]Report500!$D$86</definedName>
    <definedName name="LN_IC5">[4]Report500!$D$87</definedName>
    <definedName name="LN_IC6">[4]Report500!$D$88</definedName>
    <definedName name="LN_IC7">[4]Report500!$D$89</definedName>
    <definedName name="LN_IC9">[4]Report500!$D$91</definedName>
    <definedName name="LN_ID1">[4]Report500!$D$118</definedName>
    <definedName name="LN_ID10">[4]Report500!$D$127</definedName>
    <definedName name="LN_ID11">[4]Report500!$D$128</definedName>
    <definedName name="LN_ID14">[4]Report500!$D$133</definedName>
    <definedName name="LN_ID15">[4]Report500!$D$134</definedName>
    <definedName name="LN_ID17">[4]Report500!$D$136</definedName>
    <definedName name="LN_ID18">[4]Report500!$D$137</definedName>
    <definedName name="LN_ID19">[4]Report500!$D$138</definedName>
    <definedName name="LN_ID21">[4]Report500!$D$140</definedName>
    <definedName name="LN_ID22">[4]Report500!$D$141</definedName>
    <definedName name="LN_ID23">[4]Report500!$D$144</definedName>
    <definedName name="LN_ID24">[4]Report500!$D$145</definedName>
    <definedName name="LN_ID4">[4]Report500!$D$121</definedName>
    <definedName name="LN_ID5">[4]Report500!$D$122</definedName>
    <definedName name="LN_ID6">[4]Report500!$D$123</definedName>
    <definedName name="LN_ID7">[4]Report500!$D$124</definedName>
    <definedName name="LN_ID9">[4]Report500!$D$126</definedName>
    <definedName name="LN_IE1">[4]Report500!$D$153</definedName>
    <definedName name="LN_IE10">[4]Report500!$D$162</definedName>
    <definedName name="LN_IE11">[4]Report500!$D$163</definedName>
    <definedName name="LN_IE14">[4]Report500!$D$168</definedName>
    <definedName name="LN_IE15">[4]Report500!$D$169</definedName>
    <definedName name="LN_IE17">[4]Report500!$D$171</definedName>
    <definedName name="LN_IE18">[4]Report500!$D$172</definedName>
    <definedName name="LN_IE19">[4]Report500!$D$173</definedName>
    <definedName name="LN_IE2">[4]Report500!$D$154</definedName>
    <definedName name="LN_IE21">[4]Report500!$D$175</definedName>
    <definedName name="LN_IE22">[4]Report500!$D$176</definedName>
    <definedName name="LN_IE23">[4]Report500!$D$179</definedName>
    <definedName name="LN_IE24">[4]Report500!$D$180</definedName>
    <definedName name="LN_IE4">[4]Report500!$D$156</definedName>
    <definedName name="LN_IE5">[4]Report500!$D$157</definedName>
    <definedName name="LN_IE6">[4]Report500!$D$158</definedName>
    <definedName name="LN_IE7">[4]Report500!$D$159</definedName>
    <definedName name="LN_IE9">[4]Report500!$D$161</definedName>
    <definedName name="LN_IF1">[4]Report500!$D$188</definedName>
    <definedName name="LN_IF11">[4]Report500!$D$198</definedName>
    <definedName name="LN_IF14">[4]Report500!$D$203</definedName>
    <definedName name="LN_IF15">[4]Report500!$D$204</definedName>
    <definedName name="LN_IF18">[4]Report500!$D$207</definedName>
    <definedName name="LN_IF19">[4]Report500!$D$208</definedName>
    <definedName name="LN_IF2">[4]Report500!$D$189</definedName>
    <definedName name="LN_IF21">[4]Report500!$D$210</definedName>
    <definedName name="LN_IF23">[4]Report500!$D$214</definedName>
    <definedName name="LN_IF24">[4]Report500!$D$215</definedName>
    <definedName name="LN_IF4">[4]Report500!$D$191</definedName>
    <definedName name="LN_IF5">[4]Report500!$D$192</definedName>
    <definedName name="LN_IF6">[4]Report500!$D$193</definedName>
    <definedName name="LN_IF7">[4]Report500!$D$194</definedName>
    <definedName name="LN_IF9">[4]Report500!$D$196</definedName>
    <definedName name="LN_IG1">[4]Report500!$D$221</definedName>
    <definedName name="LN_IG10">[4]Report500!$D$234</definedName>
    <definedName name="LN_IG13">[4]Report500!$D$237</definedName>
    <definedName name="LN_IG14">[4]Report500!$D$238</definedName>
    <definedName name="LN_IG2">[4]Report500!$D$222</definedName>
    <definedName name="LN_IG3">[4]Report500!$D$224</definedName>
    <definedName name="LN_IG4">[4]Report500!$D$225</definedName>
    <definedName name="LN_IG5">[4]Report500!$D$226</definedName>
    <definedName name="LN_IG6">[4]Report500!$D$228</definedName>
    <definedName name="LN_IG9">[4]Report500!$D$233</definedName>
    <definedName name="LN_IH10">[4]Report500!$D$256</definedName>
    <definedName name="LN_IH3">[4]Report500!$D$245</definedName>
    <definedName name="LN_IH4">[4]Report500!$D$248</definedName>
    <definedName name="LN_IH5">[4]Report500!$D$249</definedName>
    <definedName name="LN_IH6">[4]Report500!$D$250</definedName>
    <definedName name="LN_IH8">[4]Report500!$D$254</definedName>
    <definedName name="LN_IH9">[4]Report500!$D$255</definedName>
    <definedName name="LN_IIA1">[4]Report500!$D$261</definedName>
    <definedName name="LN_IIA11">[4]Report500!$D$271</definedName>
    <definedName name="LN_IIA12">[4]Report500!$D$272</definedName>
    <definedName name="LN_IIA14">[4]Report500!$D$274</definedName>
    <definedName name="LN_IIA2">[4]Report500!$D$262</definedName>
    <definedName name="LN_IIA4">[4]Report500!$D$264</definedName>
    <definedName name="LN_IIA6">[4]Report500!$D$266</definedName>
    <definedName name="LN_IIA7">[4]Report500!$D$267</definedName>
    <definedName name="LN_IIA9">[4]Report500!$D$269</definedName>
    <definedName name="LN_IIB11">[4]Report500!$D$287</definedName>
    <definedName name="LN_IIB12">[4]Report500!$D$288</definedName>
    <definedName name="LN_IIB14">[4]Report500!$D$291</definedName>
    <definedName name="LN_IIB2">[4]Report500!$D$278</definedName>
    <definedName name="LN_IIB4">[4]Report500!$D$280</definedName>
    <definedName name="LN_IIB6">[4]Report500!$D$282</definedName>
    <definedName name="LN_IIB7">[4]Report500!$D$283</definedName>
    <definedName name="LN_IIB9">[4]Report500!$D$285</definedName>
    <definedName name="LN_III1">[4]Report500!$D$304</definedName>
    <definedName name="LN_III10">[4]Report500!$D$313</definedName>
    <definedName name="LN_III2">[4]Report500!$D$305</definedName>
    <definedName name="LN_III3">[4]Report500!$D$307</definedName>
    <definedName name="LN_III4">[4]Report500!$D$308</definedName>
    <definedName name="LN_III5">[4]Report500!$D$306</definedName>
    <definedName name="LN_III6">[4]Report500!$D$309</definedName>
    <definedName name="LN_III7">[4]Report500!$D$310</definedName>
    <definedName name="LN_III8">[4]Report500!$D$311</definedName>
    <definedName name="LN_III9">[4]Report500!$D$312</definedName>
    <definedName name="LN_IV1">[4]Report500!$D$324</definedName>
    <definedName name="LN_IV2">[4]Report500!$D$322</definedName>
    <definedName name="LN_IV3">[4]Report500!$D$323</definedName>
    <definedName name="LN_IV4">[4]Report500!$D$325</definedName>
    <definedName name="MDC_Label" localSheetId="1">#REF!</definedName>
    <definedName name="MDC_Label" localSheetId="2">#REF!</definedName>
    <definedName name="MDC_Label" localSheetId="6">#REF!</definedName>
    <definedName name="MDC_Label" localSheetId="5">#REF!</definedName>
    <definedName name="MDC_Label" localSheetId="4">#REF!</definedName>
    <definedName name="MDC_Label" localSheetId="7">#REF!</definedName>
    <definedName name="MDC_Label" localSheetId="3">#REF!</definedName>
    <definedName name="MDC_Label">#REF!</definedName>
    <definedName name="MMMWEIGHTS_IMPACT_SUMMARY_936" localSheetId="1">#REF!</definedName>
    <definedName name="MMMWEIGHTS_IMPACT_SUMMARY_936" localSheetId="2">#REF!</definedName>
    <definedName name="MMMWEIGHTS_IMPACT_SUMMARY_936" localSheetId="6">#REF!</definedName>
    <definedName name="MMMWEIGHTS_IMPACT_SUMMARY_936" localSheetId="5">#REF!</definedName>
    <definedName name="MMMWEIGHTS_IMPACT_SUMMARY_936" localSheetId="4">#REF!</definedName>
    <definedName name="MMMWEIGHTS_IMPACT_SUMMARY_936" localSheetId="7">#REF!</definedName>
    <definedName name="MMMWEIGHTS_IMPACT_SUMMARY_936" localSheetId="3">#REF!</definedName>
    <definedName name="MMMWEIGHTS_IMPACT_SUMMARY_936">#REF!</definedName>
    <definedName name="NeonateSUMRY2b" localSheetId="1">#REF!</definedName>
    <definedName name="NeonateSUMRY2b" localSheetId="2">#REF!</definedName>
    <definedName name="NeonateSUMRY2b" localSheetId="6">#REF!</definedName>
    <definedName name="NeonateSUMRY2b" localSheetId="5">#REF!</definedName>
    <definedName name="NeonateSUMRY2b" localSheetId="4">#REF!</definedName>
    <definedName name="NeonateSUMRY2b" localSheetId="7">#REF!</definedName>
    <definedName name="NeonateSUMRY2b" localSheetId="3">#REF!</definedName>
    <definedName name="NeonateSUMRY2b">#REF!</definedName>
    <definedName name="PIP11_PaidMemo" localSheetId="1">#REF!</definedName>
    <definedName name="PIP11_PaidMemo" localSheetId="2">#REF!</definedName>
    <definedName name="PIP11_PaidMemo" localSheetId="6">#REF!</definedName>
    <definedName name="PIP11_PaidMemo" localSheetId="5">#REF!</definedName>
    <definedName name="PIP11_PaidMemo" localSheetId="4">#REF!</definedName>
    <definedName name="PIP11_PaidMemo" localSheetId="7">#REF!</definedName>
    <definedName name="PIP11_PaidMemo" localSheetId="3">#REF!</definedName>
    <definedName name="PIP11_PaidMemo">#REF!</definedName>
    <definedName name="PIP11_PaidMemo_f" localSheetId="1">#REF!</definedName>
    <definedName name="PIP11_PaidMemo_f" localSheetId="2">#REF!</definedName>
    <definedName name="PIP11_PaidMemo_f" localSheetId="6">#REF!</definedName>
    <definedName name="PIP11_PaidMemo_f" localSheetId="5">#REF!</definedName>
    <definedName name="PIP11_PaidMemo_f" localSheetId="4">#REF!</definedName>
    <definedName name="PIP11_PaidMemo_f" localSheetId="7">#REF!</definedName>
    <definedName name="PIP11_PaidMemo_f" localSheetId="3">#REF!</definedName>
    <definedName name="PIP11_PaidMemo_f">#REF!</definedName>
    <definedName name="PIP11_PaidMemo_final" localSheetId="1">#REF!</definedName>
    <definedName name="PIP11_PaidMemo_final" localSheetId="2">#REF!</definedName>
    <definedName name="PIP11_PaidMemo_final" localSheetId="6">#REF!</definedName>
    <definedName name="PIP11_PaidMemo_final" localSheetId="5">#REF!</definedName>
    <definedName name="PIP11_PaidMemo_final" localSheetId="4">#REF!</definedName>
    <definedName name="PIP11_PaidMemo_final" localSheetId="7">#REF!</definedName>
    <definedName name="PIP11_PaidMemo_final" localSheetId="3">#REF!</definedName>
    <definedName name="PIP11_PaidMemo_final">#REF!</definedName>
    <definedName name="PIP11_PaidMemo_final_n" localSheetId="1">#REF!</definedName>
    <definedName name="PIP11_PaidMemo_final_n" localSheetId="2">#REF!</definedName>
    <definedName name="PIP11_PaidMemo_final_n" localSheetId="6">#REF!</definedName>
    <definedName name="PIP11_PaidMemo_final_n" localSheetId="5">#REF!</definedName>
    <definedName name="PIP11_PaidMemo_final_n" localSheetId="4">#REF!</definedName>
    <definedName name="PIP11_PaidMemo_final_n" localSheetId="7">#REF!</definedName>
    <definedName name="PIP11_PaidMemo_final_n" localSheetId="3">#REF!</definedName>
    <definedName name="PIP11_PaidMemo_final_n">#REF!</definedName>
    <definedName name="PIP12_PaidMemo_f" localSheetId="1">#REF!</definedName>
    <definedName name="PIP12_PaidMemo_f" localSheetId="2">#REF!</definedName>
    <definedName name="PIP12_PaidMemo_f" localSheetId="6">#REF!</definedName>
    <definedName name="PIP12_PaidMemo_f" localSheetId="5">#REF!</definedName>
    <definedName name="PIP12_PaidMemo_f" localSheetId="4">#REF!</definedName>
    <definedName name="PIP12_PaidMemo_f" localSheetId="7">#REF!</definedName>
    <definedName name="PIP12_PaidMemo_f" localSheetId="3">#REF!</definedName>
    <definedName name="PIP12_PaidMemo_f">#REF!</definedName>
    <definedName name="PIP12_PaidMemo_final" localSheetId="1">#REF!</definedName>
    <definedName name="PIP12_PaidMemo_final" localSheetId="2">#REF!</definedName>
    <definedName name="PIP12_PaidMemo_final" localSheetId="6">#REF!</definedName>
    <definedName name="PIP12_PaidMemo_final" localSheetId="5">#REF!</definedName>
    <definedName name="PIP12_PaidMemo_final" localSheetId="4">#REF!</definedName>
    <definedName name="PIP12_PaidMemo_final" localSheetId="7">#REF!</definedName>
    <definedName name="PIP12_PaidMemo_final" localSheetId="3">#REF!</definedName>
    <definedName name="PIP12_PaidMemo_final">#REF!</definedName>
    <definedName name="PIP12_PaidMemo_final_n" localSheetId="1">#REF!</definedName>
    <definedName name="PIP12_PaidMemo_final_n" localSheetId="2">#REF!</definedName>
    <definedName name="PIP12_PaidMemo_final_n" localSheetId="6">#REF!</definedName>
    <definedName name="PIP12_PaidMemo_final_n" localSheetId="5">#REF!</definedName>
    <definedName name="PIP12_PaidMemo_final_n" localSheetId="4">#REF!</definedName>
    <definedName name="PIP12_PaidMemo_final_n" localSheetId="7">#REF!</definedName>
    <definedName name="PIP12_PaidMemo_final_n" localSheetId="3">#REF!</definedName>
    <definedName name="PIP12_PaidMemo_final_n">#REF!</definedName>
    <definedName name="PIP13_PaidMemo_f" localSheetId="1">#REF!</definedName>
    <definedName name="PIP13_PaidMemo_f" localSheetId="2">#REF!</definedName>
    <definedName name="PIP13_PaidMemo_f" localSheetId="6">#REF!</definedName>
    <definedName name="PIP13_PaidMemo_f" localSheetId="5">#REF!</definedName>
    <definedName name="PIP13_PaidMemo_f" localSheetId="4">#REF!</definedName>
    <definedName name="PIP13_PaidMemo_f" localSheetId="7">#REF!</definedName>
    <definedName name="PIP13_PaidMemo_f" localSheetId="3">#REF!</definedName>
    <definedName name="PIP13_PaidMemo_f">#REF!</definedName>
    <definedName name="PIP13_PaidMemo_final" localSheetId="1">#REF!</definedName>
    <definedName name="PIP13_PaidMemo_final" localSheetId="2">#REF!</definedName>
    <definedName name="PIP13_PaidMemo_final" localSheetId="6">#REF!</definedName>
    <definedName name="PIP13_PaidMemo_final" localSheetId="5">#REF!</definedName>
    <definedName name="PIP13_PaidMemo_final" localSheetId="4">#REF!</definedName>
    <definedName name="PIP13_PaidMemo_final" localSheetId="7">#REF!</definedName>
    <definedName name="PIP13_PaidMemo_final" localSheetId="3">#REF!</definedName>
    <definedName name="PIP13_PaidMemo_final">#REF!</definedName>
    <definedName name="PIP13_PaidMemo_final_n" localSheetId="1">#REF!</definedName>
    <definedName name="PIP13_PaidMemo_final_n" localSheetId="2">#REF!</definedName>
    <definedName name="PIP13_PaidMemo_final_n" localSheetId="6">#REF!</definedName>
    <definedName name="PIP13_PaidMemo_final_n" localSheetId="5">#REF!</definedName>
    <definedName name="PIP13_PaidMemo_final_n" localSheetId="4">#REF!</definedName>
    <definedName name="PIP13_PaidMemo_final_n" localSheetId="7">#REF!</definedName>
    <definedName name="PIP13_PaidMemo_final_n" localSheetId="3">#REF!</definedName>
    <definedName name="PIP13_PaidMemo_final_n">#REF!</definedName>
    <definedName name="PIP14_PaidMemo_f" localSheetId="1">#REF!</definedName>
    <definedName name="PIP14_PaidMemo_f" localSheetId="2">#REF!</definedName>
    <definedName name="PIP14_PaidMemo_f" localSheetId="6">#REF!</definedName>
    <definedName name="PIP14_PaidMemo_f" localSheetId="5">#REF!</definedName>
    <definedName name="PIP14_PaidMemo_f" localSheetId="4">#REF!</definedName>
    <definedName name="PIP14_PaidMemo_f" localSheetId="7">#REF!</definedName>
    <definedName name="PIP14_PaidMemo_f" localSheetId="3">#REF!</definedName>
    <definedName name="PIP14_PaidMemo_f">#REF!</definedName>
    <definedName name="PIP14_PaidMemo_final" localSheetId="1">#REF!</definedName>
    <definedName name="PIP14_PaidMemo_final" localSheetId="2">#REF!</definedName>
    <definedName name="PIP14_PaidMemo_final" localSheetId="6">#REF!</definedName>
    <definedName name="PIP14_PaidMemo_final" localSheetId="5">#REF!</definedName>
    <definedName name="PIP14_PaidMemo_final" localSheetId="4">#REF!</definedName>
    <definedName name="PIP14_PaidMemo_final" localSheetId="7">#REF!</definedName>
    <definedName name="PIP14_PaidMemo_final" localSheetId="3">#REF!</definedName>
    <definedName name="PIP14_PaidMemo_final">#REF!</definedName>
    <definedName name="PIP14_PaidMemo_final_n" localSheetId="1">#REF!</definedName>
    <definedName name="PIP14_PaidMemo_final_n" localSheetId="2">#REF!</definedName>
    <definedName name="PIP14_PaidMemo_final_n" localSheetId="6">#REF!</definedName>
    <definedName name="PIP14_PaidMemo_final_n" localSheetId="5">#REF!</definedName>
    <definedName name="PIP14_PaidMemo_final_n" localSheetId="4">#REF!</definedName>
    <definedName name="PIP14_PaidMemo_final_n" localSheetId="7">#REF!</definedName>
    <definedName name="PIP14_PaidMemo_final_n" localSheetId="3">#REF!</definedName>
    <definedName name="PIP14_PaidMemo_final_n">#REF!</definedName>
    <definedName name="PolicyImpact" localSheetId="1">#REF!</definedName>
    <definedName name="PolicyImpact" localSheetId="2">#REF!</definedName>
    <definedName name="PolicyImpact" localSheetId="6">#REF!</definedName>
    <definedName name="PolicyImpact" localSheetId="5">#REF!</definedName>
    <definedName name="PolicyImpact" localSheetId="4">#REF!</definedName>
    <definedName name="PolicyImpact" localSheetId="7">#REF!</definedName>
    <definedName name="PolicyImpact" localSheetId="3">#REF!</definedName>
    <definedName name="PolicyImpact">#REF!</definedName>
    <definedName name="pps_3std" localSheetId="1">#REF!</definedName>
    <definedName name="pps_3std" localSheetId="2">#REF!</definedName>
    <definedName name="pps_3std" localSheetId="6">#REF!</definedName>
    <definedName name="pps_3std" localSheetId="5">#REF!</definedName>
    <definedName name="pps_3std" localSheetId="4">#REF!</definedName>
    <definedName name="pps_3std" localSheetId="7">#REF!</definedName>
    <definedName name="pps_3std" localSheetId="3">#REF!</definedName>
    <definedName name="pps_3std">#REF!</definedName>
    <definedName name="PricingCDImpact" localSheetId="1">#REF!</definedName>
    <definedName name="PricingCDImpact" localSheetId="2">#REF!</definedName>
    <definedName name="PricingCDImpact" localSheetId="6">#REF!</definedName>
    <definedName name="PricingCDImpact" localSheetId="5">#REF!</definedName>
    <definedName name="PricingCDImpact" localSheetId="4">#REF!</definedName>
    <definedName name="PricingCDImpact" localSheetId="7">#REF!</definedName>
    <definedName name="PricingCDImpact" localSheetId="3">#REF!</definedName>
    <definedName name="PricingCDImpact">#REF!</definedName>
    <definedName name="PRINT" localSheetId="1">#REF!</definedName>
    <definedName name="PRINT" localSheetId="2">#REF!</definedName>
    <definedName name="PRINT" localSheetId="6">#REF!</definedName>
    <definedName name="PRINT" localSheetId="5">#REF!</definedName>
    <definedName name="PRINT" localSheetId="4">#REF!</definedName>
    <definedName name="PRINT" localSheetId="7">#REF!</definedName>
    <definedName name="PRINT" localSheetId="3">#REF!</definedName>
    <definedName name="PRINT">#REF!</definedName>
    <definedName name="_xlnm.Print_Area" localSheetId="1">'2020'!$A$1:$O$49</definedName>
    <definedName name="_xlnm.Print_Area" localSheetId="0">#REF!</definedName>
    <definedName name="_xlnm.Print_Area" localSheetId="2">'General IP'!$B$1:$G$38</definedName>
    <definedName name="_xlnm.Print_Area" localSheetId="6">'General OP'!$A$1:$D$35</definedName>
    <definedName name="_xlnm.Print_Area" localSheetId="5">'Large IP'!$A$1:$G$36</definedName>
    <definedName name="_xlnm.Print_Area" localSheetId="4">'Mid IP'!$A$1:$F$36</definedName>
    <definedName name="_xlnm.Print_Area" localSheetId="7">'Mid OP'!$A$1:$F$36</definedName>
    <definedName name="_xlnm.Print_Area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5">#REF!</definedName>
    <definedName name="PRINT_AREA_MI" localSheetId="4">#REF!</definedName>
    <definedName name="PRINT_AREA_MI" localSheetId="7">#REF!</definedName>
    <definedName name="PRINT_AREA_MI" localSheetId="3">#REF!</definedName>
    <definedName name="PRINT_AREA_MI">#REF!</definedName>
    <definedName name="_xlnm.Print_Titles" localSheetId="2">#REF!</definedName>
    <definedName name="_xlnm.Print_Titles" localSheetId="4">#REF!</definedName>
    <definedName name="_xlnm.Print_Titles" localSheetId="7">#REF!</definedName>
    <definedName name="_xlnm.Print_Titles">#REF!</definedName>
    <definedName name="PRINT_TITLES_MI" localSheetId="1">#REF!</definedName>
    <definedName name="PRINT_TITLES_MI" localSheetId="2">#REF!</definedName>
    <definedName name="PRINT_TITLES_MI" localSheetId="6">#REF!</definedName>
    <definedName name="PRINT_TITLES_MI" localSheetId="5">#REF!</definedName>
    <definedName name="PRINT_TITLES_MI" localSheetId="4">#REF!</definedName>
    <definedName name="PRINT_TITLES_MI" localSheetId="7">#REF!</definedName>
    <definedName name="PRINT_TITLES_MI" localSheetId="3">#REF!</definedName>
    <definedName name="PRINT_TITLES_MI">#REF!</definedName>
    <definedName name="prov_name">[5]Medicaid!$A$3</definedName>
    <definedName name="PROVIDER_SUMM" localSheetId="1">#REF!</definedName>
    <definedName name="PROVIDER_SUMM" localSheetId="2">#REF!</definedName>
    <definedName name="PROVIDER_SUMM" localSheetId="6">#REF!</definedName>
    <definedName name="PROVIDER_SUMM" localSheetId="5">#REF!</definedName>
    <definedName name="PROVIDER_SUMM" localSheetId="4">#REF!</definedName>
    <definedName name="PROVIDER_SUMM" localSheetId="7">#REF!</definedName>
    <definedName name="PROVIDER_SUMM" localSheetId="3">#REF!</definedName>
    <definedName name="PROVIDER_SUMM">#REF!</definedName>
    <definedName name="ProvNum">[6]Main!$A$4</definedName>
    <definedName name="PROVSUMMARY" localSheetId="1">#REF!</definedName>
    <definedName name="PROVSUMMARY" localSheetId="2">#REF!</definedName>
    <definedName name="PROVSUMMARY" localSheetId="6">#REF!</definedName>
    <definedName name="PROVSUMMARY" localSheetId="5">#REF!</definedName>
    <definedName name="PROVSUMMARY" localSheetId="4">#REF!</definedName>
    <definedName name="PROVSUMMARY" localSheetId="7">#REF!</definedName>
    <definedName name="PROVSUMMARY" localSheetId="3">#REF!</definedName>
    <definedName name="PROVSUMMARY">#REF!</definedName>
    <definedName name="rate" localSheetId="1">#REF!</definedName>
    <definedName name="rate" localSheetId="2">#REF!</definedName>
    <definedName name="rate" localSheetId="6">#REF!</definedName>
    <definedName name="rate" localSheetId="5">#REF!</definedName>
    <definedName name="rate" localSheetId="4">#REF!</definedName>
    <definedName name="rate" localSheetId="7">#REF!</definedName>
    <definedName name="rate" localSheetId="3">#REF!</definedName>
    <definedName name="rate">#REF!</definedName>
    <definedName name="RateTypeAssignment">[3]Lookup!$E$4:$E$39</definedName>
    <definedName name="Sample_Impact_base" localSheetId="1">#REF!</definedName>
    <definedName name="Sample_Impact_base" localSheetId="2">#REF!</definedName>
    <definedName name="Sample_Impact_base" localSheetId="6">#REF!</definedName>
    <definedName name="Sample_Impact_base" localSheetId="5">#REF!</definedName>
    <definedName name="Sample_Impact_base" localSheetId="4">#REF!</definedName>
    <definedName name="Sample_Impact_base" localSheetId="7">#REF!</definedName>
    <definedName name="Sample_Impact_base" localSheetId="3">#REF!</definedName>
    <definedName name="Sample_Impact_base">#REF!</definedName>
    <definedName name="SOI">[2]Lists!$D$3:$D$6</definedName>
    <definedName name="STATUS_BY_SFY" localSheetId="1">#REF!</definedName>
    <definedName name="STATUS_BY_SFY" localSheetId="2">#REF!</definedName>
    <definedName name="STATUS_BY_SFY" localSheetId="6">#REF!</definedName>
    <definedName name="STATUS_BY_SFY" localSheetId="5">#REF!</definedName>
    <definedName name="STATUS_BY_SFY" localSheetId="4">#REF!</definedName>
    <definedName name="STATUS_BY_SFY" localSheetId="7">#REF!</definedName>
    <definedName name="STATUS_BY_SFY" localSheetId="3">#REF!</definedName>
    <definedName name="STATUS_BY_SFY">#REF!</definedName>
    <definedName name="SvcImpact" localSheetId="1">#REF!</definedName>
    <definedName name="SvcImpact" localSheetId="2">#REF!</definedName>
    <definedName name="SvcImpact" localSheetId="6">#REF!</definedName>
    <definedName name="SvcImpact" localSheetId="5">#REF!</definedName>
    <definedName name="SvcImpact" localSheetId="4">#REF!</definedName>
    <definedName name="SvcImpact" localSheetId="7">#REF!</definedName>
    <definedName name="SvcImpact" localSheetId="3">#REF!</definedName>
    <definedName name="SvcImpact">#REF!</definedName>
    <definedName name="SVCLEVEL" localSheetId="1">#REF!</definedName>
    <definedName name="SVCLEVEL" localSheetId="2">#REF!</definedName>
    <definedName name="SVCLEVEL" localSheetId="6">#REF!</definedName>
    <definedName name="SVCLEVEL" localSheetId="5">#REF!</definedName>
    <definedName name="SVCLEVEL" localSheetId="4">#REF!</definedName>
    <definedName name="SVCLEVEL" localSheetId="7">#REF!</definedName>
    <definedName name="SVCLEVEL" localSheetId="3">#REF!</definedName>
    <definedName name="SVCLEVEL">#REF!</definedName>
    <definedName name="SVCSUMRY" localSheetId="1">#REF!</definedName>
    <definedName name="SVCSUMRY" localSheetId="2">#REF!</definedName>
    <definedName name="SVCSUMRY" localSheetId="6">#REF!</definedName>
    <definedName name="SVCSUMRY" localSheetId="5">#REF!</definedName>
    <definedName name="SVCSUMRY" localSheetId="4">#REF!</definedName>
    <definedName name="SVCSUMRY" localSheetId="7">#REF!</definedName>
    <definedName name="SVCSUMRY" localSheetId="3">#REF!</definedName>
    <definedName name="SVCSUMRY">#REF!</definedName>
    <definedName name="TblStep_1" localSheetId="1">#REF!</definedName>
    <definedName name="TblStep_1" localSheetId="2">#REF!</definedName>
    <definedName name="TblStep_1" localSheetId="6">#REF!</definedName>
    <definedName name="TblStep_1" localSheetId="5">#REF!</definedName>
    <definedName name="TblStep_1" localSheetId="4">#REF!</definedName>
    <definedName name="TblStep_1" localSheetId="7">#REF!</definedName>
    <definedName name="TblStep_1" localSheetId="3">#REF!</definedName>
    <definedName name="TblStep_1">#REF!</definedName>
    <definedName name="TOTAL" localSheetId="1">#REF!</definedName>
    <definedName name="TOTAL" localSheetId="2">#REF!</definedName>
    <definedName name="TOTAL" localSheetId="6">#REF!</definedName>
    <definedName name="TOTAL" localSheetId="5">#REF!</definedName>
    <definedName name="TOTAL" localSheetId="4">#REF!</definedName>
    <definedName name="TOTAL" localSheetId="7">#REF!</definedName>
    <definedName name="TOTAL" localSheetId="3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K5" i="11" l="1"/>
  <c r="K6" i="11"/>
  <c r="K31" i="11" s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O5" i="11"/>
  <c r="O33" i="11" l="1"/>
  <c r="O31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F6" i="11" l="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5" i="11"/>
  <c r="B31" i="11" l="1"/>
  <c r="B31" i="23"/>
  <c r="B30" i="23"/>
  <c r="B29" i="23"/>
  <c r="C40" i="23"/>
  <c r="B28" i="23"/>
  <c r="B40" i="23" s="1"/>
  <c r="B27" i="23"/>
  <c r="B26" i="23"/>
  <c r="B25" i="23"/>
  <c r="B24" i="23"/>
  <c r="B23" i="23"/>
  <c r="B22" i="23"/>
  <c r="B21" i="23"/>
  <c r="C42" i="23"/>
  <c r="B20" i="23"/>
  <c r="B42" i="23" s="1"/>
  <c r="B19" i="23"/>
  <c r="B18" i="23"/>
  <c r="B17" i="23"/>
  <c r="B16" i="23"/>
  <c r="B15" i="23"/>
  <c r="B14" i="23"/>
  <c r="B13" i="23"/>
  <c r="C43" i="23"/>
  <c r="B12" i="23"/>
  <c r="B11" i="23"/>
  <c r="C44" i="23"/>
  <c r="B10" i="23"/>
  <c r="B44" i="23" s="1"/>
  <c r="C37" i="23"/>
  <c r="C41" i="23"/>
  <c r="B8" i="23"/>
  <c r="C36" i="23"/>
  <c r="B6" i="23"/>
  <c r="B39" i="23" l="1"/>
  <c r="B35" i="23"/>
  <c r="B38" i="23"/>
  <c r="B41" i="23"/>
  <c r="C35" i="23"/>
  <c r="C45" i="23" s="1"/>
  <c r="C39" i="23"/>
  <c r="C38" i="23"/>
  <c r="B43" i="23"/>
  <c r="B7" i="23"/>
  <c r="B32" i="23" s="1"/>
  <c r="B9" i="23"/>
  <c r="C32" i="23"/>
  <c r="B45" i="23" l="1"/>
  <c r="B36" i="23"/>
  <c r="B37" i="23"/>
  <c r="D30" i="11" l="1"/>
  <c r="D29" i="11"/>
  <c r="D28" i="11"/>
  <c r="D26" i="11"/>
  <c r="D25" i="11"/>
  <c r="D24" i="11"/>
  <c r="D23" i="11"/>
  <c r="D22" i="11"/>
  <c r="D20" i="11"/>
  <c r="D19" i="11"/>
  <c r="D17" i="11"/>
  <c r="D16" i="11"/>
  <c r="D15" i="11"/>
  <c r="D14" i="11"/>
  <c r="D13" i="11"/>
  <c r="D12" i="11"/>
  <c r="D11" i="11"/>
  <c r="D9" i="11"/>
  <c r="D7" i="11"/>
  <c r="D6" i="11"/>
  <c r="D5" i="11"/>
  <c r="G6" i="11"/>
  <c r="G7" i="11"/>
  <c r="G9" i="11"/>
  <c r="G11" i="11"/>
  <c r="G12" i="11"/>
  <c r="G13" i="11"/>
  <c r="G14" i="11"/>
  <c r="G15" i="11"/>
  <c r="G16" i="11"/>
  <c r="G17" i="11"/>
  <c r="G19" i="11"/>
  <c r="G20" i="11"/>
  <c r="G22" i="11"/>
  <c r="G23" i="11"/>
  <c r="G24" i="11"/>
  <c r="G25" i="11"/>
  <c r="G26" i="11"/>
  <c r="G28" i="11"/>
  <c r="G29" i="11"/>
  <c r="G30" i="11"/>
  <c r="G5" i="11"/>
  <c r="G37" i="11" l="1"/>
  <c r="G38" i="11"/>
  <c r="G35" i="11"/>
  <c r="F8" i="20" l="1"/>
  <c r="F7" i="20"/>
  <c r="F5" i="20"/>
  <c r="F32" i="20" s="1"/>
  <c r="G27" i="11" s="1"/>
  <c r="F4" i="20"/>
  <c r="F3" i="20"/>
  <c r="F15" i="20" s="1"/>
  <c r="G10" i="11" s="1"/>
  <c r="G36" i="11" s="1"/>
  <c r="F23" i="20" l="1"/>
  <c r="G18" i="11" s="1"/>
  <c r="G40" i="11" s="1"/>
  <c r="F26" i="20"/>
  <c r="G21" i="11" s="1"/>
  <c r="F13" i="20"/>
  <c r="F8" i="19"/>
  <c r="F32" i="19" s="1"/>
  <c r="D27" i="11" s="1"/>
  <c r="F7" i="19"/>
  <c r="F23" i="19" s="1"/>
  <c r="D18" i="11" s="1"/>
  <c r="F5" i="19"/>
  <c r="F4" i="19"/>
  <c r="F3" i="19"/>
  <c r="F15" i="19" s="1"/>
  <c r="D10" i="11" s="1"/>
  <c r="F26" i="19"/>
  <c r="D21" i="11" s="1"/>
  <c r="F13" i="19"/>
  <c r="D8" i="11" s="1"/>
  <c r="F36" i="20" l="1"/>
  <c r="G8" i="11"/>
  <c r="F36" i="19"/>
  <c r="G39" i="11" l="1"/>
  <c r="G41" i="11" s="1"/>
  <c r="G31" i="11"/>
  <c r="D38" i="11"/>
  <c r="D37" i="11"/>
  <c r="D35" i="11"/>
  <c r="C34" i="8" l="1"/>
  <c r="E23" i="8"/>
  <c r="G23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4" i="8"/>
  <c r="G25" i="8"/>
  <c r="G26" i="8"/>
  <c r="G27" i="8"/>
  <c r="G28" i="8"/>
  <c r="G29" i="8"/>
  <c r="G30" i="8"/>
  <c r="G31" i="8"/>
  <c r="G32" i="8"/>
  <c r="G33" i="8"/>
  <c r="G8" i="8"/>
  <c r="H31" i="8" l="1"/>
  <c r="H14" i="8"/>
  <c r="G34" i="8"/>
  <c r="H8" i="8" s="1"/>
  <c r="H11" i="8"/>
  <c r="H16" i="8"/>
  <c r="H20" i="8"/>
  <c r="H25" i="8"/>
  <c r="H33" i="8"/>
  <c r="H9" i="8"/>
  <c r="H13" i="8"/>
  <c r="H21" i="8"/>
  <c r="H26" i="8"/>
  <c r="H30" i="8"/>
  <c r="H18" i="8"/>
  <c r="H10" i="8"/>
  <c r="H32" i="8"/>
  <c r="H15" i="8"/>
  <c r="D34" i="8"/>
  <c r="E33" i="8"/>
  <c r="E32" i="8"/>
  <c r="E31" i="8"/>
  <c r="E30" i="8"/>
  <c r="E29" i="8"/>
  <c r="E28" i="8"/>
  <c r="E27" i="8"/>
  <c r="E26" i="8"/>
  <c r="E25" i="8"/>
  <c r="E24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D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G16" i="6"/>
  <c r="D36" i="6"/>
  <c r="E35" i="6"/>
  <c r="E34" i="6"/>
  <c r="F34" i="6" s="1"/>
  <c r="G34" i="6" s="1"/>
  <c r="E33" i="6"/>
  <c r="F33" i="6" s="1"/>
  <c r="E32" i="6"/>
  <c r="F32" i="6" s="1"/>
  <c r="F31" i="6"/>
  <c r="E31" i="6"/>
  <c r="E30" i="6"/>
  <c r="F30" i="6" s="1"/>
  <c r="E29" i="6"/>
  <c r="F29" i="6" s="1"/>
  <c r="E28" i="6"/>
  <c r="F28" i="6" s="1"/>
  <c r="E27" i="6"/>
  <c r="F27" i="6" s="1"/>
  <c r="E26" i="6"/>
  <c r="F26" i="6" s="1"/>
  <c r="G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G18" i="6" s="1"/>
  <c r="E17" i="6"/>
  <c r="E16" i="6"/>
  <c r="F16" i="6" s="1"/>
  <c r="E15" i="6"/>
  <c r="F15" i="6" s="1"/>
  <c r="E14" i="6"/>
  <c r="F14" i="6" s="1"/>
  <c r="F13" i="6"/>
  <c r="E13" i="6"/>
  <c r="E12" i="6"/>
  <c r="F12" i="6" s="1"/>
  <c r="E11" i="6"/>
  <c r="F11" i="6" s="1"/>
  <c r="E10" i="6"/>
  <c r="F8" i="6"/>
  <c r="F6" i="6"/>
  <c r="F5" i="6"/>
  <c r="F4" i="6"/>
  <c r="B35" i="5"/>
  <c r="C33" i="5" s="1"/>
  <c r="C32" i="5"/>
  <c r="D32" i="5" s="1"/>
  <c r="C24" i="5"/>
  <c r="C16" i="5"/>
  <c r="C19" i="5" l="1"/>
  <c r="D16" i="5"/>
  <c r="D24" i="5"/>
  <c r="C11" i="5"/>
  <c r="C27" i="5"/>
  <c r="D33" i="5"/>
  <c r="H24" i="8"/>
  <c r="H27" i="8"/>
  <c r="H17" i="8"/>
  <c r="H29" i="8"/>
  <c r="H12" i="8"/>
  <c r="H34" i="8" s="1"/>
  <c r="H22" i="8"/>
  <c r="E36" i="7"/>
  <c r="F35" i="7" s="1"/>
  <c r="G35" i="7" s="1"/>
  <c r="F10" i="7"/>
  <c r="G10" i="7" s="1"/>
  <c r="D39" i="11"/>
  <c r="D40" i="11"/>
  <c r="D31" i="11"/>
  <c r="D36" i="11"/>
  <c r="H19" i="8"/>
  <c r="H23" i="8"/>
  <c r="H28" i="8"/>
  <c r="E34" i="8"/>
  <c r="G19" i="6"/>
  <c r="G21" i="6"/>
  <c r="G11" i="6"/>
  <c r="G27" i="6"/>
  <c r="G29" i="6"/>
  <c r="G30" i="6"/>
  <c r="G15" i="6"/>
  <c r="G33" i="6"/>
  <c r="G25" i="6"/>
  <c r="E36" i="6"/>
  <c r="G13" i="6"/>
  <c r="G31" i="6"/>
  <c r="G23" i="6"/>
  <c r="G12" i="6"/>
  <c r="G22" i="6"/>
  <c r="G14" i="6"/>
  <c r="G32" i="6"/>
  <c r="G28" i="6"/>
  <c r="G24" i="6"/>
  <c r="G20" i="6"/>
  <c r="F32" i="7"/>
  <c r="G32" i="7" s="1"/>
  <c r="F28" i="7"/>
  <c r="G28" i="7" s="1"/>
  <c r="F24" i="7"/>
  <c r="G24" i="7" s="1"/>
  <c r="F20" i="7"/>
  <c r="G20" i="7" s="1"/>
  <c r="F16" i="7"/>
  <c r="G16" i="7" s="1"/>
  <c r="F12" i="7"/>
  <c r="G12" i="7" s="1"/>
  <c r="F23" i="7"/>
  <c r="G23" i="7" s="1"/>
  <c r="F19" i="7"/>
  <c r="G19" i="7" s="1"/>
  <c r="F11" i="7"/>
  <c r="G11" i="7" s="1"/>
  <c r="F31" i="7"/>
  <c r="G31" i="7" s="1"/>
  <c r="F27" i="7"/>
  <c r="G27" i="7" s="1"/>
  <c r="F15" i="7"/>
  <c r="G15" i="7" s="1"/>
  <c r="F14" i="7"/>
  <c r="G14" i="7" s="1"/>
  <c r="F18" i="7"/>
  <c r="G18" i="7" s="1"/>
  <c r="F22" i="7"/>
  <c r="G22" i="7" s="1"/>
  <c r="F26" i="7"/>
  <c r="G26" i="7" s="1"/>
  <c r="F30" i="7"/>
  <c r="G30" i="7" s="1"/>
  <c r="F13" i="7"/>
  <c r="G13" i="7" s="1"/>
  <c r="F17" i="7"/>
  <c r="G17" i="7" s="1"/>
  <c r="F21" i="7"/>
  <c r="G21" i="7" s="1"/>
  <c r="F25" i="7"/>
  <c r="G25" i="7" s="1"/>
  <c r="F29" i="7"/>
  <c r="G29" i="7" s="1"/>
  <c r="F33" i="7"/>
  <c r="G33" i="7" s="1"/>
  <c r="F34" i="7"/>
  <c r="G34" i="7" s="1"/>
  <c r="F17" i="6"/>
  <c r="F35" i="6"/>
  <c r="F10" i="6"/>
  <c r="C12" i="5"/>
  <c r="C20" i="5"/>
  <c r="C28" i="5"/>
  <c r="C15" i="5"/>
  <c r="C23" i="5"/>
  <c r="C31" i="5"/>
  <c r="C10" i="5"/>
  <c r="C14" i="5"/>
  <c r="C18" i="5"/>
  <c r="C22" i="5"/>
  <c r="C26" i="5"/>
  <c r="C30" i="5"/>
  <c r="C34" i="5"/>
  <c r="C9" i="5"/>
  <c r="C13" i="5"/>
  <c r="C17" i="5"/>
  <c r="C21" i="5"/>
  <c r="C25" i="5"/>
  <c r="C29" i="5"/>
  <c r="D19" i="5" l="1"/>
  <c r="D30" i="5"/>
  <c r="D15" i="5"/>
  <c r="D25" i="5"/>
  <c r="D9" i="5"/>
  <c r="D22" i="5"/>
  <c r="D31" i="5"/>
  <c r="D20" i="5"/>
  <c r="D11" i="5"/>
  <c r="D21" i="5"/>
  <c r="D34" i="5"/>
  <c r="D18" i="5"/>
  <c r="D23" i="5"/>
  <c r="F39" i="11"/>
  <c r="D12" i="5"/>
  <c r="D17" i="5"/>
  <c r="D14" i="5"/>
  <c r="D29" i="5"/>
  <c r="D13" i="5"/>
  <c r="D26" i="5"/>
  <c r="D10" i="5"/>
  <c r="D28" i="5"/>
  <c r="F37" i="11"/>
  <c r="D27" i="5"/>
  <c r="E38" i="11"/>
  <c r="E39" i="11"/>
  <c r="E37" i="11"/>
  <c r="E40" i="11"/>
  <c r="B37" i="11"/>
  <c r="B38" i="11"/>
  <c r="B39" i="11"/>
  <c r="B40" i="11"/>
  <c r="B35" i="11"/>
  <c r="B36" i="11"/>
  <c r="D41" i="11"/>
  <c r="F12" i="8"/>
  <c r="F23" i="8"/>
  <c r="F15" i="8"/>
  <c r="F26" i="8"/>
  <c r="I26" i="8" s="1"/>
  <c r="C23" i="11" s="1"/>
  <c r="H23" i="11" s="1"/>
  <c r="I23" i="11" s="1"/>
  <c r="F29" i="8"/>
  <c r="F18" i="8"/>
  <c r="F9" i="8"/>
  <c r="F21" i="8"/>
  <c r="F32" i="8"/>
  <c r="F24" i="8"/>
  <c r="F13" i="8"/>
  <c r="F14" i="8"/>
  <c r="F27" i="8"/>
  <c r="F19" i="8"/>
  <c r="F30" i="8"/>
  <c r="F22" i="8"/>
  <c r="F10" i="8"/>
  <c r="F16" i="8"/>
  <c r="F33" i="8"/>
  <c r="F25" i="8"/>
  <c r="I25" i="8" s="1"/>
  <c r="C22" i="11" s="1"/>
  <c r="H22" i="11" s="1"/>
  <c r="I22" i="11" s="1"/>
  <c r="F17" i="8"/>
  <c r="F28" i="8"/>
  <c r="F20" i="8"/>
  <c r="F8" i="8"/>
  <c r="F11" i="8"/>
  <c r="F31" i="8"/>
  <c r="G17" i="6"/>
  <c r="G10" i="6"/>
  <c r="G35" i="6"/>
  <c r="F36" i="7"/>
  <c r="G36" i="7"/>
  <c r="F36" i="6"/>
  <c r="C35" i="5"/>
  <c r="M22" i="11" l="1"/>
  <c r="L22" i="11"/>
  <c r="M23" i="11"/>
  <c r="N23" i="11" s="1"/>
  <c r="L23" i="11"/>
  <c r="B41" i="11"/>
  <c r="F38" i="11"/>
  <c r="D35" i="5"/>
  <c r="F36" i="11"/>
  <c r="F40" i="11"/>
  <c r="E35" i="11"/>
  <c r="E41" i="11" s="1"/>
  <c r="E31" i="11"/>
  <c r="G36" i="6"/>
  <c r="E36" i="11"/>
  <c r="N22" i="11"/>
  <c r="I12" i="8"/>
  <c r="C9" i="11" s="1"/>
  <c r="H9" i="11" s="1"/>
  <c r="I9" i="11" s="1"/>
  <c r="I23" i="8"/>
  <c r="C20" i="11" s="1"/>
  <c r="H20" i="11" s="1"/>
  <c r="I20" i="11" s="1"/>
  <c r="I31" i="8"/>
  <c r="C28" i="11" s="1"/>
  <c r="H28" i="11" s="1"/>
  <c r="I28" i="11" s="1"/>
  <c r="I28" i="8"/>
  <c r="C25" i="11" s="1"/>
  <c r="H25" i="11" s="1"/>
  <c r="I25" i="11" s="1"/>
  <c r="I16" i="8"/>
  <c r="C13" i="11" s="1"/>
  <c r="H13" i="11" s="1"/>
  <c r="I13" i="11" s="1"/>
  <c r="I19" i="8"/>
  <c r="C16" i="11" s="1"/>
  <c r="H16" i="11" s="1"/>
  <c r="I16" i="11" s="1"/>
  <c r="I24" i="8"/>
  <c r="C21" i="11" s="1"/>
  <c r="H21" i="11" s="1"/>
  <c r="I21" i="11" s="1"/>
  <c r="I18" i="8"/>
  <c r="C15" i="11" s="1"/>
  <c r="I11" i="8"/>
  <c r="C8" i="11" s="1"/>
  <c r="I17" i="8"/>
  <c r="C14" i="11" s="1"/>
  <c r="H14" i="11" s="1"/>
  <c r="I14" i="11" s="1"/>
  <c r="I10" i="8"/>
  <c r="C7" i="11" s="1"/>
  <c r="I27" i="8"/>
  <c r="C24" i="11" s="1"/>
  <c r="H24" i="11" s="1"/>
  <c r="I24" i="11" s="1"/>
  <c r="I32" i="8"/>
  <c r="C29" i="11" s="1"/>
  <c r="H29" i="11" s="1"/>
  <c r="I29" i="11" s="1"/>
  <c r="I29" i="8"/>
  <c r="C26" i="11" s="1"/>
  <c r="H26" i="11" s="1"/>
  <c r="I26" i="11" s="1"/>
  <c r="I8" i="8"/>
  <c r="C5" i="11" s="1"/>
  <c r="I22" i="8"/>
  <c r="C19" i="11" s="1"/>
  <c r="H19" i="11" s="1"/>
  <c r="I19" i="11" s="1"/>
  <c r="I14" i="8"/>
  <c r="C11" i="11" s="1"/>
  <c r="H11" i="11" s="1"/>
  <c r="I11" i="11" s="1"/>
  <c r="I21" i="8"/>
  <c r="C18" i="11" s="1"/>
  <c r="H18" i="11" s="1"/>
  <c r="I18" i="11" s="1"/>
  <c r="I20" i="8"/>
  <c r="C17" i="11" s="1"/>
  <c r="I33" i="8"/>
  <c r="C30" i="11" s="1"/>
  <c r="H30" i="11" s="1"/>
  <c r="I30" i="11" s="1"/>
  <c r="I30" i="8"/>
  <c r="C27" i="11" s="1"/>
  <c r="H27" i="11" s="1"/>
  <c r="I27" i="11" s="1"/>
  <c r="I13" i="8"/>
  <c r="C10" i="11" s="1"/>
  <c r="H10" i="11" s="1"/>
  <c r="I10" i="11" s="1"/>
  <c r="I9" i="8"/>
  <c r="C6" i="11" s="1"/>
  <c r="I15" i="8"/>
  <c r="C12" i="11" s="1"/>
  <c r="H12" i="11" s="1"/>
  <c r="I12" i="11" s="1"/>
  <c r="F34" i="8"/>
  <c r="M12" i="11" l="1"/>
  <c r="L12" i="11"/>
  <c r="M30" i="11"/>
  <c r="N30" i="11" s="1"/>
  <c r="L30" i="11"/>
  <c r="M19" i="11"/>
  <c r="L19" i="11"/>
  <c r="M24" i="11"/>
  <c r="L24" i="11"/>
  <c r="M25" i="11"/>
  <c r="L25" i="11"/>
  <c r="M21" i="11"/>
  <c r="N21" i="11" s="1"/>
  <c r="L21" i="11"/>
  <c r="M28" i="11"/>
  <c r="L28" i="11"/>
  <c r="M10" i="11"/>
  <c r="N10" i="11" s="1"/>
  <c r="L10" i="11"/>
  <c r="M18" i="11"/>
  <c r="N18" i="11" s="1"/>
  <c r="L18" i="11"/>
  <c r="M26" i="11"/>
  <c r="N26" i="11" s="1"/>
  <c r="L26" i="11"/>
  <c r="M14" i="11"/>
  <c r="N14" i="11" s="1"/>
  <c r="L14" i="11"/>
  <c r="M16" i="11"/>
  <c r="N16" i="11" s="1"/>
  <c r="L16" i="11"/>
  <c r="M20" i="11"/>
  <c r="L20" i="11"/>
  <c r="M27" i="11"/>
  <c r="L27" i="11"/>
  <c r="M11" i="11"/>
  <c r="L11" i="11"/>
  <c r="M29" i="11"/>
  <c r="N29" i="11" s="1"/>
  <c r="L29" i="11"/>
  <c r="M13" i="11"/>
  <c r="N13" i="11" s="1"/>
  <c r="L13" i="11"/>
  <c r="M9" i="11"/>
  <c r="N9" i="11" s="1"/>
  <c r="L9" i="11"/>
  <c r="F35" i="11"/>
  <c r="F41" i="11" s="1"/>
  <c r="F31" i="11"/>
  <c r="N25" i="11"/>
  <c r="N20" i="11"/>
  <c r="N27" i="11"/>
  <c r="N11" i="11"/>
  <c r="C39" i="11"/>
  <c r="H8" i="11"/>
  <c r="N12" i="11"/>
  <c r="N19" i="11"/>
  <c r="N24" i="11"/>
  <c r="C37" i="11"/>
  <c r="H15" i="11"/>
  <c r="C36" i="11"/>
  <c r="H6" i="11"/>
  <c r="C38" i="11"/>
  <c r="H17" i="11"/>
  <c r="C35" i="11"/>
  <c r="C31" i="11"/>
  <c r="H5" i="11"/>
  <c r="C40" i="11"/>
  <c r="H7" i="11"/>
  <c r="N28" i="11"/>
  <c r="I34" i="8"/>
  <c r="H31" i="11" l="1"/>
  <c r="I6" i="11"/>
  <c r="H36" i="11"/>
  <c r="H40" i="11"/>
  <c r="I7" i="11"/>
  <c r="C41" i="11"/>
  <c r="I17" i="11"/>
  <c r="H38" i="11"/>
  <c r="I8" i="11"/>
  <c r="H39" i="11"/>
  <c r="H35" i="11"/>
  <c r="I5" i="11"/>
  <c r="L5" i="11" s="1"/>
  <c r="I15" i="11"/>
  <c r="H37" i="11"/>
  <c r="M17" i="11" l="1"/>
  <c r="L17" i="11"/>
  <c r="M15" i="11"/>
  <c r="N15" i="11" s="1"/>
  <c r="L15" i="11"/>
  <c r="M8" i="11"/>
  <c r="N8" i="11" s="1"/>
  <c r="L8" i="11"/>
  <c r="M6" i="11"/>
  <c r="L6" i="11"/>
  <c r="L31" i="11"/>
  <c r="M7" i="11"/>
  <c r="L7" i="11"/>
  <c r="H41" i="11"/>
  <c r="N17" i="11"/>
  <c r="N6" i="11"/>
  <c r="M5" i="11"/>
  <c r="I31" i="11"/>
  <c r="N7" i="11"/>
  <c r="N5" i="11" l="1"/>
  <c r="N31" i="11" s="1"/>
  <c r="M31" i="11"/>
</calcChain>
</file>

<file path=xl/sharedStrings.xml><?xml version="1.0" encoding="utf-8"?>
<sst xmlns="http://schemas.openxmlformats.org/spreadsheetml/2006/main" count="542" uniqueCount="153">
  <si>
    <t>Outpatient</t>
  </si>
  <si>
    <t>SFY20</t>
  </si>
  <si>
    <t>General IP</t>
  </si>
  <si>
    <t>Supp Pmt</t>
  </si>
  <si>
    <t>$0 - 6,999,999</t>
  </si>
  <si>
    <t>Over $14,000,000</t>
  </si>
  <si>
    <t>FFY 2016</t>
  </si>
  <si>
    <t>Hospital</t>
  </si>
  <si>
    <t>Provider ID</t>
  </si>
  <si>
    <t>Medicaid</t>
  </si>
  <si>
    <t>Cap</t>
  </si>
  <si>
    <t>Inpatient</t>
  </si>
  <si>
    <t xml:space="preserve">up to 1st </t>
  </si>
  <si>
    <t>Supplemental</t>
  </si>
  <si>
    <t>Payments</t>
  </si>
  <si>
    <t>%</t>
  </si>
  <si>
    <t>Capped %</t>
  </si>
  <si>
    <t xml:space="preserve">BACKUS </t>
  </si>
  <si>
    <t>004041851</t>
  </si>
  <si>
    <t xml:space="preserve">BRIDGEPORT </t>
  </si>
  <si>
    <t>004041703</t>
  </si>
  <si>
    <t xml:space="preserve">BRISTOL </t>
  </si>
  <si>
    <t>004041901</t>
  </si>
  <si>
    <t xml:space="preserve">DANBURY </t>
  </si>
  <si>
    <t>004041935</t>
  </si>
  <si>
    <t>System</t>
  </si>
  <si>
    <t xml:space="preserve">DAY KIMBALL </t>
  </si>
  <si>
    <t>004041638</t>
  </si>
  <si>
    <t>GREENWICH</t>
  </si>
  <si>
    <t>004041786</t>
  </si>
  <si>
    <t xml:space="preserve">GRIFFIN </t>
  </si>
  <si>
    <t>004041927</t>
  </si>
  <si>
    <t xml:space="preserve">HARTFORD </t>
  </si>
  <si>
    <t>004041869</t>
  </si>
  <si>
    <t>HOSP. CEN. CT</t>
  </si>
  <si>
    <t>004041950</t>
  </si>
  <si>
    <t xml:space="preserve">HUNGERFORD </t>
  </si>
  <si>
    <t>004041711</t>
  </si>
  <si>
    <t>JOHNSON</t>
  </si>
  <si>
    <t>004041687</t>
  </si>
  <si>
    <t>LAWR &amp; MEM</t>
  </si>
  <si>
    <t>004041679</t>
  </si>
  <si>
    <t>MANCHESTER</t>
  </si>
  <si>
    <t>004041885</t>
  </si>
  <si>
    <t xml:space="preserve">MIDDLESEX </t>
  </si>
  <si>
    <t>004041810</t>
  </si>
  <si>
    <t xml:space="preserve">MIDSTATE </t>
  </si>
  <si>
    <t>004041778</t>
  </si>
  <si>
    <t xml:space="preserve">MILFORD </t>
  </si>
  <si>
    <t>004041794</t>
  </si>
  <si>
    <t xml:space="preserve">NORWALK </t>
  </si>
  <si>
    <t>004041943</t>
  </si>
  <si>
    <t>ROCKVILLE</t>
  </si>
  <si>
    <t>004041729</t>
  </si>
  <si>
    <t xml:space="preserve">SHARON </t>
  </si>
  <si>
    <t>004221800</t>
  </si>
  <si>
    <t>ST FRANCIS</t>
  </si>
  <si>
    <t>004041620</t>
  </si>
  <si>
    <t xml:space="preserve">ST MARYS </t>
  </si>
  <si>
    <t>004041760</t>
  </si>
  <si>
    <t>ST VINCENTS</t>
  </si>
  <si>
    <t>004041893</t>
  </si>
  <si>
    <t xml:space="preserve">STAMFORD </t>
  </si>
  <si>
    <t>004041661</t>
  </si>
  <si>
    <t xml:space="preserve">WATERBURY </t>
  </si>
  <si>
    <t>004041653</t>
  </si>
  <si>
    <t>WINDHAM</t>
  </si>
  <si>
    <t>004041828</t>
  </si>
  <si>
    <t>YALE</t>
  </si>
  <si>
    <t>004041836</t>
  </si>
  <si>
    <t>TOTAL</t>
  </si>
  <si>
    <t>$7,000,000 - 14,000,000</t>
  </si>
  <si>
    <t>Medicaid pmts &lt; $14M</t>
  </si>
  <si>
    <t>Medicaid pmts &gt; $14M</t>
  </si>
  <si>
    <t>Non-System</t>
  </si>
  <si>
    <t>Additional for Non-System Hospitals:</t>
  </si>
  <si>
    <t>OHCA</t>
  </si>
  <si>
    <t>Revenues</t>
  </si>
  <si>
    <t xml:space="preserve">Qualifiers </t>
  </si>
  <si>
    <t>have Medicaid</t>
  </si>
  <si>
    <t>Revenue</t>
  </si>
  <si>
    <t>No Cap</t>
  </si>
  <si>
    <t>&gt;</t>
  </si>
  <si>
    <t>DNBRY / N.MILFRD</t>
  </si>
  <si>
    <t>HOSP.CENTRAL CT</t>
  </si>
  <si>
    <t xml:space="preserve">LAWRNCE &amp; MEM. </t>
  </si>
  <si>
    <t>Cap at $5M</t>
  </si>
  <si>
    <t>Beds</t>
  </si>
  <si>
    <t>OHCA Rept</t>
  </si>
  <si>
    <t>HOSPITAL</t>
  </si>
  <si>
    <t>Trinity (jnson,safns,samry)</t>
  </si>
  <si>
    <t>Prospect (manch,rkvle,watby)</t>
  </si>
  <si>
    <t>All Others</t>
  </si>
  <si>
    <r>
      <t>Hartford (bckus,hartf,hocct,hgrfd,midst,</t>
    </r>
    <r>
      <rPr>
        <b/>
        <sz val="11"/>
        <color theme="1"/>
        <rFont val="Calibri"/>
        <family val="2"/>
        <scheme val="minor"/>
      </rPr>
      <t>savct</t>
    </r>
    <r>
      <rPr>
        <sz val="11"/>
        <color theme="1"/>
        <rFont val="Calibri"/>
        <family val="2"/>
        <scheme val="minor"/>
      </rPr>
      <t>,wndhm)</t>
    </r>
  </si>
  <si>
    <r>
      <t>WCHN (danby,nrwlk,nmilf,</t>
    </r>
    <r>
      <rPr>
        <b/>
        <sz val="11"/>
        <color theme="1"/>
        <rFont val="Calibri"/>
        <family val="2"/>
        <scheme val="minor"/>
      </rPr>
      <t>sharn</t>
    </r>
    <r>
      <rPr>
        <sz val="11"/>
        <color theme="1"/>
        <rFont val="Calibri"/>
        <family val="2"/>
        <scheme val="minor"/>
      </rPr>
      <t>)</t>
    </r>
  </si>
  <si>
    <r>
      <t>Yale (brgpt,grenh,lamem,</t>
    </r>
    <r>
      <rPr>
        <b/>
        <sz val="11"/>
        <color theme="1"/>
        <rFont val="Calibri"/>
        <family val="2"/>
        <scheme val="minor"/>
      </rPr>
      <t>milfd</t>
    </r>
    <r>
      <rPr>
        <sz val="11"/>
        <color theme="1"/>
        <rFont val="Calibri"/>
        <family val="2"/>
        <scheme val="minor"/>
      </rPr>
      <t>,ynhav)</t>
    </r>
  </si>
  <si>
    <t>Affiliations - Recent changes: added St. Vincent to Hartford, Milford to Yale, and Sharon to WCHN</t>
  </si>
  <si>
    <t>Licensed</t>
  </si>
  <si>
    <t>FFY16</t>
  </si>
  <si>
    <t>Licensed Beds &gt; 180 and &lt; 500</t>
  </si>
  <si>
    <t>Mid-Sized Inpatient Hospital Supp Pmts</t>
  </si>
  <si>
    <t>Small Hospital Inpatient Supplemental Payments - 180 or fewer licensed beds</t>
  </si>
  <si>
    <t>Note: A mid-sized non-system hospital will become ineligible for the additional non-system payment beginning with the quarter following the closing date of the completion of a merger or formal affiliation. Any funds remaining due to one or more hospitals becoming ineligible will be transferred to the general inpatient supplemental payment pool.</t>
  </si>
  <si>
    <t>Large Inpatient Supplemental Payments</t>
  </si>
  <si>
    <t>Mid-Sized Outpatient Hospital Supp Pmts</t>
  </si>
  <si>
    <t>Emergency Dept Visits &gt; 30,000 and &lt; 90,000</t>
  </si>
  <si>
    <t>$0 - 9,999,999</t>
  </si>
  <si>
    <t>$10,000,000 - 21,500,000</t>
  </si>
  <si>
    <t>Over $21,500,000</t>
  </si>
  <si>
    <t>Medicaid pmts &lt; $21.5M</t>
  </si>
  <si>
    <t>Medicaid pmts &gt; $21.5M</t>
  </si>
  <si>
    <t>Note: A mid-sized non-system hospital will become ineligible for the additional non-system payment beginning with the quarter following the closing date of the completion of a merger or formal affiliation. Any funds remaining due to one or more hospitals becoming ineligible will be transferred to the general outpatient supplemental payment pool.</t>
  </si>
  <si>
    <t>FY16 OP Medicaid Pmts</t>
  </si>
  <si>
    <t>FY16 IP Medicaid Pmts</t>
  </si>
  <si>
    <t>Small IP</t>
  </si>
  <si>
    <t>Mid-Sized IP</t>
  </si>
  <si>
    <t>Mid-Sized OP</t>
  </si>
  <si>
    <t>Large IP</t>
  </si>
  <si>
    <t>General OP</t>
  </si>
  <si>
    <t>Quarterly</t>
  </si>
  <si>
    <r>
      <t>NOTES</t>
    </r>
    <r>
      <rPr>
        <b/>
        <sz val="11"/>
        <color theme="1"/>
        <rFont val="Calibri"/>
        <family val="2"/>
        <scheme val="minor"/>
      </rPr>
      <t>:</t>
    </r>
  </si>
  <si>
    <t>* The amounts described above reflect supplemental payment amounts calculated based on the initial agreed-upon distribution criteria and this exhibit is subject to all provisions of the settlement agreement.  If there is any discrepancy, the settlement agreement controls.</t>
  </si>
  <si>
    <t>* Payments for hospitals that merge, are acquired, and/or close will be treated in accordance with the settlement agreement.</t>
  </si>
  <si>
    <t>* As detailed in the initial agreed-upon supplemental payment distribution criteria, if a non-system hospital in the mid-sized hospital pool becomes ineligible for the additional non-system supplemental payment, those funds will be transferred from the mid-sized inpatient pool to the general inpatient supplemental payment pool and from the mid-sized outpatient pool to the general outpatient supplemental payment pool.</t>
  </si>
  <si>
    <t xml:space="preserve">SFY 2020 Supplemental Payments </t>
  </si>
  <si>
    <t>SFY 2020 Supplemental Payments using 2019 Pools at SFY 2020 Budgeted amount of $453.3M (PA 19-117)</t>
  </si>
  <si>
    <t>Budgeted figures do not include any quality withholds</t>
  </si>
  <si>
    <t>Annual</t>
  </si>
  <si>
    <t>Hospitals</t>
  </si>
  <si>
    <t>Budgeted</t>
  </si>
  <si>
    <t>TOTALS</t>
  </si>
  <si>
    <t>Affiliations</t>
  </si>
  <si>
    <t>Hartford</t>
  </si>
  <si>
    <t>Yale</t>
  </si>
  <si>
    <t>WCHN</t>
  </si>
  <si>
    <t>Prospect</t>
  </si>
  <si>
    <t>Trinity</t>
  </si>
  <si>
    <t>Stamford</t>
  </si>
  <si>
    <t>Bristol</t>
  </si>
  <si>
    <t>Middlesex</t>
  </si>
  <si>
    <t>Griffin</t>
  </si>
  <si>
    <t>Day Kimball</t>
  </si>
  <si>
    <t>4th Quarter per Agreement</t>
  </si>
  <si>
    <t>Quarterly Total per Agreement</t>
  </si>
  <si>
    <t>Annual Total per Agreement</t>
  </si>
  <si>
    <t>General Outpatient Supplemental Payments</t>
  </si>
  <si>
    <t>General Inpatient Supplemental Payments</t>
  </si>
  <si>
    <t>IP General</t>
  </si>
  <si>
    <t>1st Qtr Pmt made on 9-25-19</t>
  </si>
  <si>
    <t>1st Quarter Interim - Paid 9/25/19</t>
  </si>
  <si>
    <t>3rd Quarter per Agreement - Paid 1/22/20</t>
  </si>
  <si>
    <t>1st Quarter per Agreement - Paid 1/28/20</t>
  </si>
  <si>
    <t>2nd Quarter per Agreement - Paid 12/31/19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</si>
</sst>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0.0000%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theme="1"/>
      <name val="Tahoma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u/>
      <sz val="10"/>
      <color rgb="FF004488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rgb="FF0066AA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Unicode MS"/>
      <family val="2"/>
    </font>
    <font>
      <sz val="12"/>
      <color theme="1"/>
      <name val="Arial Unicode MS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11"/>
      <color indexed="8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7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9" fillId="0" borderId="0"/>
    <xf numFmtId="9" fontId="17" fillId="0" borderId="0" applyFont="0" applyFill="0" applyBorder="0" applyAlignment="0" applyProtection="0"/>
    <xf numFmtId="0" fontId="17" fillId="0" borderId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4" borderId="0" applyNumberFormat="0" applyBorder="0" applyAlignment="0" applyProtection="0"/>
    <xf numFmtId="0" fontId="1" fillId="30" borderId="0" applyNumberFormat="0" applyBorder="0" applyAlignment="0" applyProtection="0"/>
    <xf numFmtId="0" fontId="20" fillId="35" borderId="0" applyNumberFormat="0" applyBorder="0" applyAlignment="0" applyProtection="0"/>
    <xf numFmtId="0" fontId="1" fillId="11" borderId="0" applyNumberFormat="0" applyBorder="0" applyAlignment="0" applyProtection="0"/>
    <xf numFmtId="0" fontId="20" fillId="36" borderId="0" applyNumberFormat="0" applyBorder="0" applyAlignment="0" applyProtection="0"/>
    <xf numFmtId="0" fontId="1" fillId="15" borderId="0" applyNumberFormat="0" applyBorder="0" applyAlignment="0" applyProtection="0"/>
    <xf numFmtId="0" fontId="20" fillId="37" borderId="0" applyNumberFormat="0" applyBorder="0" applyAlignment="0" applyProtection="0"/>
    <xf numFmtId="0" fontId="1" fillId="19" borderId="0" applyNumberFormat="0" applyBorder="0" applyAlignment="0" applyProtection="0"/>
    <xf numFmtId="0" fontId="20" fillId="38" borderId="0" applyNumberFormat="0" applyBorder="0" applyAlignment="0" applyProtection="0"/>
    <xf numFmtId="0" fontId="1" fillId="23" borderId="0" applyNumberFormat="0" applyBorder="0" applyAlignment="0" applyProtection="0"/>
    <xf numFmtId="0" fontId="20" fillId="35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1" fillId="31" borderId="0" applyNumberFormat="0" applyBorder="0" applyAlignment="0" applyProtection="0"/>
    <xf numFmtId="0" fontId="21" fillId="40" borderId="0" applyNumberFormat="0" applyBorder="0" applyAlignment="0" applyProtection="0"/>
    <xf numFmtId="0" fontId="16" fillId="12" borderId="0" applyNumberFormat="0" applyBorder="0" applyAlignment="0" applyProtection="0"/>
    <xf numFmtId="0" fontId="21" fillId="36" borderId="0" applyNumberFormat="0" applyBorder="0" applyAlignment="0" applyProtection="0"/>
    <xf numFmtId="0" fontId="16" fillId="16" borderId="0" applyNumberFormat="0" applyBorder="0" applyAlignment="0" applyProtection="0"/>
    <xf numFmtId="0" fontId="21" fillId="37" borderId="0" applyNumberFormat="0" applyBorder="0" applyAlignment="0" applyProtection="0"/>
    <xf numFmtId="0" fontId="16" fillId="20" borderId="0" applyNumberFormat="0" applyBorder="0" applyAlignment="0" applyProtection="0"/>
    <xf numFmtId="0" fontId="21" fillId="41" borderId="0" applyNumberFormat="0" applyBorder="0" applyAlignment="0" applyProtection="0"/>
    <xf numFmtId="0" fontId="16" fillId="24" borderId="0" applyNumberFormat="0" applyBorder="0" applyAlignment="0" applyProtection="0"/>
    <xf numFmtId="0" fontId="21" fillId="42" borderId="0" applyNumberFormat="0" applyBorder="0" applyAlignment="0" applyProtection="0"/>
    <xf numFmtId="0" fontId="16" fillId="28" borderId="0" applyNumberFormat="0" applyBorder="0" applyAlignment="0" applyProtection="0"/>
    <xf numFmtId="0" fontId="21" fillId="43" borderId="0" applyNumberFormat="0" applyBorder="0" applyAlignment="0" applyProtection="0"/>
    <xf numFmtId="0" fontId="16" fillId="32" borderId="0" applyNumberFormat="0" applyBorder="0" applyAlignment="0" applyProtection="0"/>
    <xf numFmtId="0" fontId="21" fillId="44" borderId="0" applyNumberFormat="0" applyBorder="0" applyAlignment="0" applyProtection="0"/>
    <xf numFmtId="0" fontId="16" fillId="9" borderId="0" applyNumberFormat="0" applyBorder="0" applyAlignment="0" applyProtection="0"/>
    <xf numFmtId="0" fontId="21" fillId="45" borderId="0" applyNumberFormat="0" applyBorder="0" applyAlignment="0" applyProtection="0"/>
    <xf numFmtId="0" fontId="16" fillId="13" borderId="0" applyNumberFormat="0" applyBorder="0" applyAlignment="0" applyProtection="0"/>
    <xf numFmtId="0" fontId="21" fillId="46" borderId="0" applyNumberFormat="0" applyBorder="0" applyAlignment="0" applyProtection="0"/>
    <xf numFmtId="0" fontId="16" fillId="17" borderId="0" applyNumberFormat="0" applyBorder="0" applyAlignment="0" applyProtection="0"/>
    <xf numFmtId="0" fontId="21" fillId="41" borderId="0" applyNumberFormat="0" applyBorder="0" applyAlignment="0" applyProtection="0"/>
    <xf numFmtId="0" fontId="16" fillId="21" borderId="0" applyNumberFormat="0" applyBorder="0" applyAlignment="0" applyProtection="0"/>
    <xf numFmtId="0" fontId="21" fillId="42" borderId="0" applyNumberFormat="0" applyBorder="0" applyAlignment="0" applyProtection="0"/>
    <xf numFmtId="0" fontId="16" fillId="25" borderId="0" applyNumberFormat="0" applyBorder="0" applyAlignment="0" applyProtection="0"/>
    <xf numFmtId="0" fontId="21" fillId="47" borderId="0" applyNumberFormat="0" applyBorder="0" applyAlignment="0" applyProtection="0"/>
    <xf numFmtId="0" fontId="16" fillId="29" borderId="0" applyNumberFormat="0" applyBorder="0" applyAlignment="0" applyProtection="0"/>
    <xf numFmtId="0" fontId="22" fillId="48" borderId="0" applyNumberFormat="0" applyBorder="0" applyAlignment="0" applyProtection="0"/>
    <xf numFmtId="0" fontId="6" fillId="3" borderId="0" applyNumberFormat="0" applyBorder="0" applyAlignment="0" applyProtection="0"/>
    <xf numFmtId="0" fontId="23" fillId="49" borderId="15" applyNumberFormat="0" applyAlignment="0" applyProtection="0"/>
    <xf numFmtId="0" fontId="23" fillId="49" borderId="15" applyNumberFormat="0" applyAlignment="0" applyProtection="0"/>
    <xf numFmtId="0" fontId="23" fillId="49" borderId="15" applyNumberFormat="0" applyAlignment="0" applyProtection="0"/>
    <xf numFmtId="0" fontId="10" fillId="6" borderId="4" applyNumberFormat="0" applyAlignment="0" applyProtection="0"/>
    <xf numFmtId="0" fontId="24" fillId="50" borderId="16" applyNumberFormat="0" applyAlignment="0" applyProtection="0"/>
    <xf numFmtId="0" fontId="12" fillId="7" borderId="7" applyNumberFormat="0" applyAlignment="0" applyProtection="0"/>
    <xf numFmtId="43" fontId="25" fillId="0" borderId="0" applyFont="0" applyFill="0" applyBorder="0" applyAlignment="0" applyProtection="0"/>
    <xf numFmtId="37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7" fontId="29" fillId="0" borderId="0" applyFont="0" applyFill="0" applyBorder="0" applyAlignment="0" applyProtection="0"/>
    <xf numFmtId="37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6" fillId="0" borderId="0" applyFont="0" applyFill="0" applyBorder="0" applyAlignment="0" applyProtection="0"/>
    <xf numFmtId="44" fontId="30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7" applyNumberFormat="0" applyFill="0" applyAlignment="0" applyProtection="0"/>
    <xf numFmtId="0" fontId="2" fillId="0" borderId="1" applyNumberFormat="0" applyFill="0" applyAlignment="0" applyProtection="0"/>
    <xf numFmtId="0" fontId="35" fillId="0" borderId="18" applyNumberFormat="0" applyFill="0" applyAlignment="0" applyProtection="0"/>
    <xf numFmtId="0" fontId="3" fillId="0" borderId="2" applyNumberFormat="0" applyFill="0" applyAlignment="0" applyProtection="0"/>
    <xf numFmtId="0" fontId="36" fillId="0" borderId="19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34" borderId="15" applyNumberFormat="0" applyAlignment="0" applyProtection="0"/>
    <xf numFmtId="0" fontId="38" fillId="34" borderId="15" applyNumberFormat="0" applyAlignment="0" applyProtection="0"/>
    <xf numFmtId="0" fontId="38" fillId="34" borderId="15" applyNumberFormat="0" applyAlignment="0" applyProtection="0"/>
    <xf numFmtId="0" fontId="8" fillId="5" borderId="4" applyNumberFormat="0" applyAlignment="0" applyProtection="0"/>
    <xf numFmtId="0" fontId="39" fillId="0" borderId="20" applyNumberFormat="0" applyFill="0" applyAlignment="0" applyProtection="0"/>
    <xf numFmtId="0" fontId="11" fillId="0" borderId="6" applyNumberFormat="0" applyFill="0" applyAlignment="0" applyProtection="0"/>
    <xf numFmtId="0" fontId="40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5" fillId="0" borderId="0"/>
    <xf numFmtId="0" fontId="1" fillId="0" borderId="0"/>
    <xf numFmtId="0" fontId="30" fillId="0" borderId="0"/>
    <xf numFmtId="38" fontId="26" fillId="0" borderId="0"/>
    <xf numFmtId="0" fontId="1" fillId="0" borderId="0"/>
    <xf numFmtId="0" fontId="17" fillId="0" borderId="0"/>
    <xf numFmtId="0" fontId="4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27" fillId="0" borderId="0"/>
    <xf numFmtId="0" fontId="42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38" fontId="26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2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3" borderId="21" applyNumberFormat="0" applyFont="0" applyAlignment="0" applyProtection="0"/>
    <xf numFmtId="0" fontId="20" fillId="53" borderId="21" applyNumberFormat="0" applyFont="0" applyAlignment="0" applyProtection="0"/>
    <xf numFmtId="0" fontId="20" fillId="53" borderId="21" applyNumberFormat="0" applyFont="0" applyAlignment="0" applyProtection="0"/>
    <xf numFmtId="0" fontId="1" fillId="8" borderId="8" applyNumberFormat="0" applyFont="0" applyAlignment="0" applyProtection="0"/>
    <xf numFmtId="0" fontId="43" fillId="49" borderId="22" applyNumberFormat="0" applyAlignment="0" applyProtection="0"/>
    <xf numFmtId="0" fontId="43" fillId="49" borderId="22" applyNumberFormat="0" applyAlignment="0" applyProtection="0"/>
    <xf numFmtId="0" fontId="43" fillId="49" borderId="22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4" fillId="0" borderId="0"/>
    <xf numFmtId="5" fontId="17" fillId="0" borderId="23">
      <alignment horizontal="right" vertical="top"/>
    </xf>
    <xf numFmtId="0" fontId="17" fillId="0" borderId="0" applyNumberFormat="0" applyFont="0" applyBorder="0">
      <alignment horizontal="centerContinuous"/>
    </xf>
    <xf numFmtId="0" fontId="45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15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</cellStyleXfs>
  <cellXfs count="148">
    <xf numFmtId="0" fontId="0" fillId="0" borderId="0" xfId="0"/>
    <xf numFmtId="164" fontId="0" fillId="0" borderId="0" xfId="1" applyNumberFormat="1" applyFont="1"/>
    <xf numFmtId="0" fontId="0" fillId="0" borderId="10" xfId="0" applyBorder="1"/>
    <xf numFmtId="0" fontId="0" fillId="0" borderId="0" xfId="0" applyAlignment="1">
      <alignment horizontal="right"/>
    </xf>
    <xf numFmtId="0" fontId="15" fillId="0" borderId="0" xfId="0" applyFont="1" applyAlignment="1">
      <alignment horizontal="center"/>
    </xf>
    <xf numFmtId="0" fontId="17" fillId="0" borderId="11" xfId="3" applyFont="1" applyBorder="1" applyAlignment="1" applyProtection="1">
      <alignment horizontal="left"/>
    </xf>
    <xf numFmtId="0" fontId="17" fillId="0" borderId="11" xfId="3" applyFont="1" applyBorder="1" applyProtection="1"/>
    <xf numFmtId="0" fontId="17" fillId="0" borderId="11" xfId="3" applyFont="1" applyFill="1" applyBorder="1" applyAlignment="1" applyProtection="1">
      <alignment horizontal="center"/>
    </xf>
    <xf numFmtId="0" fontId="17" fillId="0" borderId="11" xfId="4" applyFont="1" applyBorder="1" applyAlignment="1" applyProtection="1">
      <alignment horizontal="center"/>
    </xf>
    <xf numFmtId="0" fontId="17" fillId="0" borderId="12" xfId="3" applyFont="1" applyBorder="1" applyAlignment="1" applyProtection="1">
      <alignment horizontal="left"/>
    </xf>
    <xf numFmtId="0" fontId="17" fillId="0" borderId="12" xfId="3" applyFont="1" applyBorder="1" applyProtection="1"/>
    <xf numFmtId="0" fontId="17" fillId="0" borderId="12" xfId="3" applyFont="1" applyBorder="1" applyAlignment="1" applyProtection="1">
      <alignment horizontal="center"/>
    </xf>
    <xf numFmtId="0" fontId="18" fillId="0" borderId="12" xfId="4" applyFont="1" applyFill="1" applyBorder="1" applyAlignment="1" applyProtection="1">
      <alignment horizontal="center"/>
    </xf>
    <xf numFmtId="0" fontId="17" fillId="0" borderId="13" xfId="3" applyFont="1" applyBorder="1" applyAlignment="1" applyProtection="1">
      <alignment horizontal="left"/>
    </xf>
    <xf numFmtId="0" fontId="17" fillId="0" borderId="13" xfId="3" applyFont="1" applyBorder="1" applyProtection="1"/>
    <xf numFmtId="0" fontId="17" fillId="0" borderId="13" xfId="3" applyFont="1" applyBorder="1" applyAlignment="1" applyProtection="1">
      <alignment horizontal="center"/>
    </xf>
    <xf numFmtId="0" fontId="17" fillId="0" borderId="13" xfId="4" applyFont="1" applyBorder="1" applyAlignment="1" applyProtection="1">
      <alignment horizontal="center"/>
    </xf>
    <xf numFmtId="5" fontId="18" fillId="0" borderId="13" xfId="3" applyNumberFormat="1" applyFont="1" applyFill="1" applyBorder="1" applyAlignment="1" applyProtection="1">
      <alignment horizontal="center" wrapText="1"/>
    </xf>
    <xf numFmtId="0" fontId="18" fillId="0" borderId="13" xfId="4" applyFont="1" applyFill="1" applyBorder="1" applyAlignment="1" applyProtection="1">
      <alignment horizontal="center"/>
    </xf>
    <xf numFmtId="0" fontId="17" fillId="0" borderId="14" xfId="5" applyFont="1" applyFill="1" applyBorder="1" applyAlignment="1" applyProtection="1">
      <alignment horizontal="left"/>
    </xf>
    <xf numFmtId="5" fontId="17" fillId="0" borderId="14" xfId="6" applyNumberFormat="1" applyFont="1" applyFill="1" applyBorder="1" applyAlignment="1" applyProtection="1">
      <alignment horizontal="right"/>
    </xf>
    <xf numFmtId="10" fontId="17" fillId="0" borderId="14" xfId="7" applyNumberFormat="1" applyFont="1" applyBorder="1" applyAlignment="1" applyProtection="1">
      <alignment horizontal="right"/>
    </xf>
    <xf numFmtId="5" fontId="17" fillId="0" borderId="11" xfId="6" applyNumberFormat="1" applyFont="1" applyBorder="1" applyAlignment="1" applyProtection="1">
      <alignment horizontal="right"/>
    </xf>
    <xf numFmtId="165" fontId="17" fillId="0" borderId="14" xfId="7" applyNumberFormat="1" applyFont="1" applyFill="1" applyBorder="1" applyAlignment="1" applyProtection="1">
      <alignment horizontal="right"/>
    </xf>
    <xf numFmtId="5" fontId="17" fillId="0" borderId="14" xfId="6" applyNumberFormat="1" applyFont="1" applyBorder="1" applyAlignment="1" applyProtection="1">
      <alignment horizontal="right"/>
    </xf>
    <xf numFmtId="0" fontId="18" fillId="0" borderId="14" xfId="5" applyFont="1" applyFill="1" applyBorder="1" applyAlignment="1" applyProtection="1">
      <alignment horizontal="left"/>
    </xf>
    <xf numFmtId="5" fontId="18" fillId="0" borderId="14" xfId="6" applyNumberFormat="1" applyFont="1" applyFill="1" applyBorder="1" applyAlignment="1" applyProtection="1">
      <alignment horizontal="right"/>
    </xf>
    <xf numFmtId="10" fontId="18" fillId="0" borderId="14" xfId="7" applyNumberFormat="1" applyFont="1" applyBorder="1" applyAlignment="1" applyProtection="1">
      <alignment horizontal="right"/>
    </xf>
    <xf numFmtId="0" fontId="15" fillId="0" borderId="0" xfId="0" applyFont="1"/>
    <xf numFmtId="164" fontId="0" fillId="0" borderId="10" xfId="0" applyNumberFormat="1" applyBorder="1"/>
    <xf numFmtId="0" fontId="0" fillId="0" borderId="0" xfId="0" applyBorder="1"/>
    <xf numFmtId="0" fontId="0" fillId="0" borderId="14" xfId="0" applyBorder="1"/>
    <xf numFmtId="164" fontId="0" fillId="0" borderId="14" xfId="0" applyNumberFormat="1" applyBorder="1"/>
    <xf numFmtId="0" fontId="15" fillId="0" borderId="14" xfId="0" applyFont="1" applyBorder="1"/>
    <xf numFmtId="164" fontId="15" fillId="0" borderId="14" xfId="1" applyNumberFormat="1" applyFont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48" fillId="0" borderId="27" xfId="0" applyFont="1" applyBorder="1"/>
    <xf numFmtId="0" fontId="49" fillId="0" borderId="0" xfId="163" applyFont="1" applyProtection="1">
      <protection locked="0"/>
    </xf>
    <xf numFmtId="0" fontId="50" fillId="0" borderId="0" xfId="163" applyFont="1" applyProtection="1">
      <protection locked="0"/>
    </xf>
    <xf numFmtId="5" fontId="49" fillId="0" borderId="0" xfId="163" applyNumberFormat="1" applyFont="1" applyProtection="1">
      <protection locked="0"/>
    </xf>
    <xf numFmtId="166" fontId="49" fillId="0" borderId="0" xfId="163" applyNumberFormat="1" applyFont="1" applyProtection="1">
      <protection locked="0"/>
    </xf>
    <xf numFmtId="0" fontId="49" fillId="0" borderId="0" xfId="163" applyFont="1" applyProtection="1"/>
    <xf numFmtId="0" fontId="51" fillId="0" borderId="0" xfId="163" applyFont="1" applyProtection="1"/>
    <xf numFmtId="0" fontId="51" fillId="0" borderId="0" xfId="163" applyFont="1" applyAlignment="1" applyProtection="1">
      <alignment horizontal="center"/>
    </xf>
    <xf numFmtId="0" fontId="18" fillId="0" borderId="29" xfId="3" applyFont="1" applyBorder="1" applyProtection="1"/>
    <xf numFmtId="0" fontId="18" fillId="0" borderId="11" xfId="3" applyFont="1" applyBorder="1" applyProtection="1"/>
    <xf numFmtId="0" fontId="17" fillId="0" borderId="11" xfId="3" applyFont="1" applyBorder="1" applyAlignment="1" applyProtection="1">
      <alignment horizontal="center"/>
    </xf>
    <xf numFmtId="0" fontId="17" fillId="0" borderId="27" xfId="3" applyFont="1" applyBorder="1" applyProtection="1"/>
    <xf numFmtId="0" fontId="49" fillId="0" borderId="12" xfId="163" applyFont="1" applyBorder="1" applyProtection="1"/>
    <xf numFmtId="0" fontId="17" fillId="0" borderId="27" xfId="3" applyFont="1" applyBorder="1" applyAlignment="1" applyProtection="1">
      <alignment horizontal="center"/>
    </xf>
    <xf numFmtId="0" fontId="17" fillId="0" borderId="27" xfId="3" applyFont="1" applyBorder="1" applyAlignment="1" applyProtection="1">
      <alignment horizontal="left"/>
    </xf>
    <xf numFmtId="5" fontId="17" fillId="0" borderId="12" xfId="3" applyNumberFormat="1" applyFont="1" applyBorder="1" applyAlignment="1" applyProtection="1">
      <alignment horizontal="center" wrapText="1"/>
    </xf>
    <xf numFmtId="5" fontId="18" fillId="0" borderId="12" xfId="3" applyNumberFormat="1" applyFont="1" applyFill="1" applyBorder="1" applyAlignment="1" applyProtection="1">
      <alignment horizontal="center" wrapText="1"/>
    </xf>
    <xf numFmtId="164" fontId="17" fillId="0" borderId="12" xfId="1" applyNumberFormat="1" applyFont="1" applyBorder="1" applyAlignment="1" applyProtection="1">
      <alignment horizontal="center"/>
    </xf>
    <xf numFmtId="5" fontId="17" fillId="0" borderId="13" xfId="3" applyNumberFormat="1" applyFont="1" applyBorder="1" applyAlignment="1" applyProtection="1">
      <alignment horizontal="center" wrapText="1"/>
    </xf>
    <xf numFmtId="0" fontId="52" fillId="0" borderId="14" xfId="163" applyFont="1" applyBorder="1" applyProtection="1"/>
    <xf numFmtId="0" fontId="17" fillId="0" borderId="11" xfId="5" applyFont="1" applyFill="1" applyBorder="1" applyAlignment="1" applyProtection="1">
      <alignment horizontal="left"/>
    </xf>
    <xf numFmtId="0" fontId="17" fillId="0" borderId="11" xfId="5" quotePrefix="1" applyFont="1" applyFill="1" applyBorder="1" applyAlignment="1" applyProtection="1">
      <alignment horizontal="left"/>
    </xf>
    <xf numFmtId="5" fontId="17" fillId="0" borderId="11" xfId="6" applyNumberFormat="1" applyFont="1" applyFill="1" applyBorder="1" applyAlignment="1" applyProtection="1">
      <alignment horizontal="right"/>
    </xf>
    <xf numFmtId="5" fontId="17" fillId="0" borderId="29" xfId="6" applyNumberFormat="1" applyFont="1" applyBorder="1" applyAlignment="1" applyProtection="1">
      <alignment horizontal="right"/>
    </xf>
    <xf numFmtId="167" fontId="17" fillId="0" borderId="29" xfId="231" applyNumberFormat="1" applyFont="1" applyBorder="1" applyAlignment="1" applyProtection="1">
      <alignment horizontal="right"/>
    </xf>
    <xf numFmtId="0" fontId="17" fillId="0" borderId="12" xfId="5" applyFont="1" applyFill="1" applyBorder="1" applyAlignment="1" applyProtection="1">
      <alignment horizontal="left"/>
    </xf>
    <xf numFmtId="0" fontId="17" fillId="0" borderId="12" xfId="5" quotePrefix="1" applyFont="1" applyFill="1" applyBorder="1" applyAlignment="1" applyProtection="1">
      <alignment horizontal="left"/>
    </xf>
    <xf numFmtId="5" fontId="17" fillId="0" borderId="12" xfId="6" applyNumberFormat="1" applyFont="1" applyFill="1" applyBorder="1" applyAlignment="1" applyProtection="1">
      <alignment horizontal="right"/>
    </xf>
    <xf numFmtId="5" fontId="17" fillId="0" borderId="27" xfId="6" applyNumberFormat="1" applyFont="1" applyBorder="1" applyAlignment="1" applyProtection="1">
      <alignment horizontal="right"/>
    </xf>
    <xf numFmtId="167" fontId="17" fillId="0" borderId="27" xfId="231" applyNumberFormat="1" applyFont="1" applyBorder="1" applyAlignment="1" applyProtection="1">
      <alignment horizontal="right"/>
    </xf>
    <xf numFmtId="0" fontId="52" fillId="0" borderId="25" xfId="163" applyFont="1" applyFill="1" applyBorder="1" applyProtection="1"/>
    <xf numFmtId="0" fontId="17" fillId="0" borderId="12" xfId="189" applyFont="1" applyFill="1" applyBorder="1" applyProtection="1"/>
    <xf numFmtId="0" fontId="17" fillId="0" borderId="12" xfId="189" quotePrefix="1" applyFont="1" applyFill="1" applyBorder="1" applyProtection="1"/>
    <xf numFmtId="0" fontId="17" fillId="0" borderId="13" xfId="189" quotePrefix="1" applyFont="1" applyFill="1" applyBorder="1" applyProtection="1"/>
    <xf numFmtId="5" fontId="17" fillId="0" borderId="28" xfId="6" applyNumberFormat="1" applyFont="1" applyBorder="1" applyAlignment="1" applyProtection="1">
      <alignment horizontal="right"/>
    </xf>
    <xf numFmtId="167" fontId="17" fillId="0" borderId="28" xfId="231" applyNumberFormat="1" applyFont="1" applyBorder="1" applyAlignment="1" applyProtection="1">
      <alignment horizontal="right"/>
    </xf>
    <xf numFmtId="0" fontId="50" fillId="0" borderId="0" xfId="163" applyFont="1" applyProtection="1"/>
    <xf numFmtId="0" fontId="18" fillId="0" borderId="25" xfId="5" applyFont="1" applyFill="1" applyBorder="1" applyAlignment="1" applyProtection="1">
      <alignment horizontal="left"/>
    </xf>
    <xf numFmtId="0" fontId="18" fillId="0" borderId="13" xfId="5" applyFont="1" applyFill="1" applyBorder="1" applyAlignment="1" applyProtection="1">
      <alignment horizontal="left"/>
    </xf>
    <xf numFmtId="5" fontId="17" fillId="0" borderId="13" xfId="6" applyNumberFormat="1" applyFont="1" applyFill="1" applyBorder="1" applyAlignment="1" applyProtection="1">
      <alignment horizontal="right"/>
    </xf>
    <xf numFmtId="5" fontId="18" fillId="0" borderId="13" xfId="6" applyNumberFormat="1" applyFont="1" applyFill="1" applyBorder="1" applyAlignment="1" applyProtection="1">
      <alignment horizontal="right"/>
    </xf>
    <xf numFmtId="167" fontId="18" fillId="0" borderId="13" xfId="6" applyNumberFormat="1" applyFont="1" applyFill="1" applyBorder="1" applyAlignment="1" applyProtection="1">
      <alignment horizontal="right"/>
    </xf>
    <xf numFmtId="38" fontId="49" fillId="0" borderId="0" xfId="163" applyNumberFormat="1" applyFont="1" applyProtection="1"/>
    <xf numFmtId="165" fontId="49" fillId="0" borderId="0" xfId="163" applyNumberFormat="1" applyFont="1" applyProtection="1"/>
    <xf numFmtId="0" fontId="17" fillId="0" borderId="13" xfId="189" applyFont="1" applyFill="1" applyBorder="1" applyProtection="1"/>
    <xf numFmtId="10" fontId="18" fillId="0" borderId="13" xfId="2" applyNumberFormat="1" applyFont="1" applyFill="1" applyBorder="1" applyAlignment="1" applyProtection="1">
      <alignment horizontal="right"/>
    </xf>
    <xf numFmtId="0" fontId="15" fillId="0" borderId="12" xfId="0" applyFont="1" applyBorder="1" applyAlignment="1">
      <alignment horizontal="center"/>
    </xf>
    <xf numFmtId="164" fontId="15" fillId="0" borderId="12" xfId="1" applyNumberFormat="1" applyFont="1" applyBorder="1"/>
    <xf numFmtId="0" fontId="0" fillId="0" borderId="11" xfId="0" applyBorder="1" applyAlignment="1">
      <alignment horizontal="center"/>
    </xf>
    <xf numFmtId="0" fontId="17" fillId="0" borderId="14" xfId="5" quotePrefix="1" applyFont="1" applyFill="1" applyBorder="1" applyAlignment="1" applyProtection="1">
      <alignment horizontal="left"/>
    </xf>
    <xf numFmtId="10" fontId="17" fillId="0" borderId="14" xfId="2" applyNumberFormat="1" applyFont="1" applyFill="1" applyBorder="1" applyAlignment="1" applyProtection="1">
      <alignment horizontal="right"/>
    </xf>
    <xf numFmtId="165" fontId="17" fillId="0" borderId="14" xfId="6" applyNumberFormat="1" applyFont="1" applyBorder="1" applyAlignment="1" applyProtection="1">
      <alignment horizontal="right"/>
    </xf>
    <xf numFmtId="10" fontId="18" fillId="0" borderId="14" xfId="2" applyNumberFormat="1" applyFont="1" applyFill="1" applyBorder="1" applyAlignment="1" applyProtection="1">
      <alignment horizontal="right"/>
    </xf>
    <xf numFmtId="0" fontId="17" fillId="0" borderId="14" xfId="189" applyFont="1" applyFill="1" applyBorder="1" applyProtection="1"/>
    <xf numFmtId="0" fontId="17" fillId="0" borderId="14" xfId="189" quotePrefix="1" applyFont="1" applyFill="1" applyBorder="1" applyProtection="1"/>
    <xf numFmtId="6" fontId="0" fillId="0" borderId="14" xfId="0" applyNumberFormat="1" applyBorder="1"/>
    <xf numFmtId="10" fontId="0" fillId="0" borderId="14" xfId="2" applyNumberFormat="1" applyFont="1" applyBorder="1"/>
    <xf numFmtId="10" fontId="0" fillId="0" borderId="14" xfId="0" applyNumberFormat="1" applyBorder="1"/>
    <xf numFmtId="0" fontId="15" fillId="0" borderId="14" xfId="0" applyFont="1" applyFill="1" applyBorder="1"/>
    <xf numFmtId="0" fontId="15" fillId="0" borderId="11" xfId="0" applyFont="1" applyBorder="1" applyAlignment="1">
      <alignment horizontal="center"/>
    </xf>
    <xf numFmtId="164" fontId="0" fillId="0" borderId="14" xfId="1" applyNumberFormat="1" applyFont="1" applyBorder="1"/>
    <xf numFmtId="164" fontId="17" fillId="0" borderId="11" xfId="1" applyNumberFormat="1" applyFont="1" applyBorder="1" applyAlignment="1" applyProtection="1">
      <alignment horizontal="right"/>
    </xf>
    <xf numFmtId="164" fontId="17" fillId="0" borderId="12" xfId="1" applyNumberFormat="1" applyFont="1" applyBorder="1" applyAlignment="1" applyProtection="1">
      <alignment horizontal="right"/>
    </xf>
    <xf numFmtId="164" fontId="17" fillId="0" borderId="13" xfId="1" applyNumberFormat="1" applyFont="1" applyBorder="1" applyAlignment="1" applyProtection="1">
      <alignment horizontal="right"/>
    </xf>
    <xf numFmtId="164" fontId="18" fillId="0" borderId="13" xfId="1" applyNumberFormat="1" applyFont="1" applyFill="1" applyBorder="1" applyAlignment="1" applyProtection="1">
      <alignment horizontal="right"/>
    </xf>
    <xf numFmtId="0" fontId="53" fillId="0" borderId="0" xfId="0" applyFont="1"/>
    <xf numFmtId="5" fontId="18" fillId="0" borderId="10" xfId="4" applyNumberFormat="1" applyFont="1" applyFill="1" applyBorder="1" applyAlignment="1" applyProtection="1">
      <alignment horizontal="center"/>
    </xf>
    <xf numFmtId="165" fontId="18" fillId="0" borderId="14" xfId="6" applyNumberFormat="1" applyFont="1" applyFill="1" applyBorder="1" applyAlignment="1" applyProtection="1">
      <alignment horizontal="right"/>
    </xf>
    <xf numFmtId="6" fontId="18" fillId="0" borderId="23" xfId="4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Font="1" applyBorder="1" applyAlignment="1">
      <alignment horizontal="center"/>
    </xf>
    <xf numFmtId="164" fontId="15" fillId="0" borderId="13" xfId="1" applyNumberFormat="1" applyFont="1" applyFill="1" applyBorder="1"/>
    <xf numFmtId="164" fontId="18" fillId="0" borderId="14" xfId="1" applyNumberFormat="1" applyFont="1" applyFill="1" applyBorder="1" applyAlignment="1" applyProtection="1">
      <alignment horizontal="right"/>
    </xf>
    <xf numFmtId="164" fontId="17" fillId="0" borderId="14" xfId="1" applyNumberFormat="1" applyFont="1" applyFill="1" applyBorder="1" applyAlignment="1" applyProtection="1">
      <alignment horizontal="right"/>
    </xf>
    <xf numFmtId="0" fontId="0" fillId="0" borderId="0" xfId="0" applyFont="1" applyFill="1"/>
    <xf numFmtId="0" fontId="53" fillId="0" borderId="0" xfId="0" applyFont="1" applyFill="1"/>
    <xf numFmtId="0" fontId="1" fillId="0" borderId="0" xfId="0" applyFont="1" applyFill="1"/>
    <xf numFmtId="0" fontId="0" fillId="0" borderId="0" xfId="0"/>
    <xf numFmtId="0" fontId="15" fillId="0" borderId="0" xfId="0" applyFont="1"/>
    <xf numFmtId="164" fontId="0" fillId="0" borderId="0" xfId="0" applyNumberFormat="1"/>
    <xf numFmtId="10" fontId="17" fillId="0" borderId="14" xfId="7" applyNumberFormat="1" applyFont="1" applyFill="1" applyBorder="1" applyAlignment="1" applyProtection="1">
      <alignment horizontal="right"/>
    </xf>
    <xf numFmtId="0" fontId="15" fillId="0" borderId="25" xfId="0" applyFont="1" applyBorder="1"/>
    <xf numFmtId="164" fontId="0" fillId="0" borderId="13" xfId="1" applyNumberFormat="1" applyFont="1" applyBorder="1"/>
    <xf numFmtId="0" fontId="54" fillId="0" borderId="0" xfId="0" applyFont="1"/>
    <xf numFmtId="0" fontId="15" fillId="0" borderId="14" xfId="0" applyFont="1" applyFill="1" applyBorder="1" applyAlignment="1">
      <alignment horizontal="center"/>
    </xf>
    <xf numFmtId="164" fontId="15" fillId="0" borderId="13" xfId="1" applyNumberFormat="1" applyFont="1" applyBorder="1"/>
    <xf numFmtId="164" fontId="15" fillId="0" borderId="23" xfId="1" applyNumberFormat="1" applyFont="1" applyBorder="1"/>
    <xf numFmtId="0" fontId="0" fillId="0" borderId="0" xfId="0" applyAlignment="1">
      <alignment wrapText="1"/>
    </xf>
    <xf numFmtId="164" fontId="15" fillId="0" borderId="14" xfId="0" applyNumberFormat="1" applyFont="1" applyBorder="1"/>
    <xf numFmtId="0" fontId="15" fillId="0" borderId="0" xfId="0" applyFont="1" applyFill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64" fontId="0" fillId="0" borderId="10" xfId="1" applyNumberFormat="1" applyFont="1" applyBorder="1"/>
    <xf numFmtId="0" fontId="15" fillId="0" borderId="30" xfId="0" applyFont="1" applyBorder="1"/>
    <xf numFmtId="0" fontId="15" fillId="0" borderId="10" xfId="0" applyFont="1" applyBorder="1" applyAlignment="1">
      <alignment horizontal="center"/>
    </xf>
    <xf numFmtId="164" fontId="15" fillId="0" borderId="0" xfId="0" applyNumberFormat="1" applyFont="1"/>
    <xf numFmtId="0" fontId="15" fillId="0" borderId="25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26" xfId="0" applyFont="1" applyFill="1" applyBorder="1" applyAlignment="1">
      <alignment horizontal="center" wrapText="1"/>
    </xf>
    <xf numFmtId="164" fontId="0" fillId="0" borderId="14" xfId="0" applyNumberFormat="1" applyFill="1" applyBorder="1"/>
    <xf numFmtId="164" fontId="15" fillId="0" borderId="14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17" fillId="0" borderId="0" xfId="5" applyFont="1" applyFill="1" applyBorder="1" applyAlignment="1" applyProtection="1">
      <alignment horizontal="left" vertical="top" wrapText="1"/>
    </xf>
  </cellXfs>
  <cellStyles count="276">
    <cellStyle name="£Z_x0004_Ç_x0006_^_x0004_" xfId="8"/>
    <cellStyle name="20% - Accent1 2" xfId="9"/>
    <cellStyle name="20% - Accent1 3" xfId="10"/>
    <cellStyle name="20% - Accent2 2" xfId="11"/>
    <cellStyle name="20% - Accent2 2 2" xfId="12"/>
    <cellStyle name="20% - Accent2 3" xfId="13"/>
    <cellStyle name="20% - Accent2 4" xfId="14"/>
    <cellStyle name="20% - Accent3 2" xfId="15"/>
    <cellStyle name="20% - Accent3 2 2" xfId="16"/>
    <cellStyle name="20% - Accent3 3" xfId="17"/>
    <cellStyle name="20% - Accent3 4" xfId="18"/>
    <cellStyle name="20% - Accent4 2" xfId="19"/>
    <cellStyle name="20% - Accent4 2 2" xfId="20"/>
    <cellStyle name="20% - Accent4 3" xfId="21"/>
    <cellStyle name="20% - Accent4 4" xfId="22"/>
    <cellStyle name="20% - Accent5 2" xfId="23"/>
    <cellStyle name="20% - Accent5 2 2" xfId="24"/>
    <cellStyle name="20% - Accent5 3" xfId="25"/>
    <cellStyle name="20% - Accent5 4" xfId="26"/>
    <cellStyle name="20% - Accent6 2" xfId="27"/>
    <cellStyle name="20% - Accent6 3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60% - Accent1 2" xfId="41"/>
    <cellStyle name="60% - Accent1 3" xfId="42"/>
    <cellStyle name="60% - Accent2 2" xfId="43"/>
    <cellStyle name="60% - Accent2 3" xfId="44"/>
    <cellStyle name="60% - Accent3 2" xfId="45"/>
    <cellStyle name="60% - Accent3 3" xfId="46"/>
    <cellStyle name="60% - Accent4 2" xfId="47"/>
    <cellStyle name="60% - Accent4 3" xfId="48"/>
    <cellStyle name="60% - Accent5 2" xfId="49"/>
    <cellStyle name="60% - Accent5 3" xfId="50"/>
    <cellStyle name="60% - Accent6 2" xfId="51"/>
    <cellStyle name="60% - Accent6 3" xfId="52"/>
    <cellStyle name="Accent1 2" xfId="53"/>
    <cellStyle name="Accent1 3" xfId="54"/>
    <cellStyle name="Accent2 2" xfId="55"/>
    <cellStyle name="Accent2 3" xfId="56"/>
    <cellStyle name="Accent3 2" xfId="57"/>
    <cellStyle name="Accent3 3" xfId="58"/>
    <cellStyle name="Accent4 2" xfId="59"/>
    <cellStyle name="Accent4 3" xfId="60"/>
    <cellStyle name="Accent5 2" xfId="61"/>
    <cellStyle name="Accent5 3" xfId="62"/>
    <cellStyle name="Accent6 2" xfId="63"/>
    <cellStyle name="Accent6 3" xfId="64"/>
    <cellStyle name="Bad 2" xfId="65"/>
    <cellStyle name="Bad 3" xfId="66"/>
    <cellStyle name="Calculation 2" xfId="67"/>
    <cellStyle name="Calculation 2 2" xfId="68"/>
    <cellStyle name="Calculation 2 3" xfId="69"/>
    <cellStyle name="Calculation 3" xfId="70"/>
    <cellStyle name="Check Cell 2" xfId="71"/>
    <cellStyle name="Check Cell 3" xfId="72"/>
    <cellStyle name="Comma" xfId="1" builtinId="3"/>
    <cellStyle name="Comma 10" xfId="73"/>
    <cellStyle name="Comma 11" xfId="74"/>
    <cellStyle name="Comma 12" xfId="75"/>
    <cellStyle name="Comma 13" xfId="274"/>
    <cellStyle name="Comma 2" xfId="76"/>
    <cellStyle name="Comma 2 2" xfId="77"/>
    <cellStyle name="Comma 2 2 2" xfId="78"/>
    <cellStyle name="Comma 2 3" xfId="79"/>
    <cellStyle name="Comma 2 3 2" xfId="80"/>
    <cellStyle name="Comma 2 4" xfId="81"/>
    <cellStyle name="Comma 2 5" xfId="82"/>
    <cellStyle name="Comma 2 6" xfId="83"/>
    <cellStyle name="Comma 2 7" xfId="84"/>
    <cellStyle name="Comma 2 8" xfId="85"/>
    <cellStyle name="Comma 2 9" xfId="86"/>
    <cellStyle name="Comma 2 9 2" xfId="87"/>
    <cellStyle name="Comma 3" xfId="88"/>
    <cellStyle name="Comma 3 2" xfId="89"/>
    <cellStyle name="Comma 3 2 2" xfId="90"/>
    <cellStyle name="Comma 3 3" xfId="91"/>
    <cellStyle name="Comma 3 4" xfId="92"/>
    <cellStyle name="Comma 4" xfId="93"/>
    <cellStyle name="Comma 4 2" xfId="94"/>
    <cellStyle name="Comma 4 2 2" xfId="95"/>
    <cellStyle name="Comma 4 3" xfId="96"/>
    <cellStyle name="Comma 4 4" xfId="97"/>
    <cellStyle name="Comma 5" xfId="98"/>
    <cellStyle name="Comma 5 2" xfId="99"/>
    <cellStyle name="Comma 5 2 2" xfId="100"/>
    <cellStyle name="Comma 5 3" xfId="101"/>
    <cellStyle name="Comma 6" xfId="102"/>
    <cellStyle name="Comma 6 2" xfId="103"/>
    <cellStyle name="Comma 7" xfId="104"/>
    <cellStyle name="Comma 7 2" xfId="105"/>
    <cellStyle name="Comma 7 3" xfId="106"/>
    <cellStyle name="Comma 7 3 2" xfId="107"/>
    <cellStyle name="Comma 8" xfId="108"/>
    <cellStyle name="Comma 8 2" xfId="109"/>
    <cellStyle name="Comma 9" xfId="110"/>
    <cellStyle name="Comma 9 2" xfId="111"/>
    <cellStyle name="Currency 10" xfId="112"/>
    <cellStyle name="Currency 11" xfId="113"/>
    <cellStyle name="Currency 2" xfId="114"/>
    <cellStyle name="Currency 2 2" xfId="115"/>
    <cellStyle name="Currency 2 2 2" xfId="116"/>
    <cellStyle name="Currency 2 3" xfId="117"/>
    <cellStyle name="Currency 2 3 2" xfId="118"/>
    <cellStyle name="Currency 2 4" xfId="119"/>
    <cellStyle name="Currency 2 5" xfId="120"/>
    <cellStyle name="Currency 3" xfId="121"/>
    <cellStyle name="Currency 3 2" xfId="122"/>
    <cellStyle name="Currency 3 3" xfId="123"/>
    <cellStyle name="Currency 4" xfId="124"/>
    <cellStyle name="Currency 4 2" xfId="125"/>
    <cellStyle name="Currency 4 3" xfId="126"/>
    <cellStyle name="Currency 5" xfId="127"/>
    <cellStyle name="Currency 5 2" xfId="128"/>
    <cellStyle name="Currency 6" xfId="129"/>
    <cellStyle name="Currency 6 2" xfId="130"/>
    <cellStyle name="Currency 7" xfId="131"/>
    <cellStyle name="Currency 7 2" xfId="132"/>
    <cellStyle name="Currency 7 3" xfId="133"/>
    <cellStyle name="Currency 8" xfId="134"/>
    <cellStyle name="Currency 8 2" xfId="135"/>
    <cellStyle name="Currency 9" xfId="136"/>
    <cellStyle name="Explanatory Text 2" xfId="137"/>
    <cellStyle name="Explanatory Text 3" xfId="138"/>
    <cellStyle name="Followed Hyperlink 2" xfId="139"/>
    <cellStyle name="Good 2" xfId="140"/>
    <cellStyle name="Good 3" xfId="141"/>
    <cellStyle name="Heading 1 2" xfId="142"/>
    <cellStyle name="Heading 1 3" xfId="143"/>
    <cellStyle name="Heading 2 2" xfId="144"/>
    <cellStyle name="Heading 2 3" xfId="145"/>
    <cellStyle name="Heading 3 2" xfId="146"/>
    <cellStyle name="Heading 3 3" xfId="147"/>
    <cellStyle name="Heading 4 2" xfId="148"/>
    <cellStyle name="Heading 4 3" xfId="149"/>
    <cellStyle name="Hyperlink 2" xfId="150"/>
    <cellStyle name="Input 2" xfId="151"/>
    <cellStyle name="Input 2 2" xfId="152"/>
    <cellStyle name="Input 2 3" xfId="153"/>
    <cellStyle name="Input 3" xfId="154"/>
    <cellStyle name="Linked Cell 2" xfId="155"/>
    <cellStyle name="Linked Cell 3" xfId="156"/>
    <cellStyle name="Neutral 2" xfId="157"/>
    <cellStyle name="Neutral 3" xfId="158"/>
    <cellStyle name="Normal" xfId="0" builtinId="0"/>
    <cellStyle name="Normal 10" xfId="159"/>
    <cellStyle name="Normal 10 10" xfId="160"/>
    <cellStyle name="Normal 10 10 2" xfId="270"/>
    <cellStyle name="Normal 10 2" xfId="161"/>
    <cellStyle name="Normal 10 3" xfId="162"/>
    <cellStyle name="Normal 11" xfId="163"/>
    <cellStyle name="Normal 12" xfId="164"/>
    <cellStyle name="Normal 13" xfId="165"/>
    <cellStyle name="Normal 14" xfId="166"/>
    <cellStyle name="Normal 14 2" xfId="167"/>
    <cellStyle name="Normal 15" xfId="168"/>
    <cellStyle name="Normal 15 2" xfId="271"/>
    <cellStyle name="Normal 16" xfId="169"/>
    <cellStyle name="Normal 17" xfId="170"/>
    <cellStyle name="Normal 18" xfId="269"/>
    <cellStyle name="Normal 2" xfId="3"/>
    <cellStyle name="Normal 2 2" xfId="171"/>
    <cellStyle name="Normal 2 2 2" xfId="4"/>
    <cellStyle name="Normal 2 2 2 2" xfId="172"/>
    <cellStyle name="Normal 2 2 3" xfId="173"/>
    <cellStyle name="Normal 2 3" xfId="174"/>
    <cellStyle name="Normal 2 3 2" xfId="175"/>
    <cellStyle name="Normal 2 4" xfId="176"/>
    <cellStyle name="Normal 2 5" xfId="177"/>
    <cellStyle name="Normal 2 6" xfId="178"/>
    <cellStyle name="Normal 2 7" xfId="179"/>
    <cellStyle name="Normal 2 7 2" xfId="180"/>
    <cellStyle name="Normal 3" xfId="181"/>
    <cellStyle name="Normal 3 2" xfId="182"/>
    <cellStyle name="Normal 3 2 2" xfId="183"/>
    <cellStyle name="Normal 3 3" xfId="184"/>
    <cellStyle name="Normal 3 3 2" xfId="185"/>
    <cellStyle name="Normal 3 4" xfId="186"/>
    <cellStyle name="Normal 4" xfId="187"/>
    <cellStyle name="Normal 4 10" xfId="188"/>
    <cellStyle name="Normal 4 2" xfId="189"/>
    <cellStyle name="Normal 4 2 2" xfId="190"/>
    <cellStyle name="Normal 4 2_Sheet2" xfId="191"/>
    <cellStyle name="Normal 4 3" xfId="192"/>
    <cellStyle name="Normal 4 3 2" xfId="193"/>
    <cellStyle name="Normal 4 4" xfId="194"/>
    <cellStyle name="Normal 4 4 2" xfId="195"/>
    <cellStyle name="Normal 4 5" xfId="196"/>
    <cellStyle name="Normal 4 6" xfId="197"/>
    <cellStyle name="Normal 4 7" xfId="198"/>
    <cellStyle name="Normal 4 8" xfId="199"/>
    <cellStyle name="Normal 4 9" xfId="200"/>
    <cellStyle name="Normal 4_Sheet2" xfId="201"/>
    <cellStyle name="Normal 5" xfId="202"/>
    <cellStyle name="Normal 5 2" xfId="203"/>
    <cellStyle name="Normal 5 3" xfId="204"/>
    <cellStyle name="Normal 5 3 2" xfId="205"/>
    <cellStyle name="Normal 5 4" xfId="206"/>
    <cellStyle name="Normal 5 5" xfId="207"/>
    <cellStyle name="Normal 5_Sheet2" xfId="208"/>
    <cellStyle name="Normal 6" xfId="209"/>
    <cellStyle name="Normal 6 2" xfId="210"/>
    <cellStyle name="Normal 6 2 2" xfId="211"/>
    <cellStyle name="Normal 65" xfId="212"/>
    <cellStyle name="Normal 65 2" xfId="272"/>
    <cellStyle name="Normal 7" xfId="213"/>
    <cellStyle name="Normal 7 2" xfId="214"/>
    <cellStyle name="Normal 8" xfId="215"/>
    <cellStyle name="Normal 8 2" xfId="216"/>
    <cellStyle name="Normal 8 3" xfId="217"/>
    <cellStyle name="Normal 9" xfId="218"/>
    <cellStyle name="Normal 9 2" xfId="219"/>
    <cellStyle name="Normal 9 3" xfId="220"/>
    <cellStyle name="Normal 94" xfId="221"/>
    <cellStyle name="Normal 94 2" xfId="273"/>
    <cellStyle name="Normal_FY2009_NEW_ULA_DSH_ANAL" xfId="5"/>
    <cellStyle name="Normal_Report550(Statewide) 1 " xfId="6"/>
    <cellStyle name="Note 2" xfId="222"/>
    <cellStyle name="Note 2 2" xfId="223"/>
    <cellStyle name="Note 2 3" xfId="224"/>
    <cellStyle name="Note 3" xfId="225"/>
    <cellStyle name="Output 2" xfId="226"/>
    <cellStyle name="Output 2 2" xfId="227"/>
    <cellStyle name="Output 2 3" xfId="228"/>
    <cellStyle name="Output 3" xfId="229"/>
    <cellStyle name="Percent" xfId="2" builtinId="5"/>
    <cellStyle name="Percent 10" xfId="230"/>
    <cellStyle name="Percent 11" xfId="275"/>
    <cellStyle name="Percent 2" xfId="231"/>
    <cellStyle name="Percent 2 2" xfId="7"/>
    <cellStyle name="Percent 2 3" xfId="232"/>
    <cellStyle name="Percent 2 3 2" xfId="233"/>
    <cellStyle name="Percent 2 4" xfId="234"/>
    <cellStyle name="Percent 2 5" xfId="235"/>
    <cellStyle name="Percent 2 6" xfId="236"/>
    <cellStyle name="Percent 2 6 2" xfId="237"/>
    <cellStyle name="Percent 3" xfId="238"/>
    <cellStyle name="Percent 3 2" xfId="239"/>
    <cellStyle name="Percent 3 2 2" xfId="240"/>
    <cellStyle name="Percent 3 3" xfId="241"/>
    <cellStyle name="Percent 3 4" xfId="242"/>
    <cellStyle name="Percent 4" xfId="243"/>
    <cellStyle name="Percent 4 2" xfId="244"/>
    <cellStyle name="Percent 4 2 2" xfId="245"/>
    <cellStyle name="Percent 4 3" xfId="246"/>
    <cellStyle name="Percent 4 4" xfId="247"/>
    <cellStyle name="Percent 5" xfId="248"/>
    <cellStyle name="Percent 5 2" xfId="249"/>
    <cellStyle name="Percent 5 3" xfId="250"/>
    <cellStyle name="Percent 5 4" xfId="251"/>
    <cellStyle name="Percent 5 5" xfId="252"/>
    <cellStyle name="Percent 6" xfId="253"/>
    <cellStyle name="Percent 6 2" xfId="254"/>
    <cellStyle name="Percent 6 3" xfId="255"/>
    <cellStyle name="Percent 7" xfId="256"/>
    <cellStyle name="Percent 8" xfId="257"/>
    <cellStyle name="Percent 9" xfId="258"/>
    <cellStyle name="rowhead_tbls1_13_a" xfId="259"/>
    <cellStyle name="Style 1" xfId="260"/>
    <cellStyle name="tablename" xfId="261"/>
    <cellStyle name="Title 2" xfId="262"/>
    <cellStyle name="Total 2" xfId="263"/>
    <cellStyle name="Total 2 2" xfId="264"/>
    <cellStyle name="Total 2 3" xfId="265"/>
    <cellStyle name="Total 3" xfId="266"/>
    <cellStyle name="Warning Text 2" xfId="267"/>
    <cellStyle name="Warning Text 3" xfId="268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workbookViewId="0">
      <selection activeCell="B3" sqref="B3"/>
    </sheetView>
  </sheetViews>
  <sheetFormatPr defaultRowHeight="15"/>
  <cols>
    <col min="1" max="1" width="16.7109375" style="118" customWidth="1"/>
    <col min="2" max="3" width="12.5703125" style="118" bestFit="1" customWidth="1"/>
    <col min="4" max="4" width="13.85546875" style="118" customWidth="1"/>
    <col min="5" max="16384" width="9.140625" style="118"/>
  </cols>
  <sheetData>
    <row r="1" spans="1:3">
      <c r="A1" s="130" t="s">
        <v>125</v>
      </c>
    </row>
    <row r="2" spans="1:3">
      <c r="A2" s="118" t="s">
        <v>126</v>
      </c>
    </row>
    <row r="3" spans="1:3" ht="22.5" customHeight="1">
      <c r="B3" s="4" t="s">
        <v>148</v>
      </c>
    </row>
    <row r="4" spans="1:3">
      <c r="B4" s="4" t="s">
        <v>119</v>
      </c>
      <c r="C4" s="131" t="s">
        <v>127</v>
      </c>
    </row>
    <row r="5" spans="1:3">
      <c r="A5" s="2" t="s">
        <v>128</v>
      </c>
      <c r="B5" s="137" t="s">
        <v>129</v>
      </c>
      <c r="C5" s="132" t="s">
        <v>129</v>
      </c>
    </row>
    <row r="6" spans="1:3">
      <c r="A6" s="118" t="s">
        <v>17</v>
      </c>
      <c r="B6" s="1">
        <f t="shared" ref="B6:B31" si="0">C6/4</f>
        <v>2632969.8325878899</v>
      </c>
      <c r="C6" s="1">
        <v>10531879.330351559</v>
      </c>
    </row>
    <row r="7" spans="1:3">
      <c r="A7" s="118" t="s">
        <v>19</v>
      </c>
      <c r="B7" s="1">
        <f t="shared" si="0"/>
        <v>8753761.7258975543</v>
      </c>
      <c r="C7" s="1">
        <v>35015046.903590217</v>
      </c>
    </row>
    <row r="8" spans="1:3">
      <c r="A8" s="118" t="s">
        <v>21</v>
      </c>
      <c r="B8" s="1">
        <f t="shared" si="0"/>
        <v>2354868.4007777036</v>
      </c>
      <c r="C8" s="1">
        <v>9419473.6031108145</v>
      </c>
    </row>
    <row r="9" spans="1:3">
      <c r="A9" s="133" t="s">
        <v>23</v>
      </c>
      <c r="B9" s="1">
        <f t="shared" si="0"/>
        <v>7366724.1077897968</v>
      </c>
      <c r="C9" s="1">
        <v>29466896.431159187</v>
      </c>
    </row>
    <row r="10" spans="1:3">
      <c r="A10" s="134" t="s">
        <v>26</v>
      </c>
      <c r="B10" s="1">
        <f t="shared" si="0"/>
        <v>1895334.0348667416</v>
      </c>
      <c r="C10" s="1">
        <v>7581336.1394669665</v>
      </c>
    </row>
    <row r="11" spans="1:3">
      <c r="A11" s="134" t="s">
        <v>28</v>
      </c>
      <c r="B11" s="1">
        <f t="shared" si="0"/>
        <v>1390605.1129055929</v>
      </c>
      <c r="C11" s="1">
        <v>5562420.4516223716</v>
      </c>
    </row>
    <row r="12" spans="1:3">
      <c r="A12" s="134" t="s">
        <v>30</v>
      </c>
      <c r="B12" s="1">
        <f t="shared" si="0"/>
        <v>2329987.6042990577</v>
      </c>
      <c r="C12" s="1">
        <v>9319950.417196231</v>
      </c>
    </row>
    <row r="13" spans="1:3">
      <c r="A13" s="134" t="s">
        <v>32</v>
      </c>
      <c r="B13" s="1">
        <f t="shared" si="0"/>
        <v>12496720.525286974</v>
      </c>
      <c r="C13" s="1">
        <v>49986882.101147898</v>
      </c>
    </row>
    <row r="14" spans="1:3">
      <c r="A14" s="134" t="s">
        <v>34</v>
      </c>
      <c r="B14" s="1">
        <f t="shared" si="0"/>
        <v>3967928.0318857576</v>
      </c>
      <c r="C14" s="1">
        <v>15871712.12754303</v>
      </c>
    </row>
    <row r="15" spans="1:3">
      <c r="A15" s="134" t="s">
        <v>36</v>
      </c>
      <c r="B15" s="1">
        <f t="shared" si="0"/>
        <v>1071447.9019946198</v>
      </c>
      <c r="C15" s="1">
        <v>4285791.607978479</v>
      </c>
    </row>
    <row r="16" spans="1:3">
      <c r="A16" s="134" t="s">
        <v>38</v>
      </c>
      <c r="B16" s="1">
        <f t="shared" si="0"/>
        <v>642703.42870735982</v>
      </c>
      <c r="C16" s="1">
        <v>2570813.7148294393</v>
      </c>
    </row>
    <row r="17" spans="1:3">
      <c r="A17" s="134" t="s">
        <v>40</v>
      </c>
      <c r="B17" s="1">
        <f t="shared" si="0"/>
        <v>3113527.2977390462</v>
      </c>
      <c r="C17" s="1">
        <v>12454109.190956185</v>
      </c>
    </row>
    <row r="18" spans="1:3">
      <c r="A18" s="134" t="s">
        <v>42</v>
      </c>
      <c r="B18" s="1">
        <f t="shared" si="0"/>
        <v>2258508.472760452</v>
      </c>
      <c r="C18" s="1">
        <v>9034033.8910418078</v>
      </c>
    </row>
    <row r="19" spans="1:3">
      <c r="A19" s="134" t="s">
        <v>46</v>
      </c>
      <c r="B19" s="1">
        <f t="shared" si="0"/>
        <v>1798116.5003767943</v>
      </c>
      <c r="C19" s="1">
        <v>7192466.001507177</v>
      </c>
    </row>
    <row r="20" spans="1:3">
      <c r="A20" s="134" t="s">
        <v>44</v>
      </c>
      <c r="B20" s="1">
        <f t="shared" si="0"/>
        <v>5692821.7190536829</v>
      </c>
      <c r="C20" s="1">
        <v>22771286.876214731</v>
      </c>
    </row>
    <row r="21" spans="1:3">
      <c r="A21" s="134" t="s">
        <v>48</v>
      </c>
      <c r="B21" s="1">
        <f t="shared" si="0"/>
        <v>303445.53279449767</v>
      </c>
      <c r="C21" s="1">
        <v>1213782.1311779907</v>
      </c>
    </row>
    <row r="22" spans="1:3">
      <c r="A22" s="134" t="s">
        <v>50</v>
      </c>
      <c r="B22" s="1">
        <f t="shared" si="0"/>
        <v>7136544.3590441672</v>
      </c>
      <c r="C22" s="1">
        <v>28546177.436176669</v>
      </c>
    </row>
    <row r="23" spans="1:3">
      <c r="A23" s="134" t="s">
        <v>52</v>
      </c>
      <c r="B23" s="1">
        <f t="shared" si="0"/>
        <v>432502.09274876089</v>
      </c>
      <c r="C23" s="1">
        <v>1730008.3709950435</v>
      </c>
    </row>
    <row r="24" spans="1:3">
      <c r="A24" s="134" t="s">
        <v>56</v>
      </c>
      <c r="B24" s="1">
        <f t="shared" si="0"/>
        <v>9061108.2528313212</v>
      </c>
      <c r="C24" s="1">
        <v>36244433.011325285</v>
      </c>
    </row>
    <row r="25" spans="1:3">
      <c r="A25" s="134" t="s">
        <v>58</v>
      </c>
      <c r="B25" s="1">
        <f t="shared" si="0"/>
        <v>3942249.7368867635</v>
      </c>
      <c r="C25" s="1">
        <v>15768998.947547054</v>
      </c>
    </row>
    <row r="26" spans="1:3">
      <c r="A26" s="134" t="s">
        <v>60</v>
      </c>
      <c r="B26" s="1">
        <f t="shared" si="0"/>
        <v>6440383.0494660521</v>
      </c>
      <c r="C26" s="1">
        <v>25761532.197864208</v>
      </c>
    </row>
    <row r="27" spans="1:3">
      <c r="A27" s="134" t="s">
        <v>54</v>
      </c>
      <c r="B27" s="1">
        <f t="shared" si="0"/>
        <v>192415.92182321698</v>
      </c>
      <c r="C27" s="1">
        <v>769663.68729286792</v>
      </c>
    </row>
    <row r="28" spans="1:3">
      <c r="A28" s="134" t="s">
        <v>62</v>
      </c>
      <c r="B28" s="1">
        <f t="shared" si="0"/>
        <v>6362874.739590181</v>
      </c>
      <c r="C28" s="1">
        <v>25451498.958360724</v>
      </c>
    </row>
    <row r="29" spans="1:3">
      <c r="A29" s="118" t="s">
        <v>64</v>
      </c>
      <c r="B29" s="1">
        <f t="shared" si="0"/>
        <v>3530928.673228798</v>
      </c>
      <c r="C29" s="1">
        <v>14123714.692915192</v>
      </c>
    </row>
    <row r="30" spans="1:3">
      <c r="A30" s="118" t="s">
        <v>66</v>
      </c>
      <c r="B30" s="1">
        <f t="shared" si="0"/>
        <v>521235.33151161677</v>
      </c>
      <c r="C30" s="1">
        <v>2084941.3260464671</v>
      </c>
    </row>
    <row r="31" spans="1:3">
      <c r="A31" s="2" t="s">
        <v>68</v>
      </c>
      <c r="B31" s="135">
        <f t="shared" si="0"/>
        <v>17643063.113145605</v>
      </c>
      <c r="C31" s="135">
        <v>70572252.452582419</v>
      </c>
    </row>
    <row r="32" spans="1:3">
      <c r="A32" s="119" t="s">
        <v>130</v>
      </c>
      <c r="B32" s="138">
        <f>SUM(B6:B31)</f>
        <v>113332775.50000003</v>
      </c>
      <c r="C32" s="1">
        <f>SUM(C6:C31)</f>
        <v>453331102.00000012</v>
      </c>
    </row>
    <row r="34" spans="1:3">
      <c r="A34" s="2" t="s">
        <v>131</v>
      </c>
      <c r="B34" s="132" t="s">
        <v>129</v>
      </c>
      <c r="C34" s="132" t="s">
        <v>129</v>
      </c>
    </row>
    <row r="35" spans="1:3">
      <c r="A35" s="118" t="s">
        <v>132</v>
      </c>
      <c r="B35" s="120">
        <f>B6+B13+B14+B15+B26+B30+B19</f>
        <v>28928801.173109703</v>
      </c>
      <c r="C35" s="120">
        <f>C6+C13+C14+C15+C26+C30+C19</f>
        <v>115715204.69243881</v>
      </c>
    </row>
    <row r="36" spans="1:3">
      <c r="A36" s="118" t="s">
        <v>133</v>
      </c>
      <c r="B36" s="120">
        <f>B7+B11+B17+B21+B31</f>
        <v>31204402.782482296</v>
      </c>
      <c r="C36" s="120">
        <f>C7+C11+C17+C21+C31</f>
        <v>124817611.12992918</v>
      </c>
    </row>
    <row r="37" spans="1:3">
      <c r="A37" s="118" t="s">
        <v>134</v>
      </c>
      <c r="B37" s="120">
        <f>B9+B22+B27</f>
        <v>14695684.388657181</v>
      </c>
      <c r="C37" s="120">
        <f>C9+C22+C27</f>
        <v>58782737.554628722</v>
      </c>
    </row>
    <row r="38" spans="1:3">
      <c r="A38" s="118" t="s">
        <v>135</v>
      </c>
      <c r="B38" s="120">
        <f>B18+B23+B29</f>
        <v>6221939.2387380106</v>
      </c>
      <c r="C38" s="120">
        <f>C18+C23+C29</f>
        <v>24887756.954952043</v>
      </c>
    </row>
    <row r="39" spans="1:3">
      <c r="A39" s="118" t="s">
        <v>136</v>
      </c>
      <c r="B39" s="120">
        <f>B16+B24+B25</f>
        <v>13646061.418425445</v>
      </c>
      <c r="C39" s="120">
        <f>C16+C24+C25</f>
        <v>54584245.673701778</v>
      </c>
    </row>
    <row r="40" spans="1:3">
      <c r="A40" s="118" t="s">
        <v>137</v>
      </c>
      <c r="B40" s="120">
        <f>B28</f>
        <v>6362874.739590181</v>
      </c>
      <c r="C40" s="120">
        <f>C28</f>
        <v>25451498.958360724</v>
      </c>
    </row>
    <row r="41" spans="1:3">
      <c r="A41" s="118" t="s">
        <v>138</v>
      </c>
      <c r="B41" s="120">
        <f>B8</f>
        <v>2354868.4007777036</v>
      </c>
      <c r="C41" s="120">
        <f>C8</f>
        <v>9419473.6031108145</v>
      </c>
    </row>
    <row r="42" spans="1:3">
      <c r="A42" s="118" t="s">
        <v>139</v>
      </c>
      <c r="B42" s="120">
        <f>B20</f>
        <v>5692821.7190536829</v>
      </c>
      <c r="C42" s="120">
        <f>C20</f>
        <v>22771286.876214731</v>
      </c>
    </row>
    <row r="43" spans="1:3">
      <c r="A43" s="118" t="s">
        <v>140</v>
      </c>
      <c r="B43" s="120">
        <f>B12</f>
        <v>2329987.6042990577</v>
      </c>
      <c r="C43" s="120">
        <f>C12</f>
        <v>9319950.417196231</v>
      </c>
    </row>
    <row r="44" spans="1:3">
      <c r="A44" s="118" t="s">
        <v>141</v>
      </c>
      <c r="B44" s="29">
        <f>B10</f>
        <v>1895334.0348667416</v>
      </c>
      <c r="C44" s="29">
        <f>C10</f>
        <v>7581336.1394669665</v>
      </c>
    </row>
    <row r="45" spans="1:3">
      <c r="A45" s="136" t="s">
        <v>130</v>
      </c>
      <c r="B45" s="120">
        <f>SUM(B35:B44)</f>
        <v>113332775.49999999</v>
      </c>
      <c r="C45" s="120">
        <f>SUM(C35:C44)</f>
        <v>453331101.99999994</v>
      </c>
    </row>
    <row r="46" spans="1:3">
      <c r="C46" s="120"/>
    </row>
  </sheetData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workbookViewId="0">
      <pane xSplit="1" ySplit="4" topLeftCell="G5" activePane="bottomRight" state="frozen"/>
      <selection activeCell="D10" sqref="D10"/>
      <selection pane="topRight" activeCell="D10" sqref="D10"/>
      <selection pane="bottomLeft" activeCell="D10" sqref="D10"/>
      <selection pane="bottomRight" activeCell="K22" sqref="K22"/>
    </sheetView>
  </sheetViews>
  <sheetFormatPr defaultRowHeight="15"/>
  <cols>
    <col min="1" max="1" width="31.28515625" style="118" customWidth="1"/>
    <col min="2" max="6" width="12.7109375" style="118" customWidth="1"/>
    <col min="7" max="7" width="13.140625" style="118" bestFit="1" customWidth="1"/>
    <col min="8" max="8" width="13.5703125" style="118" bestFit="1" customWidth="1"/>
    <col min="9" max="9" width="13.28515625" style="118" bestFit="1" customWidth="1"/>
    <col min="10" max="10" width="3" style="118" customWidth="1"/>
    <col min="11" max="11" width="14.85546875" style="118" customWidth="1"/>
    <col min="12" max="12" width="14.42578125" style="118" customWidth="1"/>
    <col min="13" max="15" width="12.5703125" style="118" bestFit="1" customWidth="1"/>
    <col min="16" max="16384" width="9.140625" style="118"/>
  </cols>
  <sheetData>
    <row r="1" spans="1:15" ht="9" customHeight="1"/>
    <row r="2" spans="1:15">
      <c r="A2" s="119" t="s">
        <v>124</v>
      </c>
    </row>
    <row r="3" spans="1:15">
      <c r="B3" s="2"/>
      <c r="C3" s="2"/>
      <c r="D3" s="2"/>
      <c r="E3" s="2"/>
      <c r="F3" s="2"/>
      <c r="G3" s="2"/>
      <c r="H3" s="2"/>
    </row>
    <row r="4" spans="1:15" s="119" customFormat="1" ht="75">
      <c r="A4" s="122" t="s">
        <v>89</v>
      </c>
      <c r="B4" s="125" t="s">
        <v>2</v>
      </c>
      <c r="C4" s="125" t="s">
        <v>114</v>
      </c>
      <c r="D4" s="125" t="s">
        <v>115</v>
      </c>
      <c r="E4" s="125" t="s">
        <v>117</v>
      </c>
      <c r="F4" s="125" t="s">
        <v>118</v>
      </c>
      <c r="G4" s="125" t="s">
        <v>116</v>
      </c>
      <c r="H4" s="139" t="s">
        <v>144</v>
      </c>
      <c r="I4" s="140" t="s">
        <v>143</v>
      </c>
      <c r="J4" s="30"/>
      <c r="K4" s="140" t="s">
        <v>149</v>
      </c>
      <c r="L4" s="141" t="s">
        <v>151</v>
      </c>
      <c r="M4" s="141" t="s">
        <v>152</v>
      </c>
      <c r="N4" s="140" t="s">
        <v>150</v>
      </c>
      <c r="O4" s="140" t="s">
        <v>142</v>
      </c>
    </row>
    <row r="5" spans="1:15">
      <c r="A5" s="19" t="s">
        <v>17</v>
      </c>
      <c r="B5" s="123">
        <f>VLOOKUP(A5,'General IP'!$B$10:$G$35,6,FALSE)</f>
        <v>6998499</v>
      </c>
      <c r="C5" s="123">
        <f>VLOOKUP(A5,'Small IP'!$A$8:$I$33,9,FALSE)</f>
        <v>0</v>
      </c>
      <c r="D5" s="123">
        <f>VLOOKUP(A5,'Mid IP'!$A$10:$F$35,6,FALSE)</f>
        <v>0</v>
      </c>
      <c r="E5" s="123">
        <f>VLOOKUP(A5,'Large IP'!$B$10:$G$35,6,FALSE)</f>
        <v>0</v>
      </c>
      <c r="F5" s="123">
        <f>VLOOKUP(A5,'General OP'!$A$9:$D$35,4,FALSE)</f>
        <v>3829450</v>
      </c>
      <c r="G5" s="123">
        <f>VLOOKUP(A5,'Mid OP'!$A$10:$F$35,6,FALSE)</f>
        <v>0</v>
      </c>
      <c r="H5" s="123">
        <f>SUM(B5:G5)</f>
        <v>10827949</v>
      </c>
      <c r="I5" s="32">
        <f>ROUND(H5/4,0)</f>
        <v>2706987</v>
      </c>
      <c r="K5" s="32">
        <f>ROUND(VLOOKUP(A5,'2020 1st qtr interim pmt'!$A$6:$B$31,2,FALSE),0)</f>
        <v>2632970</v>
      </c>
      <c r="L5" s="32">
        <f>I5</f>
        <v>2706987</v>
      </c>
      <c r="M5" s="142">
        <f>I5</f>
        <v>2706987</v>
      </c>
      <c r="N5" s="32">
        <f t="shared" ref="N5:N30" si="0">M5</f>
        <v>2706987</v>
      </c>
      <c r="O5" s="32">
        <f>H5-SUM(L5:N5)</f>
        <v>2706988</v>
      </c>
    </row>
    <row r="6" spans="1:15">
      <c r="A6" s="19" t="s">
        <v>19</v>
      </c>
      <c r="B6" s="123">
        <f>VLOOKUP(A6,'General IP'!$B$10:$G$35,6,FALSE)</f>
        <v>25820896</v>
      </c>
      <c r="C6" s="97">
        <f>VLOOKUP(A6,'Small IP'!$A$8:$I$33,9,FALSE)</f>
        <v>0</v>
      </c>
      <c r="D6" s="123">
        <f>VLOOKUP(A6,'Mid IP'!$A$10:$F$35,6,FALSE)</f>
        <v>0</v>
      </c>
      <c r="E6" s="123">
        <f>VLOOKUP(A6,'Large IP'!$B$10:$G$35,6,FALSE)</f>
        <v>0</v>
      </c>
      <c r="F6" s="123">
        <f>VLOOKUP(A6,'General OP'!$A$9:$D$35,4,FALSE)</f>
        <v>7696035</v>
      </c>
      <c r="G6" s="123">
        <f>VLOOKUP(A6,'Mid OP'!$A$10:$F$35,6,FALSE)</f>
        <v>0</v>
      </c>
      <c r="H6" s="123">
        <f t="shared" ref="H6:H31" si="1">SUM(B6:G6)</f>
        <v>33516931</v>
      </c>
      <c r="I6" s="32">
        <f t="shared" ref="I6:I30" si="2">ROUND(H6/4,0)</f>
        <v>8379233</v>
      </c>
      <c r="K6" s="32">
        <f>ROUND(VLOOKUP(A6,'2020 1st qtr interim pmt'!$A$6:$B$31,2,FALSE),0)</f>
        <v>8753762</v>
      </c>
      <c r="L6" s="32">
        <f t="shared" ref="L6:L30" si="3">I6</f>
        <v>8379233</v>
      </c>
      <c r="M6" s="142">
        <f t="shared" ref="M6:M30" si="4">I6</f>
        <v>8379233</v>
      </c>
      <c r="N6" s="32">
        <f t="shared" si="0"/>
        <v>8379233</v>
      </c>
      <c r="O6" s="32">
        <f t="shared" ref="O6:O31" si="5">H6-SUM(L6:N6)</f>
        <v>8379232</v>
      </c>
    </row>
    <row r="7" spans="1:15">
      <c r="A7" s="19" t="s">
        <v>21</v>
      </c>
      <c r="B7" s="123">
        <f>VLOOKUP(A7,'General IP'!$B$10:$G$35,6,FALSE)</f>
        <v>4307671</v>
      </c>
      <c r="C7" s="97">
        <f>VLOOKUP(A7,'Small IP'!$A$8:$I$33,9,FALSE)</f>
        <v>3536987</v>
      </c>
      <c r="D7" s="123">
        <f>VLOOKUP(A7,'Mid IP'!$A$10:$F$35,6,FALSE)</f>
        <v>0</v>
      </c>
      <c r="E7" s="123">
        <f>VLOOKUP(A7,'Large IP'!$B$10:$G$35,6,FALSE)</f>
        <v>0</v>
      </c>
      <c r="F7" s="123">
        <f>VLOOKUP(A7,'General OP'!$A$9:$D$35,4,FALSE)</f>
        <v>2228232</v>
      </c>
      <c r="G7" s="123">
        <f>VLOOKUP(A7,'Mid OP'!$A$10:$F$35,6,FALSE)</f>
        <v>0</v>
      </c>
      <c r="H7" s="123">
        <f t="shared" si="1"/>
        <v>10072890</v>
      </c>
      <c r="I7" s="32">
        <f t="shared" si="2"/>
        <v>2518223</v>
      </c>
      <c r="K7" s="32">
        <f>ROUND(VLOOKUP(A7,'2020 1st qtr interim pmt'!$A$6:$B$31,2,FALSE),0)</f>
        <v>2354868</v>
      </c>
      <c r="L7" s="32">
        <f t="shared" si="3"/>
        <v>2518223</v>
      </c>
      <c r="M7" s="142">
        <f t="shared" si="4"/>
        <v>2518223</v>
      </c>
      <c r="N7" s="32">
        <f t="shared" si="0"/>
        <v>2518223</v>
      </c>
      <c r="O7" s="32">
        <f t="shared" si="5"/>
        <v>2518221</v>
      </c>
    </row>
    <row r="8" spans="1:15">
      <c r="A8" s="19" t="s">
        <v>23</v>
      </c>
      <c r="B8" s="123">
        <f>VLOOKUP(A8,'General IP'!$B$10:$G$35,6,FALSE)</f>
        <v>10465873</v>
      </c>
      <c r="C8" s="97">
        <f>VLOOKUP(A8,'Small IP'!$A$8:$I$33,9,FALSE)</f>
        <v>0</v>
      </c>
      <c r="D8" s="123">
        <f>VLOOKUP(A8,'Mid IP'!$A$10:$F$35,6,FALSE)</f>
        <v>8250000</v>
      </c>
      <c r="E8" s="123">
        <f>VLOOKUP(A8,'Large IP'!$B$10:$G$35,6,FALSE)</f>
        <v>0</v>
      </c>
      <c r="F8" s="123">
        <f>VLOOKUP(A8,'General OP'!$A$9:$D$35,4,FALSE)</f>
        <v>4346717</v>
      </c>
      <c r="G8" s="123">
        <f>VLOOKUP(A8,'Mid OP'!$A$10:$F$35,6,FALSE)</f>
        <v>8250000</v>
      </c>
      <c r="H8" s="123">
        <f t="shared" si="1"/>
        <v>31312590</v>
      </c>
      <c r="I8" s="32">
        <f t="shared" si="2"/>
        <v>7828148</v>
      </c>
      <c r="K8" s="32">
        <f>ROUND(VLOOKUP(A8,'2020 1st qtr interim pmt'!$A$6:$B$31,2,FALSE),0)</f>
        <v>7366724</v>
      </c>
      <c r="L8" s="32">
        <f t="shared" si="3"/>
        <v>7828148</v>
      </c>
      <c r="M8" s="142">
        <f t="shared" si="4"/>
        <v>7828148</v>
      </c>
      <c r="N8" s="32">
        <f t="shared" si="0"/>
        <v>7828148</v>
      </c>
      <c r="O8" s="32">
        <f t="shared" si="5"/>
        <v>7828146</v>
      </c>
    </row>
    <row r="9" spans="1:15">
      <c r="A9" s="19" t="s">
        <v>26</v>
      </c>
      <c r="B9" s="123">
        <f>VLOOKUP(A9,'General IP'!$B$10:$G$35,6,FALSE)</f>
        <v>2978108</v>
      </c>
      <c r="C9" s="97">
        <f>VLOOKUP(A9,'Small IP'!$A$8:$I$33,9,FALSE)</f>
        <v>3536987</v>
      </c>
      <c r="D9" s="123">
        <f>VLOOKUP(A9,'Mid IP'!$A$10:$F$35,6,FALSE)</f>
        <v>0</v>
      </c>
      <c r="E9" s="123">
        <f>VLOOKUP(A9,'Large IP'!$B$10:$G$35,6,FALSE)</f>
        <v>0</v>
      </c>
      <c r="F9" s="123">
        <f>VLOOKUP(A9,'General OP'!$A$9:$D$35,4,FALSE)</f>
        <v>1773099</v>
      </c>
      <c r="G9" s="123">
        <f>VLOOKUP(A9,'Mid OP'!$A$10:$F$35,6,FALSE)</f>
        <v>0</v>
      </c>
      <c r="H9" s="123">
        <f t="shared" si="1"/>
        <v>8288194</v>
      </c>
      <c r="I9" s="32">
        <f t="shared" si="2"/>
        <v>2072049</v>
      </c>
      <c r="K9" s="32">
        <f>ROUND(VLOOKUP(A9,'2020 1st qtr interim pmt'!$A$6:$B$31,2,FALSE),0)</f>
        <v>1895334</v>
      </c>
      <c r="L9" s="32">
        <f t="shared" si="3"/>
        <v>2072049</v>
      </c>
      <c r="M9" s="142">
        <f t="shared" si="4"/>
        <v>2072049</v>
      </c>
      <c r="N9" s="32">
        <f t="shared" si="0"/>
        <v>2072049</v>
      </c>
      <c r="O9" s="32">
        <f t="shared" si="5"/>
        <v>2072047</v>
      </c>
    </row>
    <row r="10" spans="1:15">
      <c r="A10" s="19" t="s">
        <v>28</v>
      </c>
      <c r="B10" s="123">
        <f>VLOOKUP(A10,'General IP'!$B$10:$G$35,6,FALSE)</f>
        <v>1588955</v>
      </c>
      <c r="C10" s="97">
        <f>VLOOKUP(A10,'Small IP'!$A$8:$I$33,9,FALSE)</f>
        <v>0</v>
      </c>
      <c r="D10" s="123">
        <f>VLOOKUP(A10,'Mid IP'!$A$10:$F$35,6,FALSE)</f>
        <v>2750000</v>
      </c>
      <c r="E10" s="123">
        <f>VLOOKUP(A10,'Large IP'!$B$10:$G$35,6,FALSE)</f>
        <v>0</v>
      </c>
      <c r="F10" s="123">
        <f>VLOOKUP(A10,'General OP'!$A$9:$D$35,4,FALSE)</f>
        <v>900702</v>
      </c>
      <c r="G10" s="123">
        <f>VLOOKUP(A10,'Mid OP'!$A$10:$F$35,6,FALSE)</f>
        <v>2750000</v>
      </c>
      <c r="H10" s="123">
        <f t="shared" si="1"/>
        <v>7989657</v>
      </c>
      <c r="I10" s="32">
        <f t="shared" si="2"/>
        <v>1997414</v>
      </c>
      <c r="K10" s="32">
        <f>ROUND(VLOOKUP(A10,'2020 1st qtr interim pmt'!$A$6:$B$31,2,FALSE),0)</f>
        <v>1390605</v>
      </c>
      <c r="L10" s="32">
        <f t="shared" si="3"/>
        <v>1997414</v>
      </c>
      <c r="M10" s="142">
        <f t="shared" si="4"/>
        <v>1997414</v>
      </c>
      <c r="N10" s="32">
        <f t="shared" si="0"/>
        <v>1997414</v>
      </c>
      <c r="O10" s="32">
        <f t="shared" si="5"/>
        <v>1997415</v>
      </c>
    </row>
    <row r="11" spans="1:15">
      <c r="A11" s="19" t="s">
        <v>30</v>
      </c>
      <c r="B11" s="123">
        <f>VLOOKUP(A11,'General IP'!$B$10:$G$35,6,FALSE)</f>
        <v>4253471</v>
      </c>
      <c r="C11" s="97">
        <f>VLOOKUP(A11,'Small IP'!$A$8:$I$33,9,FALSE)</f>
        <v>3536987</v>
      </c>
      <c r="D11" s="123">
        <f>VLOOKUP(A11,'Mid IP'!$A$10:$F$35,6,FALSE)</f>
        <v>0</v>
      </c>
      <c r="E11" s="123">
        <f>VLOOKUP(A11,'Large IP'!$B$10:$G$35,6,FALSE)</f>
        <v>0</v>
      </c>
      <c r="F11" s="123">
        <f>VLOOKUP(A11,'General OP'!$A$9:$D$35,4,FALSE)</f>
        <v>2168508</v>
      </c>
      <c r="G11" s="123">
        <f>VLOOKUP(A11,'Mid OP'!$A$10:$F$35,6,FALSE)</f>
        <v>0</v>
      </c>
      <c r="H11" s="123">
        <f t="shared" si="1"/>
        <v>9958966</v>
      </c>
      <c r="I11" s="32">
        <f t="shared" si="2"/>
        <v>2489742</v>
      </c>
      <c r="K11" s="32">
        <f>ROUND(VLOOKUP(A11,'2020 1st qtr interim pmt'!$A$6:$B$31,2,FALSE),0)</f>
        <v>2329988</v>
      </c>
      <c r="L11" s="32">
        <f t="shared" si="3"/>
        <v>2489742</v>
      </c>
      <c r="M11" s="142">
        <f t="shared" si="4"/>
        <v>2489742</v>
      </c>
      <c r="N11" s="32">
        <f t="shared" si="0"/>
        <v>2489742</v>
      </c>
      <c r="O11" s="32">
        <f t="shared" si="5"/>
        <v>2489740</v>
      </c>
    </row>
    <row r="12" spans="1:15">
      <c r="A12" s="19" t="s">
        <v>32</v>
      </c>
      <c r="B12" s="123">
        <f>VLOOKUP(A12,'General IP'!$B$10:$G$35,6,FALSE)</f>
        <v>37545847</v>
      </c>
      <c r="C12" s="97">
        <f>VLOOKUP(A12,'Small IP'!$A$8:$I$33,9,FALSE)</f>
        <v>0</v>
      </c>
      <c r="D12" s="123">
        <f>VLOOKUP(A12,'Mid IP'!$A$10:$F$35,6,FALSE)</f>
        <v>0</v>
      </c>
      <c r="E12" s="123">
        <f>VLOOKUP(A12,'Large IP'!$B$10:$G$35,6,FALSE)</f>
        <v>14023769</v>
      </c>
      <c r="F12" s="123">
        <f>VLOOKUP(A12,'General OP'!$A$9:$D$35,4,FALSE)</f>
        <v>9636934</v>
      </c>
      <c r="G12" s="123">
        <f>VLOOKUP(A12,'Mid OP'!$A$10:$F$35,6,FALSE)</f>
        <v>0</v>
      </c>
      <c r="H12" s="123">
        <f t="shared" si="1"/>
        <v>61206550</v>
      </c>
      <c r="I12" s="32">
        <f t="shared" si="2"/>
        <v>15301638</v>
      </c>
      <c r="K12" s="32">
        <f>ROUND(VLOOKUP(A12,'2020 1st qtr interim pmt'!$A$6:$B$31,2,FALSE),0)</f>
        <v>12496721</v>
      </c>
      <c r="L12" s="32">
        <f t="shared" si="3"/>
        <v>15301638</v>
      </c>
      <c r="M12" s="142">
        <f t="shared" si="4"/>
        <v>15301638</v>
      </c>
      <c r="N12" s="32">
        <f t="shared" si="0"/>
        <v>15301638</v>
      </c>
      <c r="O12" s="32">
        <f t="shared" si="5"/>
        <v>15301636</v>
      </c>
    </row>
    <row r="13" spans="1:15">
      <c r="A13" s="19" t="s">
        <v>34</v>
      </c>
      <c r="B13" s="123">
        <f>VLOOKUP(A13,'General IP'!$B$10:$G$35,6,FALSE)</f>
        <v>10497077</v>
      </c>
      <c r="C13" s="97">
        <f>VLOOKUP(A13,'Small IP'!$A$8:$I$33,9,FALSE)</f>
        <v>0</v>
      </c>
      <c r="D13" s="123">
        <f>VLOOKUP(A13,'Mid IP'!$A$10:$F$35,6,FALSE)</f>
        <v>0</v>
      </c>
      <c r="E13" s="123">
        <f>VLOOKUP(A13,'Large IP'!$B$10:$G$35,6,FALSE)</f>
        <v>0</v>
      </c>
      <c r="F13" s="123">
        <f>VLOOKUP(A13,'General OP'!$A$9:$D$35,4,FALSE)</f>
        <v>5869211</v>
      </c>
      <c r="G13" s="123">
        <f>VLOOKUP(A13,'Mid OP'!$A$10:$F$35,6,FALSE)</f>
        <v>0</v>
      </c>
      <c r="H13" s="123">
        <f t="shared" si="1"/>
        <v>16366288</v>
      </c>
      <c r="I13" s="32">
        <f t="shared" si="2"/>
        <v>4091572</v>
      </c>
      <c r="K13" s="32">
        <f>ROUND(VLOOKUP(A13,'2020 1st qtr interim pmt'!$A$6:$B$31,2,FALSE),0)</f>
        <v>3967928</v>
      </c>
      <c r="L13" s="32">
        <f t="shared" si="3"/>
        <v>4091572</v>
      </c>
      <c r="M13" s="142">
        <f t="shared" si="4"/>
        <v>4091572</v>
      </c>
      <c r="N13" s="32">
        <f t="shared" si="0"/>
        <v>4091572</v>
      </c>
      <c r="O13" s="32">
        <f t="shared" si="5"/>
        <v>4091572</v>
      </c>
    </row>
    <row r="14" spans="1:15">
      <c r="A14" s="19" t="s">
        <v>36</v>
      </c>
      <c r="B14" s="123">
        <f>VLOOKUP(A14,'General IP'!$B$10:$G$35,6,FALSE)</f>
        <v>2777804</v>
      </c>
      <c r="C14" s="97">
        <f>VLOOKUP(A14,'Small IP'!$A$8:$I$33,9,FALSE)</f>
        <v>3536987</v>
      </c>
      <c r="D14" s="123">
        <f>VLOOKUP(A14,'Mid IP'!$A$10:$F$35,6,FALSE)</f>
        <v>0</v>
      </c>
      <c r="E14" s="123">
        <f>VLOOKUP(A14,'Large IP'!$B$10:$G$35,6,FALSE)</f>
        <v>0</v>
      </c>
      <c r="F14" s="123">
        <f>VLOOKUP(A14,'General OP'!$A$9:$D$35,4,FALSE)</f>
        <v>1696657</v>
      </c>
      <c r="G14" s="123">
        <f>VLOOKUP(A14,'Mid OP'!$A$10:$F$35,6,FALSE)</f>
        <v>0</v>
      </c>
      <c r="H14" s="123">
        <f t="shared" si="1"/>
        <v>8011448</v>
      </c>
      <c r="I14" s="32">
        <f t="shared" si="2"/>
        <v>2002862</v>
      </c>
      <c r="K14" s="32">
        <f>ROUND(VLOOKUP(A14,'2020 1st qtr interim pmt'!$A$6:$B$31,2,FALSE),0)</f>
        <v>1071448</v>
      </c>
      <c r="L14" s="32">
        <f t="shared" si="3"/>
        <v>2002862</v>
      </c>
      <c r="M14" s="142">
        <f t="shared" si="4"/>
        <v>2002862</v>
      </c>
      <c r="N14" s="32">
        <f t="shared" si="0"/>
        <v>2002862</v>
      </c>
      <c r="O14" s="32">
        <f t="shared" si="5"/>
        <v>2002862</v>
      </c>
    </row>
    <row r="15" spans="1:15">
      <c r="A15" s="19" t="s">
        <v>38</v>
      </c>
      <c r="B15" s="123">
        <f>VLOOKUP(A15,'General IP'!$B$10:$G$35,6,FALSE)</f>
        <v>1906207</v>
      </c>
      <c r="C15" s="97">
        <f>VLOOKUP(A15,'Small IP'!$A$8:$I$33,9,FALSE)</f>
        <v>2667785</v>
      </c>
      <c r="D15" s="123">
        <f>VLOOKUP(A15,'Mid IP'!$A$10:$F$35,6,FALSE)</f>
        <v>0</v>
      </c>
      <c r="E15" s="123">
        <f>VLOOKUP(A15,'Large IP'!$B$10:$G$35,6,FALSE)</f>
        <v>0</v>
      </c>
      <c r="F15" s="123">
        <f>VLOOKUP(A15,'General OP'!$A$9:$D$35,4,FALSE)</f>
        <v>544474</v>
      </c>
      <c r="G15" s="123">
        <f>VLOOKUP(A15,'Mid OP'!$A$10:$F$35,6,FALSE)</f>
        <v>0</v>
      </c>
      <c r="H15" s="123">
        <f t="shared" si="1"/>
        <v>5118466</v>
      </c>
      <c r="I15" s="32">
        <f t="shared" si="2"/>
        <v>1279617</v>
      </c>
      <c r="K15" s="32">
        <f>ROUND(VLOOKUP(A15,'2020 1st qtr interim pmt'!$A$6:$B$31,2,FALSE),0)</f>
        <v>642703</v>
      </c>
      <c r="L15" s="32">
        <f t="shared" si="3"/>
        <v>1279617</v>
      </c>
      <c r="M15" s="142">
        <f t="shared" si="4"/>
        <v>1279617</v>
      </c>
      <c r="N15" s="32">
        <f t="shared" si="0"/>
        <v>1279617</v>
      </c>
      <c r="O15" s="32">
        <f t="shared" si="5"/>
        <v>1279615</v>
      </c>
    </row>
    <row r="16" spans="1:15">
      <c r="A16" s="19" t="s">
        <v>40</v>
      </c>
      <c r="B16" s="123">
        <f>VLOOKUP(A16,'General IP'!$B$10:$G$35,6,FALSE)</f>
        <v>8817925</v>
      </c>
      <c r="C16" s="97">
        <f>VLOOKUP(A16,'Small IP'!$A$8:$I$33,9,FALSE)</f>
        <v>0</v>
      </c>
      <c r="D16" s="123">
        <f>VLOOKUP(A16,'Mid IP'!$A$10:$F$35,6,FALSE)</f>
        <v>0</v>
      </c>
      <c r="E16" s="123">
        <f>VLOOKUP(A16,'Large IP'!$B$10:$G$35,6,FALSE)</f>
        <v>0</v>
      </c>
      <c r="F16" s="123">
        <f>VLOOKUP(A16,'General OP'!$A$9:$D$35,4,FALSE)</f>
        <v>3459216</v>
      </c>
      <c r="G16" s="123">
        <f>VLOOKUP(A16,'Mid OP'!$A$10:$F$35,6,FALSE)</f>
        <v>0</v>
      </c>
      <c r="H16" s="123">
        <f t="shared" si="1"/>
        <v>12277141</v>
      </c>
      <c r="I16" s="32">
        <f t="shared" si="2"/>
        <v>3069285</v>
      </c>
      <c r="K16" s="32">
        <f>ROUND(VLOOKUP(A16,'2020 1st qtr interim pmt'!$A$6:$B$31,2,FALSE),0)</f>
        <v>3113527</v>
      </c>
      <c r="L16" s="32">
        <f t="shared" si="3"/>
        <v>3069285</v>
      </c>
      <c r="M16" s="142">
        <f t="shared" si="4"/>
        <v>3069285</v>
      </c>
      <c r="N16" s="32">
        <f t="shared" si="0"/>
        <v>3069285</v>
      </c>
      <c r="O16" s="32">
        <f t="shared" si="5"/>
        <v>3069286</v>
      </c>
    </row>
    <row r="17" spans="1:15">
      <c r="A17" s="19" t="s">
        <v>42</v>
      </c>
      <c r="B17" s="123">
        <f>VLOOKUP(A17,'General IP'!$B$10:$G$35,6,FALSE)</f>
        <v>6167971</v>
      </c>
      <c r="C17" s="97">
        <f>VLOOKUP(A17,'Small IP'!$A$8:$I$33,9,FALSE)</f>
        <v>0</v>
      </c>
      <c r="D17" s="123">
        <f>VLOOKUP(A17,'Mid IP'!$A$10:$F$35,6,FALSE)</f>
        <v>0</v>
      </c>
      <c r="E17" s="123">
        <f>VLOOKUP(A17,'Large IP'!$B$10:$G$35,6,FALSE)</f>
        <v>0</v>
      </c>
      <c r="F17" s="123">
        <f>VLOOKUP(A17,'General OP'!$A$9:$D$35,4,FALSE)</f>
        <v>2959792</v>
      </c>
      <c r="G17" s="123">
        <f>VLOOKUP(A17,'Mid OP'!$A$10:$F$35,6,FALSE)</f>
        <v>0</v>
      </c>
      <c r="H17" s="123">
        <f t="shared" si="1"/>
        <v>9127763</v>
      </c>
      <c r="I17" s="32">
        <f t="shared" si="2"/>
        <v>2281941</v>
      </c>
      <c r="K17" s="32">
        <f>ROUND(VLOOKUP(A17,'2020 1st qtr interim pmt'!$A$6:$B$31,2,FALSE),0)</f>
        <v>2258508</v>
      </c>
      <c r="L17" s="32">
        <f t="shared" si="3"/>
        <v>2281941</v>
      </c>
      <c r="M17" s="142">
        <f t="shared" si="4"/>
        <v>2281941</v>
      </c>
      <c r="N17" s="32">
        <f t="shared" si="0"/>
        <v>2281941</v>
      </c>
      <c r="O17" s="32">
        <f t="shared" si="5"/>
        <v>2281940</v>
      </c>
    </row>
    <row r="18" spans="1:15">
      <c r="A18" s="19" t="s">
        <v>44</v>
      </c>
      <c r="B18" s="123">
        <f>VLOOKUP(A18,'General IP'!$B$10:$G$35,6,FALSE)</f>
        <v>6561572</v>
      </c>
      <c r="C18" s="97">
        <f>VLOOKUP(A18,'Small IP'!$A$8:$I$33,9,FALSE)</f>
        <v>0</v>
      </c>
      <c r="D18" s="123">
        <f>VLOOKUP(A18,'Mid IP'!$A$10:$F$35,6,FALSE)</f>
        <v>6000000</v>
      </c>
      <c r="E18" s="123">
        <f>VLOOKUP(A18,'Large IP'!$B$10:$G$35,6,FALSE)</f>
        <v>0</v>
      </c>
      <c r="F18" s="123">
        <f>VLOOKUP(A18,'General OP'!$A$9:$D$35,4,FALSE)</f>
        <v>3386826</v>
      </c>
      <c r="G18" s="123">
        <f>VLOOKUP(A18,'Mid OP'!$A$10:$F$35,6,FALSE)</f>
        <v>6000000</v>
      </c>
      <c r="H18" s="123">
        <f t="shared" si="1"/>
        <v>21948398</v>
      </c>
      <c r="I18" s="32">
        <f t="shared" si="2"/>
        <v>5487100</v>
      </c>
      <c r="K18" s="32">
        <f>ROUND(VLOOKUP(A18,'2020 1st qtr interim pmt'!$A$6:$B$31,2,FALSE),0)</f>
        <v>5692822</v>
      </c>
      <c r="L18" s="32">
        <f t="shared" si="3"/>
        <v>5487100</v>
      </c>
      <c r="M18" s="142">
        <f t="shared" si="4"/>
        <v>5487100</v>
      </c>
      <c r="N18" s="32">
        <f t="shared" si="0"/>
        <v>5487100</v>
      </c>
      <c r="O18" s="32">
        <f t="shared" si="5"/>
        <v>5487098</v>
      </c>
    </row>
    <row r="19" spans="1:15">
      <c r="A19" s="19" t="s">
        <v>46</v>
      </c>
      <c r="B19" s="123">
        <f>VLOOKUP(A19,'General IP'!$B$10:$G$35,6,FALSE)</f>
        <v>4832657</v>
      </c>
      <c r="C19" s="97">
        <f>VLOOKUP(A19,'Small IP'!$A$8:$I$33,9,FALSE)</f>
        <v>3536987</v>
      </c>
      <c r="D19" s="123">
        <f>VLOOKUP(A19,'Mid IP'!$A$10:$F$35,6,FALSE)</f>
        <v>0</v>
      </c>
      <c r="E19" s="123">
        <f>VLOOKUP(A19,'Large IP'!$B$10:$G$35,6,FALSE)</f>
        <v>0</v>
      </c>
      <c r="F19" s="123">
        <f>VLOOKUP(A19,'General OP'!$A$9:$D$35,4,FALSE)</f>
        <v>2510258</v>
      </c>
      <c r="G19" s="123">
        <f>VLOOKUP(A19,'Mid OP'!$A$10:$F$35,6,FALSE)</f>
        <v>0</v>
      </c>
      <c r="H19" s="123">
        <f t="shared" si="1"/>
        <v>10879902</v>
      </c>
      <c r="I19" s="32">
        <f t="shared" si="2"/>
        <v>2719976</v>
      </c>
      <c r="K19" s="32">
        <f>ROUND(VLOOKUP(A19,'2020 1st qtr interim pmt'!$A$6:$B$31,2,FALSE),0)</f>
        <v>1798117</v>
      </c>
      <c r="L19" s="32">
        <f t="shared" si="3"/>
        <v>2719976</v>
      </c>
      <c r="M19" s="142">
        <f t="shared" si="4"/>
        <v>2719976</v>
      </c>
      <c r="N19" s="32">
        <f t="shared" si="0"/>
        <v>2719976</v>
      </c>
      <c r="O19" s="32">
        <f t="shared" si="5"/>
        <v>2719974</v>
      </c>
    </row>
    <row r="20" spans="1:15">
      <c r="A20" s="19" t="s">
        <v>48</v>
      </c>
      <c r="B20" s="123">
        <f>VLOOKUP(A20,'General IP'!$B$10:$G$35,6,FALSE)</f>
        <v>682374</v>
      </c>
      <c r="C20" s="97">
        <f>VLOOKUP(A20,'Small IP'!$A$8:$I$33,9,FALSE)</f>
        <v>955000</v>
      </c>
      <c r="D20" s="123">
        <f>VLOOKUP(A20,'Mid IP'!$A$10:$F$35,6,FALSE)</f>
        <v>0</v>
      </c>
      <c r="E20" s="123">
        <f>VLOOKUP(A20,'Large IP'!$B$10:$G$35,6,FALSE)</f>
        <v>0</v>
      </c>
      <c r="F20" s="123">
        <f>VLOOKUP(A20,'General OP'!$A$9:$D$35,4,FALSE)</f>
        <v>686280</v>
      </c>
      <c r="G20" s="123">
        <f>VLOOKUP(A20,'Mid OP'!$A$10:$F$35,6,FALSE)</f>
        <v>0</v>
      </c>
      <c r="H20" s="123">
        <f t="shared" si="1"/>
        <v>2323654</v>
      </c>
      <c r="I20" s="32">
        <f t="shared" si="2"/>
        <v>580914</v>
      </c>
      <c r="K20" s="32">
        <f>ROUND(VLOOKUP(A20,'2020 1st qtr interim pmt'!$A$6:$B$31,2,FALSE),0)</f>
        <v>303446</v>
      </c>
      <c r="L20" s="32">
        <f t="shared" si="3"/>
        <v>580914</v>
      </c>
      <c r="M20" s="142">
        <f t="shared" si="4"/>
        <v>580914</v>
      </c>
      <c r="N20" s="32">
        <f t="shared" si="0"/>
        <v>580914</v>
      </c>
      <c r="O20" s="32">
        <f t="shared" si="5"/>
        <v>580912</v>
      </c>
    </row>
    <row r="21" spans="1:15">
      <c r="A21" s="19" t="s">
        <v>50</v>
      </c>
      <c r="B21" s="123">
        <f>VLOOKUP(A21,'General IP'!$B$10:$G$35,6,FALSE)</f>
        <v>10114370</v>
      </c>
      <c r="C21" s="97">
        <f>VLOOKUP(A21,'Small IP'!$A$8:$I$33,9,FALSE)</f>
        <v>0</v>
      </c>
      <c r="D21" s="123">
        <f>VLOOKUP(A21,'Mid IP'!$A$10:$F$35,6,FALSE)</f>
        <v>8250000</v>
      </c>
      <c r="E21" s="123">
        <f>VLOOKUP(A21,'Large IP'!$B$10:$G$35,6,FALSE)</f>
        <v>0</v>
      </c>
      <c r="F21" s="123">
        <f>VLOOKUP(A21,'General OP'!$A$9:$D$35,4,FALSE)</f>
        <v>3498510</v>
      </c>
      <c r="G21" s="123">
        <f>VLOOKUP(A21,'Mid OP'!$A$10:$F$35,6,FALSE)</f>
        <v>8250000</v>
      </c>
      <c r="H21" s="123">
        <f t="shared" si="1"/>
        <v>30112880</v>
      </c>
      <c r="I21" s="32">
        <f t="shared" si="2"/>
        <v>7528220</v>
      </c>
      <c r="K21" s="32">
        <f>ROUND(VLOOKUP(A21,'2020 1st qtr interim pmt'!$A$6:$B$31,2,FALSE),0)</f>
        <v>7136544</v>
      </c>
      <c r="L21" s="32">
        <f t="shared" si="3"/>
        <v>7528220</v>
      </c>
      <c r="M21" s="142">
        <f t="shared" si="4"/>
        <v>7528220</v>
      </c>
      <c r="N21" s="32">
        <f t="shared" si="0"/>
        <v>7528220</v>
      </c>
      <c r="O21" s="32">
        <f t="shared" si="5"/>
        <v>7528220</v>
      </c>
    </row>
    <row r="22" spans="1:15">
      <c r="A22" s="19" t="s">
        <v>52</v>
      </c>
      <c r="B22" s="123">
        <f>VLOOKUP(A22,'General IP'!$B$10:$G$35,6,FALSE)</f>
        <v>985799</v>
      </c>
      <c r="C22" s="97">
        <f>VLOOKUP(A22,'Small IP'!$A$8:$I$33,9,FALSE)</f>
        <v>1379650</v>
      </c>
      <c r="D22" s="123">
        <f>VLOOKUP(A22,'Mid IP'!$A$10:$F$35,6,FALSE)</f>
        <v>0</v>
      </c>
      <c r="E22" s="123">
        <f>VLOOKUP(A22,'Large IP'!$B$10:$G$35,6,FALSE)</f>
        <v>0</v>
      </c>
      <c r="F22" s="123">
        <f>VLOOKUP(A22,'General OP'!$A$9:$D$35,4,FALSE)</f>
        <v>952108</v>
      </c>
      <c r="G22" s="123">
        <f>VLOOKUP(A22,'Mid OP'!$A$10:$F$35,6,FALSE)</f>
        <v>0</v>
      </c>
      <c r="H22" s="123">
        <f t="shared" si="1"/>
        <v>3317557</v>
      </c>
      <c r="I22" s="32">
        <f t="shared" si="2"/>
        <v>829389</v>
      </c>
      <c r="K22" s="32">
        <f>ROUND(VLOOKUP(A22,'2020 1st qtr interim pmt'!$A$6:$B$31,2,FALSE),0)</f>
        <v>432502</v>
      </c>
      <c r="L22" s="32">
        <f t="shared" si="3"/>
        <v>829389</v>
      </c>
      <c r="M22" s="142">
        <f t="shared" si="4"/>
        <v>829389</v>
      </c>
      <c r="N22" s="32">
        <f t="shared" si="0"/>
        <v>829389</v>
      </c>
      <c r="O22" s="32">
        <f t="shared" si="5"/>
        <v>829390</v>
      </c>
    </row>
    <row r="23" spans="1:15">
      <c r="A23" s="19" t="s">
        <v>54</v>
      </c>
      <c r="B23" s="123">
        <f>VLOOKUP(A23,'General IP'!$B$10:$G$35,6,FALSE)</f>
        <v>534274</v>
      </c>
      <c r="C23" s="97">
        <f>VLOOKUP(A23,'Small IP'!$A$8:$I$33,9,FALSE)</f>
        <v>747732</v>
      </c>
      <c r="D23" s="123">
        <f>VLOOKUP(A23,'Mid IP'!$A$10:$F$35,6,FALSE)</f>
        <v>0</v>
      </c>
      <c r="E23" s="123">
        <f>VLOOKUP(A23,'Large IP'!$B$10:$G$35,6,FALSE)</f>
        <v>0</v>
      </c>
      <c r="F23" s="123">
        <f>VLOOKUP(A23,'General OP'!$A$9:$D$35,4,FALSE)</f>
        <v>234830</v>
      </c>
      <c r="G23" s="123">
        <f>VLOOKUP(A23,'Mid OP'!$A$10:$F$35,6,FALSE)</f>
        <v>0</v>
      </c>
      <c r="H23" s="123">
        <f t="shared" si="1"/>
        <v>1516836</v>
      </c>
      <c r="I23" s="32">
        <f t="shared" si="2"/>
        <v>379209</v>
      </c>
      <c r="K23" s="32">
        <f>ROUND(VLOOKUP(A23,'2020 1st qtr interim pmt'!$A$6:$B$31,2,FALSE),0)</f>
        <v>192416</v>
      </c>
      <c r="L23" s="32">
        <f t="shared" si="3"/>
        <v>379209</v>
      </c>
      <c r="M23" s="142">
        <f t="shared" si="4"/>
        <v>379209</v>
      </c>
      <c r="N23" s="32">
        <f t="shared" si="0"/>
        <v>379209</v>
      </c>
      <c r="O23" s="32">
        <f t="shared" si="5"/>
        <v>379209</v>
      </c>
    </row>
    <row r="24" spans="1:15">
      <c r="A24" s="19" t="s">
        <v>56</v>
      </c>
      <c r="B24" s="123">
        <f>VLOOKUP(A24,'General IP'!$B$10:$G$35,6,FALSE)</f>
        <v>27569669</v>
      </c>
      <c r="C24" s="97">
        <f>VLOOKUP(A24,'Small IP'!$A$8:$I$33,9,FALSE)</f>
        <v>0</v>
      </c>
      <c r="D24" s="123">
        <f>VLOOKUP(A24,'Mid IP'!$A$10:$F$35,6,FALSE)</f>
        <v>0</v>
      </c>
      <c r="E24" s="123">
        <f>VLOOKUP(A24,'Large IP'!$B$10:$G$35,6,FALSE)</f>
        <v>0</v>
      </c>
      <c r="F24" s="123">
        <f>VLOOKUP(A24,'General OP'!$A$9:$D$35,4,FALSE)</f>
        <v>6305186</v>
      </c>
      <c r="G24" s="123">
        <f>VLOOKUP(A24,'Mid OP'!$A$10:$F$35,6,FALSE)</f>
        <v>0</v>
      </c>
      <c r="H24" s="123">
        <f t="shared" si="1"/>
        <v>33874855</v>
      </c>
      <c r="I24" s="32">
        <f t="shared" si="2"/>
        <v>8468714</v>
      </c>
      <c r="K24" s="32">
        <f>ROUND(VLOOKUP(A24,'2020 1st qtr interim pmt'!$A$6:$B$31,2,FALSE),0)</f>
        <v>9061108</v>
      </c>
      <c r="L24" s="32">
        <f t="shared" si="3"/>
        <v>8468714</v>
      </c>
      <c r="M24" s="142">
        <f t="shared" si="4"/>
        <v>8468714</v>
      </c>
      <c r="N24" s="32">
        <f t="shared" si="0"/>
        <v>8468714</v>
      </c>
      <c r="O24" s="32">
        <f t="shared" si="5"/>
        <v>8468713</v>
      </c>
    </row>
    <row r="25" spans="1:15">
      <c r="A25" s="19" t="s">
        <v>58</v>
      </c>
      <c r="B25" s="123">
        <f>VLOOKUP(A25,'General IP'!$B$10:$G$35,6,FALSE)</f>
        <v>10991666</v>
      </c>
      <c r="C25" s="97">
        <f>VLOOKUP(A25,'Small IP'!$A$8:$I$33,9,FALSE)</f>
        <v>0</v>
      </c>
      <c r="D25" s="123">
        <f>VLOOKUP(A25,'Mid IP'!$A$10:$F$35,6,FALSE)</f>
        <v>0</v>
      </c>
      <c r="E25" s="123">
        <f>VLOOKUP(A25,'Large IP'!$B$10:$G$35,6,FALSE)</f>
        <v>0</v>
      </c>
      <c r="F25" s="123">
        <f>VLOOKUP(A25,'General OP'!$A$9:$D$35,4,FALSE)</f>
        <v>4721772</v>
      </c>
      <c r="G25" s="123">
        <f>VLOOKUP(A25,'Mid OP'!$A$10:$F$35,6,FALSE)</f>
        <v>0</v>
      </c>
      <c r="H25" s="123">
        <f t="shared" si="1"/>
        <v>15713438</v>
      </c>
      <c r="I25" s="32">
        <f t="shared" si="2"/>
        <v>3928360</v>
      </c>
      <c r="K25" s="32">
        <f>ROUND(VLOOKUP(A25,'2020 1st qtr interim pmt'!$A$6:$B$31,2,FALSE),0)</f>
        <v>3942250</v>
      </c>
      <c r="L25" s="32">
        <f t="shared" si="3"/>
        <v>3928360</v>
      </c>
      <c r="M25" s="142">
        <f t="shared" si="4"/>
        <v>3928360</v>
      </c>
      <c r="N25" s="32">
        <f t="shared" si="0"/>
        <v>3928360</v>
      </c>
      <c r="O25" s="32">
        <f t="shared" si="5"/>
        <v>3928358</v>
      </c>
    </row>
    <row r="26" spans="1:15">
      <c r="A26" s="19" t="s">
        <v>60</v>
      </c>
      <c r="B26" s="123">
        <f>VLOOKUP(A26,'General IP'!$B$10:$G$35,6,FALSE)</f>
        <v>18860314</v>
      </c>
      <c r="C26" s="97">
        <f>VLOOKUP(A26,'Small IP'!$A$8:$I$33,9,FALSE)</f>
        <v>0</v>
      </c>
      <c r="D26" s="123">
        <f>VLOOKUP(A26,'Mid IP'!$A$10:$F$35,6,FALSE)</f>
        <v>0</v>
      </c>
      <c r="E26" s="123">
        <f>VLOOKUP(A26,'Large IP'!$B$10:$G$35,6,FALSE)</f>
        <v>0</v>
      </c>
      <c r="F26" s="123">
        <f>VLOOKUP(A26,'General OP'!$A$9:$D$35,4,FALSE)</f>
        <v>5932051</v>
      </c>
      <c r="G26" s="123">
        <f>VLOOKUP(A26,'Mid OP'!$A$10:$F$35,6,FALSE)</f>
        <v>0</v>
      </c>
      <c r="H26" s="123">
        <f t="shared" si="1"/>
        <v>24792365</v>
      </c>
      <c r="I26" s="32">
        <f t="shared" si="2"/>
        <v>6198091</v>
      </c>
      <c r="K26" s="32">
        <f>ROUND(VLOOKUP(A26,'2020 1st qtr interim pmt'!$A$6:$B$31,2,FALSE),0)</f>
        <v>6440383</v>
      </c>
      <c r="L26" s="32">
        <f t="shared" si="3"/>
        <v>6198091</v>
      </c>
      <c r="M26" s="142">
        <f t="shared" si="4"/>
        <v>6198091</v>
      </c>
      <c r="N26" s="32">
        <f t="shared" si="0"/>
        <v>6198091</v>
      </c>
      <c r="O26" s="32">
        <f t="shared" si="5"/>
        <v>6198092</v>
      </c>
    </row>
    <row r="27" spans="1:15">
      <c r="A27" s="19" t="s">
        <v>62</v>
      </c>
      <c r="B27" s="123">
        <f>VLOOKUP(A27,'General IP'!$B$10:$G$35,6,FALSE)</f>
        <v>7296166</v>
      </c>
      <c r="C27" s="97">
        <f>VLOOKUP(A27,'Small IP'!$A$8:$I$33,9,FALSE)</f>
        <v>0</v>
      </c>
      <c r="D27" s="123">
        <f>VLOOKUP(A27,'Mid IP'!$A$10:$F$35,6,FALSE)</f>
        <v>11400000</v>
      </c>
      <c r="E27" s="123">
        <f>VLOOKUP(A27,'Large IP'!$B$10:$G$35,6,FALSE)</f>
        <v>0</v>
      </c>
      <c r="F27" s="123">
        <f>VLOOKUP(A27,'General OP'!$A$9:$D$35,4,FALSE)</f>
        <v>3985109</v>
      </c>
      <c r="G27" s="123">
        <f>VLOOKUP(A27,'Mid OP'!$A$10:$F$35,6,FALSE)</f>
        <v>11400000</v>
      </c>
      <c r="H27" s="123">
        <f t="shared" si="1"/>
        <v>34081275</v>
      </c>
      <c r="I27" s="32">
        <f t="shared" si="2"/>
        <v>8520319</v>
      </c>
      <c r="K27" s="32">
        <f>ROUND(VLOOKUP(A27,'2020 1st qtr interim pmt'!$A$6:$B$31,2,FALSE),0)</f>
        <v>6362875</v>
      </c>
      <c r="L27" s="32">
        <f t="shared" si="3"/>
        <v>8520319</v>
      </c>
      <c r="M27" s="142">
        <f t="shared" si="4"/>
        <v>8520319</v>
      </c>
      <c r="N27" s="32">
        <f t="shared" si="0"/>
        <v>8520319</v>
      </c>
      <c r="O27" s="32">
        <f t="shared" si="5"/>
        <v>8520318</v>
      </c>
    </row>
    <row r="28" spans="1:15">
      <c r="A28" s="19" t="s">
        <v>64</v>
      </c>
      <c r="B28" s="123">
        <f>VLOOKUP(A28,'General IP'!$B$10:$G$35,6,FALSE)</f>
        <v>10453820</v>
      </c>
      <c r="C28" s="97">
        <f>VLOOKUP(A28,'Small IP'!$A$8:$I$33,9,FALSE)</f>
        <v>0</v>
      </c>
      <c r="D28" s="123">
        <f>VLOOKUP(A28,'Mid IP'!$A$10:$F$35,6,FALSE)</f>
        <v>0</v>
      </c>
      <c r="E28" s="123">
        <f>VLOOKUP(A28,'Large IP'!$B$10:$G$35,6,FALSE)</f>
        <v>0</v>
      </c>
      <c r="F28" s="123">
        <f>VLOOKUP(A28,'General OP'!$A$9:$D$35,4,FALSE)</f>
        <v>3028014</v>
      </c>
      <c r="G28" s="123">
        <f>VLOOKUP(A28,'Mid OP'!$A$10:$F$35,6,FALSE)</f>
        <v>0</v>
      </c>
      <c r="H28" s="123">
        <f t="shared" si="1"/>
        <v>13481834</v>
      </c>
      <c r="I28" s="32">
        <f t="shared" si="2"/>
        <v>3370459</v>
      </c>
      <c r="K28" s="32">
        <f>ROUND(VLOOKUP(A28,'2020 1st qtr interim pmt'!$A$6:$B$31,2,FALSE),0)</f>
        <v>3530929</v>
      </c>
      <c r="L28" s="32">
        <f t="shared" si="3"/>
        <v>3370459</v>
      </c>
      <c r="M28" s="142">
        <f t="shared" si="4"/>
        <v>3370459</v>
      </c>
      <c r="N28" s="32">
        <f t="shared" si="0"/>
        <v>3370459</v>
      </c>
      <c r="O28" s="32">
        <f t="shared" si="5"/>
        <v>3370457</v>
      </c>
    </row>
    <row r="29" spans="1:15">
      <c r="A29" s="19" t="s">
        <v>66</v>
      </c>
      <c r="B29" s="123">
        <f>VLOOKUP(A29,'General IP'!$B$10:$G$35,6,FALSE)</f>
        <v>1118163</v>
      </c>
      <c r="C29" s="97">
        <f>VLOOKUP(A29,'Small IP'!$A$8:$I$33,9,FALSE)</f>
        <v>1564898</v>
      </c>
      <c r="D29" s="123">
        <f>VLOOKUP(A29,'Mid IP'!$A$10:$F$35,6,FALSE)</f>
        <v>0</v>
      </c>
      <c r="E29" s="123">
        <f>VLOOKUP(A29,'Large IP'!$B$10:$G$35,6,FALSE)</f>
        <v>0</v>
      </c>
      <c r="F29" s="123">
        <f>VLOOKUP(A29,'General OP'!$A$9:$D$35,4,FALSE)</f>
        <v>1285278</v>
      </c>
      <c r="G29" s="123">
        <f>VLOOKUP(A29,'Mid OP'!$A$10:$F$35,6,FALSE)</f>
        <v>0</v>
      </c>
      <c r="H29" s="123">
        <f t="shared" si="1"/>
        <v>3968339</v>
      </c>
      <c r="I29" s="32">
        <f t="shared" si="2"/>
        <v>992085</v>
      </c>
      <c r="K29" s="32">
        <f>ROUND(VLOOKUP(A29,'2020 1st qtr interim pmt'!$A$6:$B$31,2,FALSE),0)</f>
        <v>521235</v>
      </c>
      <c r="L29" s="32">
        <f t="shared" si="3"/>
        <v>992085</v>
      </c>
      <c r="M29" s="142">
        <f t="shared" si="4"/>
        <v>992085</v>
      </c>
      <c r="N29" s="32">
        <f t="shared" si="0"/>
        <v>992085</v>
      </c>
      <c r="O29" s="32">
        <f t="shared" si="5"/>
        <v>992084</v>
      </c>
    </row>
    <row r="30" spans="1:15">
      <c r="A30" s="19" t="s">
        <v>68</v>
      </c>
      <c r="B30" s="123">
        <f>VLOOKUP(A30,'General IP'!$B$10:$G$35,6,FALSE)</f>
        <v>80872852</v>
      </c>
      <c r="C30" s="97">
        <f>VLOOKUP(A30,'Small IP'!$A$8:$I$33,9,FALSE)</f>
        <v>0</v>
      </c>
      <c r="D30" s="123">
        <f>VLOOKUP(A30,'Mid IP'!$A$10:$F$35,6,FALSE)</f>
        <v>0</v>
      </c>
      <c r="E30" s="123">
        <f>VLOOKUP(A30,'Large IP'!$B$10:$G$35,6,FALSE)</f>
        <v>30976231</v>
      </c>
      <c r="F30" s="123">
        <f>VLOOKUP(A30,'General OP'!$A$9:$D$35,4,FALSE)</f>
        <v>16364751</v>
      </c>
      <c r="G30" s="123">
        <f>VLOOKUP(A30,'Mid OP'!$A$10:$F$35,6,FALSE)</f>
        <v>0</v>
      </c>
      <c r="H30" s="123">
        <f t="shared" si="1"/>
        <v>128213834</v>
      </c>
      <c r="I30" s="32">
        <f t="shared" si="2"/>
        <v>32053459</v>
      </c>
      <c r="K30" s="32">
        <f>ROUND(VLOOKUP(A30,'2020 1st qtr interim pmt'!$A$6:$B$31,2,FALSE),0)</f>
        <v>17643063</v>
      </c>
      <c r="L30" s="32">
        <f t="shared" si="3"/>
        <v>32053459</v>
      </c>
      <c r="M30" s="142">
        <f t="shared" si="4"/>
        <v>32053459</v>
      </c>
      <c r="N30" s="32">
        <f t="shared" si="0"/>
        <v>32053459</v>
      </c>
      <c r="O30" s="32">
        <f t="shared" si="5"/>
        <v>32053457</v>
      </c>
    </row>
    <row r="31" spans="1:15">
      <c r="A31" s="25" t="s">
        <v>70</v>
      </c>
      <c r="B31" s="34">
        <f t="shared" ref="B31:F31" si="6">SUM(B5:B30)</f>
        <v>305000000</v>
      </c>
      <c r="C31" s="34">
        <f t="shared" si="6"/>
        <v>25000000</v>
      </c>
      <c r="D31" s="34">
        <f t="shared" si="6"/>
        <v>36650000</v>
      </c>
      <c r="E31" s="34">
        <f t="shared" si="6"/>
        <v>45000000</v>
      </c>
      <c r="F31" s="34">
        <f t="shared" si="6"/>
        <v>100000000</v>
      </c>
      <c r="G31" s="34">
        <f>SUM(G5:G30)</f>
        <v>36650000</v>
      </c>
      <c r="H31" s="126">
        <f t="shared" si="1"/>
        <v>548300000</v>
      </c>
      <c r="I31" s="129">
        <f>SUM(I5:I30)</f>
        <v>137075006</v>
      </c>
      <c r="K31" s="129">
        <f t="shared" ref="K31:N31" si="7">SUM(K5:K30)</f>
        <v>113332776</v>
      </c>
      <c r="L31" s="129">
        <f>SUM(L5:L30)</f>
        <v>137075006</v>
      </c>
      <c r="M31" s="143">
        <f t="shared" si="7"/>
        <v>137075006</v>
      </c>
      <c r="N31" s="129">
        <f t="shared" si="7"/>
        <v>137075006</v>
      </c>
      <c r="O31" s="129">
        <f t="shared" si="5"/>
        <v>137074982</v>
      </c>
    </row>
    <row r="32" spans="1:15">
      <c r="A32" s="115"/>
      <c r="I32" s="120"/>
      <c r="M32" s="120"/>
    </row>
    <row r="33" spans="1:15">
      <c r="A33" s="115"/>
      <c r="O33" s="120">
        <f>SUM(L31:O31)</f>
        <v>548300000</v>
      </c>
    </row>
    <row r="34" spans="1:15">
      <c r="A34" s="119" t="s">
        <v>96</v>
      </c>
    </row>
    <row r="35" spans="1:15" ht="45">
      <c r="A35" s="128" t="s">
        <v>93</v>
      </c>
      <c r="B35" s="120">
        <f>B5+B12+B13+B14+B19+B26+B29</f>
        <v>82630361</v>
      </c>
      <c r="C35" s="120">
        <f t="shared" ref="C35:H35" si="8">C5+C12+C13+C14+C19+C26+C29</f>
        <v>8638872</v>
      </c>
      <c r="D35" s="120">
        <f t="shared" si="8"/>
        <v>0</v>
      </c>
      <c r="E35" s="120">
        <f t="shared" si="8"/>
        <v>14023769</v>
      </c>
      <c r="F35" s="120">
        <f t="shared" si="8"/>
        <v>30759839</v>
      </c>
      <c r="G35" s="120">
        <f t="shared" ref="G35" si="9">G5+G12+G13+G14+G19+G26+G29</f>
        <v>0</v>
      </c>
      <c r="H35" s="120">
        <f t="shared" si="8"/>
        <v>136052841</v>
      </c>
    </row>
    <row r="36" spans="1:15" ht="35.25" customHeight="1">
      <c r="A36" s="128" t="s">
        <v>95</v>
      </c>
      <c r="B36" s="120">
        <f>B6+B10+B16+B20+B30</f>
        <v>117783002</v>
      </c>
      <c r="C36" s="120">
        <f t="shared" ref="C36:H36" si="10">C6+C10+C16+C20+C30</f>
        <v>955000</v>
      </c>
      <c r="D36" s="120">
        <f t="shared" si="10"/>
        <v>2750000</v>
      </c>
      <c r="E36" s="120">
        <f t="shared" si="10"/>
        <v>30976231</v>
      </c>
      <c r="F36" s="120">
        <f t="shared" si="10"/>
        <v>29106984</v>
      </c>
      <c r="G36" s="120">
        <f t="shared" ref="G36" si="11">G6+G10+G16+G20+G30</f>
        <v>2750000</v>
      </c>
      <c r="H36" s="120">
        <f t="shared" si="10"/>
        <v>184321217</v>
      </c>
    </row>
    <row r="37" spans="1:15">
      <c r="A37" s="128" t="s">
        <v>90</v>
      </c>
      <c r="B37" s="120">
        <f>B15+B24+B25</f>
        <v>40467542</v>
      </c>
      <c r="C37" s="120">
        <f t="shared" ref="C37:H37" si="12">C15+C24+C25</f>
        <v>2667785</v>
      </c>
      <c r="D37" s="120">
        <f t="shared" si="12"/>
        <v>0</v>
      </c>
      <c r="E37" s="120">
        <f t="shared" si="12"/>
        <v>0</v>
      </c>
      <c r="F37" s="120">
        <f t="shared" si="12"/>
        <v>11571432</v>
      </c>
      <c r="G37" s="120">
        <f t="shared" ref="G37" si="13">G15+G24+G25</f>
        <v>0</v>
      </c>
      <c r="H37" s="120">
        <f t="shared" si="12"/>
        <v>54706759</v>
      </c>
    </row>
    <row r="38" spans="1:15">
      <c r="A38" s="128" t="s">
        <v>91</v>
      </c>
      <c r="B38" s="120">
        <f>B17+B22+B28</f>
        <v>17607590</v>
      </c>
      <c r="C38" s="120">
        <f t="shared" ref="C38:H38" si="14">C17+C22+C28</f>
        <v>1379650</v>
      </c>
      <c r="D38" s="120">
        <f t="shared" si="14"/>
        <v>0</v>
      </c>
      <c r="E38" s="120">
        <f t="shared" si="14"/>
        <v>0</v>
      </c>
      <c r="F38" s="120">
        <f t="shared" si="14"/>
        <v>6939914</v>
      </c>
      <c r="G38" s="120">
        <f t="shared" ref="G38" si="15">G17+G22+G28</f>
        <v>0</v>
      </c>
      <c r="H38" s="120">
        <f t="shared" si="14"/>
        <v>25927154</v>
      </c>
    </row>
    <row r="39" spans="1:15" ht="19.5" customHeight="1">
      <c r="A39" s="128" t="s">
        <v>94</v>
      </c>
      <c r="B39" s="120">
        <f>B8+B21+B23</f>
        <v>21114517</v>
      </c>
      <c r="C39" s="120">
        <f t="shared" ref="C39:H39" si="16">C8+C21+C23</f>
        <v>747732</v>
      </c>
      <c r="D39" s="120">
        <f t="shared" si="16"/>
        <v>16500000</v>
      </c>
      <c r="E39" s="120">
        <f t="shared" si="16"/>
        <v>0</v>
      </c>
      <c r="F39" s="120">
        <f t="shared" si="16"/>
        <v>8080057</v>
      </c>
      <c r="G39" s="120">
        <f t="shared" ref="G39" si="17">G8+G21+G23</f>
        <v>16500000</v>
      </c>
      <c r="H39" s="120">
        <f t="shared" si="16"/>
        <v>62942306</v>
      </c>
    </row>
    <row r="40" spans="1:15">
      <c r="A40" s="128" t="s">
        <v>92</v>
      </c>
      <c r="B40" s="29">
        <f>B7+B9+B11+B18+B27</f>
        <v>25396988</v>
      </c>
      <c r="C40" s="29">
        <f t="shared" ref="C40:H40" si="18">C7+C9+C11+C18+C27</f>
        <v>10610961</v>
      </c>
      <c r="D40" s="29">
        <f t="shared" si="18"/>
        <v>17400000</v>
      </c>
      <c r="E40" s="29">
        <f t="shared" si="18"/>
        <v>0</v>
      </c>
      <c r="F40" s="29">
        <f t="shared" si="18"/>
        <v>13541774</v>
      </c>
      <c r="G40" s="29">
        <f t="shared" ref="G40" si="19">G7+G9+G11+G18+G27</f>
        <v>17400000</v>
      </c>
      <c r="H40" s="29">
        <f t="shared" si="18"/>
        <v>84349723</v>
      </c>
    </row>
    <row r="41" spans="1:15">
      <c r="B41" s="120">
        <f>SUM(B35:B40)</f>
        <v>305000000</v>
      </c>
      <c r="C41" s="120">
        <f t="shared" ref="C41:H41" si="20">SUM(C35:C40)</f>
        <v>25000000</v>
      </c>
      <c r="D41" s="120">
        <f t="shared" si="20"/>
        <v>36650000</v>
      </c>
      <c r="E41" s="120">
        <f t="shared" si="20"/>
        <v>45000000</v>
      </c>
      <c r="F41" s="120">
        <f t="shared" si="20"/>
        <v>100000000</v>
      </c>
      <c r="G41" s="120">
        <f>SUM(G35:G40)</f>
        <v>36650000</v>
      </c>
      <c r="H41" s="120">
        <f t="shared" si="20"/>
        <v>548300000</v>
      </c>
    </row>
    <row r="43" spans="1:15">
      <c r="A43" s="124" t="s">
        <v>120</v>
      </c>
      <c r="B43" s="120"/>
      <c r="C43" s="120"/>
      <c r="D43" s="120"/>
      <c r="E43" s="120"/>
      <c r="F43" s="120"/>
      <c r="G43" s="120"/>
      <c r="H43" s="120"/>
    </row>
    <row r="44" spans="1:15">
      <c r="A44" s="144" t="s">
        <v>121</v>
      </c>
      <c r="B44" s="145"/>
      <c r="C44" s="145"/>
      <c r="D44" s="145"/>
      <c r="E44" s="145"/>
      <c r="F44" s="145"/>
      <c r="G44" s="145"/>
      <c r="H44" s="145"/>
    </row>
    <row r="45" spans="1:15" ht="13.5" customHeight="1">
      <c r="A45" s="145"/>
      <c r="B45" s="145"/>
      <c r="C45" s="145"/>
      <c r="D45" s="145"/>
      <c r="E45" s="145"/>
      <c r="F45" s="145"/>
      <c r="G45" s="145"/>
      <c r="H45" s="145"/>
    </row>
    <row r="46" spans="1:15" ht="3" customHeight="1">
      <c r="A46" s="145"/>
      <c r="B46" s="145"/>
      <c r="C46" s="145"/>
      <c r="D46" s="145"/>
      <c r="E46" s="145"/>
      <c r="F46" s="145"/>
      <c r="G46" s="145"/>
      <c r="H46" s="145"/>
    </row>
    <row r="47" spans="1:15">
      <c r="A47" s="118" t="s">
        <v>122</v>
      </c>
    </row>
    <row r="48" spans="1:15">
      <c r="A48" s="146" t="s">
        <v>123</v>
      </c>
      <c r="B48" s="146"/>
      <c r="C48" s="146"/>
      <c r="D48" s="146"/>
      <c r="E48" s="146"/>
      <c r="F48" s="146"/>
      <c r="G48" s="146"/>
      <c r="H48" s="146"/>
    </row>
    <row r="49" spans="1:8" ht="33.75" customHeight="1">
      <c r="A49" s="145"/>
      <c r="B49" s="145"/>
      <c r="C49" s="145"/>
      <c r="D49" s="145"/>
      <c r="E49" s="145"/>
      <c r="F49" s="145"/>
      <c r="G49" s="145"/>
      <c r="H49" s="145"/>
    </row>
  </sheetData>
  <mergeCells count="2">
    <mergeCell ref="A44:H46"/>
    <mergeCell ref="A48:H49"/>
  </mergeCells>
  <pageMargins left="0.25" right="0.2" top="0.5" bottom="0.5" header="0.3" footer="0.3"/>
  <pageSetup scale="65" orientation="landscape" r:id="rId1"/>
  <headerFooter>
    <oddFooter>&amp;L&amp;Z&amp;F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B1" zoomScaleNormal="100" workbookViewId="0">
      <selection activeCell="B10" sqref="B10:G10"/>
    </sheetView>
  </sheetViews>
  <sheetFormatPr defaultColWidth="9.140625" defaultRowHeight="12.75"/>
  <cols>
    <col min="1" max="1" width="1.85546875" style="38" hidden="1" customWidth="1"/>
    <col min="2" max="2" width="16.7109375" style="38" customWidth="1"/>
    <col min="3" max="3" width="12.42578125" style="38" customWidth="1"/>
    <col min="4" max="4" width="13.28515625" style="38" customWidth="1"/>
    <col min="5" max="5" width="13.85546875" style="38" customWidth="1"/>
    <col min="6" max="6" width="10.85546875" style="38" customWidth="1"/>
    <col min="7" max="7" width="13.28515625" style="38" customWidth="1"/>
    <col min="8" max="9" width="12.5703125" style="38" bestFit="1" customWidth="1"/>
    <col min="10" max="16384" width="9.140625" style="38"/>
  </cols>
  <sheetData>
    <row r="1" spans="1:9" ht="6" customHeight="1">
      <c r="C1" s="39"/>
      <c r="E1" s="40"/>
      <c r="F1" s="40"/>
      <c r="G1" s="40"/>
    </row>
    <row r="2" spans="1:9" ht="15" customHeight="1">
      <c r="B2" s="39" t="s">
        <v>146</v>
      </c>
      <c r="C2" s="39"/>
      <c r="E2" s="40"/>
      <c r="F2" s="40"/>
      <c r="G2" s="40"/>
    </row>
    <row r="3" spans="1:9" s="42" customFormat="1" ht="5.25" customHeight="1">
      <c r="A3" s="42">
        <v>1</v>
      </c>
      <c r="B3" s="43"/>
      <c r="D3" s="43"/>
      <c r="E3" s="44"/>
      <c r="F3" s="44"/>
      <c r="G3" s="44"/>
    </row>
    <row r="4" spans="1:9" s="42" customFormat="1" ht="15">
      <c r="B4" s="45"/>
      <c r="C4" s="46"/>
      <c r="D4" s="7" t="s">
        <v>6</v>
      </c>
      <c r="E4" s="47" t="s">
        <v>6</v>
      </c>
      <c r="F4" s="47" t="s">
        <v>6</v>
      </c>
      <c r="G4" s="96" t="s">
        <v>1</v>
      </c>
    </row>
    <row r="5" spans="1:9" s="42" customFormat="1" ht="15">
      <c r="B5" s="48"/>
      <c r="C5" s="49"/>
      <c r="D5" s="11" t="s">
        <v>9</v>
      </c>
      <c r="E5" s="11" t="s">
        <v>9</v>
      </c>
      <c r="F5" s="11" t="s">
        <v>9</v>
      </c>
      <c r="G5" s="11" t="s">
        <v>147</v>
      </c>
      <c r="H5" s="1"/>
      <c r="I5" s="1"/>
    </row>
    <row r="6" spans="1:9" s="42" customFormat="1" ht="15">
      <c r="B6" s="51" t="s">
        <v>7</v>
      </c>
      <c r="C6" s="10" t="s">
        <v>8</v>
      </c>
      <c r="D6" s="11" t="s">
        <v>11</v>
      </c>
      <c r="E6" s="11" t="s">
        <v>11</v>
      </c>
      <c r="F6" s="52" t="s">
        <v>11</v>
      </c>
      <c r="G6" s="84">
        <v>305000000</v>
      </c>
    </row>
    <row r="7" spans="1:9" s="42" customFormat="1">
      <c r="B7" s="50"/>
      <c r="C7" s="11"/>
      <c r="D7" s="11" t="s">
        <v>81</v>
      </c>
      <c r="E7" s="11" t="s">
        <v>10</v>
      </c>
      <c r="F7" s="11" t="s">
        <v>10</v>
      </c>
      <c r="G7" s="11" t="s">
        <v>13</v>
      </c>
    </row>
    <row r="8" spans="1:9" s="42" customFormat="1">
      <c r="B8" s="50"/>
      <c r="C8" s="11"/>
      <c r="D8" s="11" t="s">
        <v>80</v>
      </c>
      <c r="E8" s="11" t="s">
        <v>12</v>
      </c>
      <c r="F8" s="11" t="s">
        <v>80</v>
      </c>
      <c r="G8" s="11" t="s">
        <v>14</v>
      </c>
    </row>
    <row r="9" spans="1:9" s="42" customFormat="1">
      <c r="B9" s="50"/>
      <c r="C9" s="11"/>
      <c r="D9" s="49"/>
      <c r="E9" s="53">
        <v>160000000</v>
      </c>
      <c r="F9" s="52" t="s">
        <v>15</v>
      </c>
      <c r="G9" s="55"/>
    </row>
    <row r="10" spans="1:9" s="42" customFormat="1" ht="17.25">
      <c r="A10" s="56" t="s">
        <v>17</v>
      </c>
      <c r="B10" s="57" t="s">
        <v>17</v>
      </c>
      <c r="C10" s="58" t="s">
        <v>18</v>
      </c>
      <c r="D10" s="59">
        <v>13845930</v>
      </c>
      <c r="E10" s="60">
        <f t="shared" ref="E10:E35" si="0">IF(D10&gt;E$9,E$9,ROUND(D10,0))</f>
        <v>13845930</v>
      </c>
      <c r="F10" s="61">
        <f>E10/E$36</f>
        <v>2.2945898273335128E-2</v>
      </c>
      <c r="G10" s="98">
        <f t="shared" ref="G10:G34" si="1">ROUND(G$6*$F10,0)</f>
        <v>6998499</v>
      </c>
    </row>
    <row r="11" spans="1:9" s="42" customFormat="1" ht="17.25">
      <c r="A11" s="56" t="s">
        <v>19</v>
      </c>
      <c r="B11" s="62" t="s">
        <v>19</v>
      </c>
      <c r="C11" s="63" t="s">
        <v>20</v>
      </c>
      <c r="D11" s="64">
        <v>51084429</v>
      </c>
      <c r="E11" s="65">
        <f t="shared" si="0"/>
        <v>51084429</v>
      </c>
      <c r="F11" s="66">
        <f t="shared" ref="F11:F35" si="2">E11/E$36</f>
        <v>8.4658676678663766E-2</v>
      </c>
      <c r="G11" s="99">
        <f t="shared" si="1"/>
        <v>25820896</v>
      </c>
    </row>
    <row r="12" spans="1:9" s="42" customFormat="1" ht="17.25">
      <c r="A12" s="56" t="s">
        <v>21</v>
      </c>
      <c r="B12" s="62" t="s">
        <v>21</v>
      </c>
      <c r="C12" s="63" t="s">
        <v>22</v>
      </c>
      <c r="D12" s="64">
        <v>8522358</v>
      </c>
      <c r="E12" s="65">
        <f t="shared" si="0"/>
        <v>8522358</v>
      </c>
      <c r="F12" s="66">
        <f t="shared" si="2"/>
        <v>1.4123512087446912E-2</v>
      </c>
      <c r="G12" s="99">
        <f t="shared" si="1"/>
        <v>4307671</v>
      </c>
    </row>
    <row r="13" spans="1:9" s="42" customFormat="1" ht="17.25">
      <c r="A13" s="67" t="s">
        <v>83</v>
      </c>
      <c r="B13" s="62" t="s">
        <v>23</v>
      </c>
      <c r="C13" s="63" t="s">
        <v>24</v>
      </c>
      <c r="D13" s="64">
        <v>20705832</v>
      </c>
      <c r="E13" s="65">
        <f t="shared" si="0"/>
        <v>20705832</v>
      </c>
      <c r="F13" s="66">
        <f t="shared" si="2"/>
        <v>3.4314337479444665E-2</v>
      </c>
      <c r="G13" s="99">
        <f t="shared" si="1"/>
        <v>10465873</v>
      </c>
    </row>
    <row r="14" spans="1:9" s="42" customFormat="1" ht="17.25">
      <c r="A14" s="56" t="s">
        <v>26</v>
      </c>
      <c r="B14" s="62" t="s">
        <v>26</v>
      </c>
      <c r="C14" s="63" t="s">
        <v>27</v>
      </c>
      <c r="D14" s="64">
        <v>5891931</v>
      </c>
      <c r="E14" s="65">
        <f t="shared" si="0"/>
        <v>5891931</v>
      </c>
      <c r="F14" s="66">
        <f t="shared" si="2"/>
        <v>9.7642880875108955E-3</v>
      </c>
      <c r="G14" s="99">
        <f t="shared" si="1"/>
        <v>2978108</v>
      </c>
    </row>
    <row r="15" spans="1:9" s="42" customFormat="1" ht="17.25">
      <c r="A15" s="56" t="s">
        <v>28</v>
      </c>
      <c r="B15" s="62" t="s">
        <v>28</v>
      </c>
      <c r="C15" s="63" t="s">
        <v>29</v>
      </c>
      <c r="D15" s="64">
        <v>3143611</v>
      </c>
      <c r="E15" s="65">
        <f t="shared" si="0"/>
        <v>3143611</v>
      </c>
      <c r="F15" s="66">
        <f t="shared" si="2"/>
        <v>5.2096882056270194E-3</v>
      </c>
      <c r="G15" s="99">
        <f t="shared" si="1"/>
        <v>1588955</v>
      </c>
    </row>
    <row r="16" spans="1:9" s="42" customFormat="1" ht="17.25">
      <c r="A16" s="56" t="s">
        <v>30</v>
      </c>
      <c r="B16" s="62" t="s">
        <v>30</v>
      </c>
      <c r="C16" s="63" t="s">
        <v>31</v>
      </c>
      <c r="D16" s="64">
        <v>8415128</v>
      </c>
      <c r="E16" s="65">
        <f t="shared" si="0"/>
        <v>8415128</v>
      </c>
      <c r="F16" s="66">
        <f t="shared" si="2"/>
        <v>1.3945807254918528E-2</v>
      </c>
      <c r="G16" s="99">
        <f t="shared" si="1"/>
        <v>4253471</v>
      </c>
    </row>
    <row r="17" spans="1:7" s="42" customFormat="1" ht="17.25">
      <c r="A17" s="56" t="s">
        <v>32</v>
      </c>
      <c r="B17" s="62" t="s">
        <v>32</v>
      </c>
      <c r="C17" s="63" t="s">
        <v>33</v>
      </c>
      <c r="D17" s="64">
        <v>74281238</v>
      </c>
      <c r="E17" s="65">
        <f t="shared" si="0"/>
        <v>74281238</v>
      </c>
      <c r="F17" s="66">
        <f t="shared" si="2"/>
        <v>0.12310113735699919</v>
      </c>
      <c r="G17" s="99">
        <f t="shared" si="1"/>
        <v>37545847</v>
      </c>
    </row>
    <row r="18" spans="1:7" s="42" customFormat="1" ht="17.25">
      <c r="A18" s="56" t="s">
        <v>84</v>
      </c>
      <c r="B18" s="68" t="s">
        <v>34</v>
      </c>
      <c r="C18" s="69" t="s">
        <v>35</v>
      </c>
      <c r="D18" s="64">
        <v>20767567</v>
      </c>
      <c r="E18" s="65">
        <f t="shared" si="0"/>
        <v>20767567</v>
      </c>
      <c r="F18" s="66">
        <f t="shared" si="2"/>
        <v>3.4416646607824224E-2</v>
      </c>
      <c r="G18" s="99">
        <f t="shared" si="1"/>
        <v>10497077</v>
      </c>
    </row>
    <row r="19" spans="1:7" s="42" customFormat="1" ht="17.25">
      <c r="A19" s="56" t="s">
        <v>36</v>
      </c>
      <c r="B19" s="62" t="s">
        <v>36</v>
      </c>
      <c r="C19" s="63" t="s">
        <v>37</v>
      </c>
      <c r="D19" s="64">
        <v>5495647</v>
      </c>
      <c r="E19" s="65">
        <f t="shared" si="0"/>
        <v>5495647</v>
      </c>
      <c r="F19" s="66">
        <f t="shared" si="2"/>
        <v>9.1075541338255638E-3</v>
      </c>
      <c r="G19" s="99">
        <f t="shared" si="1"/>
        <v>2777804</v>
      </c>
    </row>
    <row r="20" spans="1:7" s="42" customFormat="1" ht="17.25">
      <c r="A20" s="56" t="s">
        <v>38</v>
      </c>
      <c r="B20" s="62" t="s">
        <v>38</v>
      </c>
      <c r="C20" s="63" t="s">
        <v>39</v>
      </c>
      <c r="D20" s="64">
        <v>3771267</v>
      </c>
      <c r="E20" s="65">
        <f t="shared" si="0"/>
        <v>3771267</v>
      </c>
      <c r="F20" s="66">
        <f t="shared" si="2"/>
        <v>6.2498589075335315E-3</v>
      </c>
      <c r="G20" s="99">
        <f t="shared" si="1"/>
        <v>1906207</v>
      </c>
    </row>
    <row r="21" spans="1:7" s="42" customFormat="1" ht="17.25">
      <c r="A21" s="56" t="s">
        <v>85</v>
      </c>
      <c r="B21" s="68" t="s">
        <v>40</v>
      </c>
      <c r="C21" s="69" t="s">
        <v>41</v>
      </c>
      <c r="D21" s="64">
        <v>17445509</v>
      </c>
      <c r="E21" s="65">
        <f t="shared" si="0"/>
        <v>17445509</v>
      </c>
      <c r="F21" s="66">
        <f t="shared" si="2"/>
        <v>2.8911230581156518E-2</v>
      </c>
      <c r="G21" s="99">
        <f t="shared" si="1"/>
        <v>8817925</v>
      </c>
    </row>
    <row r="22" spans="1:7" s="42" customFormat="1" ht="17.25">
      <c r="A22" s="56" t="s">
        <v>42</v>
      </c>
      <c r="B22" s="62" t="s">
        <v>42</v>
      </c>
      <c r="C22" s="63" t="s">
        <v>43</v>
      </c>
      <c r="D22" s="64">
        <v>12202801</v>
      </c>
      <c r="E22" s="65">
        <f t="shared" si="0"/>
        <v>12202801</v>
      </c>
      <c r="F22" s="66">
        <f t="shared" si="2"/>
        <v>2.0222854686955099E-2</v>
      </c>
      <c r="G22" s="99">
        <f t="shared" si="1"/>
        <v>6167971</v>
      </c>
    </row>
    <row r="23" spans="1:7" s="42" customFormat="1" ht="17.25">
      <c r="A23" s="56" t="s">
        <v>46</v>
      </c>
      <c r="B23" s="62" t="s">
        <v>46</v>
      </c>
      <c r="C23" s="63" t="s">
        <v>47</v>
      </c>
      <c r="D23" s="64">
        <v>9560997</v>
      </c>
      <c r="E23" s="65">
        <f t="shared" si="0"/>
        <v>9560997</v>
      </c>
      <c r="F23" s="66">
        <f t="shared" si="2"/>
        <v>1.5844776374982567E-2</v>
      </c>
      <c r="G23" s="99">
        <f t="shared" si="1"/>
        <v>4832657</v>
      </c>
    </row>
    <row r="24" spans="1:7" s="42" customFormat="1" ht="17.25">
      <c r="A24" s="56" t="s">
        <v>44</v>
      </c>
      <c r="B24" s="62" t="s">
        <v>44</v>
      </c>
      <c r="C24" s="63" t="s">
        <v>45</v>
      </c>
      <c r="D24" s="64">
        <v>12981508</v>
      </c>
      <c r="E24" s="65">
        <f t="shared" si="0"/>
        <v>12981508</v>
      </c>
      <c r="F24" s="66">
        <f t="shared" si="2"/>
        <v>2.1513351721587946E-2</v>
      </c>
      <c r="G24" s="99">
        <f t="shared" si="1"/>
        <v>6561572</v>
      </c>
    </row>
    <row r="25" spans="1:7" s="42" customFormat="1" ht="17.25">
      <c r="A25" s="56" t="s">
        <v>48</v>
      </c>
      <c r="B25" s="62" t="s">
        <v>48</v>
      </c>
      <c r="C25" s="63" t="s">
        <v>49</v>
      </c>
      <c r="D25" s="64">
        <v>1350019</v>
      </c>
      <c r="E25" s="65">
        <f t="shared" si="0"/>
        <v>1350019</v>
      </c>
      <c r="F25" s="66">
        <f t="shared" si="2"/>
        <v>2.2372927380876271E-3</v>
      </c>
      <c r="G25" s="99">
        <f t="shared" si="1"/>
        <v>682374</v>
      </c>
    </row>
    <row r="26" spans="1:7" s="42" customFormat="1" ht="17.25">
      <c r="A26" s="56" t="s">
        <v>50</v>
      </c>
      <c r="B26" s="62" t="s">
        <v>50</v>
      </c>
      <c r="C26" s="63" t="s">
        <v>51</v>
      </c>
      <c r="D26" s="64">
        <v>20010413</v>
      </c>
      <c r="E26" s="65">
        <f t="shared" si="0"/>
        <v>20010413</v>
      </c>
      <c r="F26" s="66">
        <f t="shared" si="2"/>
        <v>3.316186786336655E-2</v>
      </c>
      <c r="G26" s="99">
        <f t="shared" si="1"/>
        <v>10114370</v>
      </c>
    </row>
    <row r="27" spans="1:7" s="42" customFormat="1" ht="17.25">
      <c r="A27" s="56" t="s">
        <v>52</v>
      </c>
      <c r="B27" s="62" t="s">
        <v>52</v>
      </c>
      <c r="C27" s="63" t="s">
        <v>53</v>
      </c>
      <c r="D27" s="64">
        <v>1950318</v>
      </c>
      <c r="E27" s="65">
        <f t="shared" si="0"/>
        <v>1950318</v>
      </c>
      <c r="F27" s="66">
        <f t="shared" si="2"/>
        <v>3.2321265836714776E-3</v>
      </c>
      <c r="G27" s="99">
        <f t="shared" si="1"/>
        <v>985799</v>
      </c>
    </row>
    <row r="28" spans="1:7" s="42" customFormat="1" ht="17.25">
      <c r="A28" s="56" t="s">
        <v>56</v>
      </c>
      <c r="B28" s="62" t="s">
        <v>56</v>
      </c>
      <c r="C28" s="63" t="s">
        <v>57</v>
      </c>
      <c r="D28" s="64">
        <v>54544225</v>
      </c>
      <c r="E28" s="65">
        <f t="shared" si="0"/>
        <v>54544225</v>
      </c>
      <c r="F28" s="66">
        <f t="shared" si="2"/>
        <v>9.0392356327664722E-2</v>
      </c>
      <c r="G28" s="99">
        <f t="shared" si="1"/>
        <v>27569669</v>
      </c>
    </row>
    <row r="29" spans="1:7" s="42" customFormat="1" ht="17.25">
      <c r="A29" s="56" t="s">
        <v>58</v>
      </c>
      <c r="B29" s="62" t="s">
        <v>58</v>
      </c>
      <c r="C29" s="63" t="s">
        <v>59</v>
      </c>
      <c r="D29" s="64">
        <v>21746068</v>
      </c>
      <c r="E29" s="65">
        <f t="shared" si="0"/>
        <v>21746068</v>
      </c>
      <c r="F29" s="66">
        <f t="shared" si="2"/>
        <v>3.6038248364178377E-2</v>
      </c>
      <c r="G29" s="99">
        <f t="shared" si="1"/>
        <v>10991666</v>
      </c>
    </row>
    <row r="30" spans="1:7" s="42" customFormat="1" ht="17.25">
      <c r="A30" s="56" t="s">
        <v>60</v>
      </c>
      <c r="B30" s="62" t="s">
        <v>60</v>
      </c>
      <c r="C30" s="63" t="s">
        <v>61</v>
      </c>
      <c r="D30" s="64">
        <v>37313514</v>
      </c>
      <c r="E30" s="65">
        <f t="shared" si="0"/>
        <v>37313514</v>
      </c>
      <c r="F30" s="66">
        <f t="shared" si="2"/>
        <v>6.1837095555492924E-2</v>
      </c>
      <c r="G30" s="99">
        <f t="shared" si="1"/>
        <v>18860314</v>
      </c>
    </row>
    <row r="31" spans="1:7" s="42" customFormat="1" ht="17.25">
      <c r="A31" s="56" t="s">
        <v>54</v>
      </c>
      <c r="B31" s="62" t="s">
        <v>54</v>
      </c>
      <c r="C31" s="63" t="s">
        <v>55</v>
      </c>
      <c r="D31" s="64">
        <v>1057016</v>
      </c>
      <c r="E31" s="65">
        <f t="shared" si="0"/>
        <v>1057016</v>
      </c>
      <c r="F31" s="66">
        <f t="shared" si="2"/>
        <v>1.7517192134647226E-3</v>
      </c>
      <c r="G31" s="99">
        <f t="shared" si="1"/>
        <v>534274</v>
      </c>
    </row>
    <row r="32" spans="1:7" s="42" customFormat="1" ht="17.25">
      <c r="A32" s="56" t="s">
        <v>62</v>
      </c>
      <c r="B32" s="62" t="s">
        <v>62</v>
      </c>
      <c r="C32" s="63" t="s">
        <v>63</v>
      </c>
      <c r="D32" s="64">
        <v>14434839</v>
      </c>
      <c r="E32" s="65">
        <f t="shared" si="0"/>
        <v>14434839</v>
      </c>
      <c r="F32" s="66">
        <f t="shared" si="2"/>
        <v>2.3921856262885236E-2</v>
      </c>
      <c r="G32" s="99">
        <f t="shared" si="1"/>
        <v>7296166</v>
      </c>
    </row>
    <row r="33" spans="1:7" s="42" customFormat="1" ht="17.25">
      <c r="A33" s="56" t="s">
        <v>64</v>
      </c>
      <c r="B33" s="62" t="s">
        <v>64</v>
      </c>
      <c r="C33" s="63" t="s">
        <v>65</v>
      </c>
      <c r="D33" s="64">
        <v>20681987</v>
      </c>
      <c r="E33" s="65">
        <f t="shared" si="0"/>
        <v>20681987</v>
      </c>
      <c r="F33" s="66">
        <f t="shared" si="2"/>
        <v>3.4274820816834951E-2</v>
      </c>
      <c r="G33" s="99">
        <f t="shared" si="1"/>
        <v>10453820</v>
      </c>
    </row>
    <row r="34" spans="1:7" s="42" customFormat="1" ht="17.25">
      <c r="A34" s="56" t="s">
        <v>66</v>
      </c>
      <c r="B34" s="62" t="s">
        <v>66</v>
      </c>
      <c r="C34" s="63" t="s">
        <v>67</v>
      </c>
      <c r="D34" s="64">
        <v>2212190</v>
      </c>
      <c r="E34" s="65">
        <f t="shared" si="0"/>
        <v>2212190</v>
      </c>
      <c r="F34" s="66">
        <f t="shared" si="2"/>
        <v>3.6661088638530776E-3</v>
      </c>
      <c r="G34" s="99">
        <f t="shared" si="1"/>
        <v>1118163</v>
      </c>
    </row>
    <row r="35" spans="1:7" s="42" customFormat="1" ht="17.25">
      <c r="A35" s="56" t="s">
        <v>68</v>
      </c>
      <c r="B35" s="81" t="s">
        <v>68</v>
      </c>
      <c r="C35" s="70" t="s">
        <v>69</v>
      </c>
      <c r="D35" s="76">
        <v>164075205</v>
      </c>
      <c r="E35" s="71">
        <f t="shared" si="0"/>
        <v>160000000</v>
      </c>
      <c r="F35" s="72">
        <f t="shared" si="2"/>
        <v>0.2651568889726888</v>
      </c>
      <c r="G35" s="100">
        <f>ROUND(G$6*$F35,0)+1</f>
        <v>80872852</v>
      </c>
    </row>
    <row r="36" spans="1:7" s="73" customFormat="1" ht="15" customHeight="1">
      <c r="A36" s="73" t="s">
        <v>70</v>
      </c>
      <c r="B36" s="74" t="s">
        <v>70</v>
      </c>
      <c r="C36" s="75"/>
      <c r="D36" s="76">
        <f t="shared" ref="D36:G36" si="3">SUM(D10:D35)</f>
        <v>607491547</v>
      </c>
      <c r="E36" s="77">
        <f t="shared" si="3"/>
        <v>603416342</v>
      </c>
      <c r="F36" s="78">
        <f t="shared" si="3"/>
        <v>1.0000000000000002</v>
      </c>
      <c r="G36" s="101">
        <f t="shared" si="3"/>
        <v>305000000</v>
      </c>
    </row>
    <row r="37" spans="1:7" s="42" customFormat="1">
      <c r="D37" s="79"/>
      <c r="E37" s="80"/>
      <c r="F37" s="80"/>
      <c r="G37" s="80"/>
    </row>
    <row r="38" spans="1:7" s="42" customFormat="1" ht="33" customHeight="1">
      <c r="B38" s="147" t="s">
        <v>102</v>
      </c>
      <c r="C38" s="147"/>
      <c r="D38" s="147"/>
      <c r="E38" s="147"/>
      <c r="F38" s="147"/>
      <c r="G38" s="147"/>
    </row>
    <row r="39" spans="1:7" s="42" customFormat="1"/>
    <row r="40" spans="1:7" s="42" customFormat="1"/>
    <row r="41" spans="1:7" s="42" customFormat="1"/>
    <row r="42" spans="1:7" s="42" customFormat="1"/>
    <row r="43" spans="1:7" s="42" customFormat="1"/>
    <row r="44" spans="1:7" s="42" customFormat="1"/>
    <row r="45" spans="1:7" s="42" customFormat="1"/>
    <row r="46" spans="1:7" s="42" customFormat="1"/>
    <row r="47" spans="1:7" s="42" customFormat="1"/>
    <row r="48" spans="1:7" s="42" customFormat="1"/>
    <row r="49" s="42" customFormat="1"/>
    <row r="50" s="42" customFormat="1"/>
    <row r="51" s="42" customFormat="1"/>
    <row r="52" s="42" customFormat="1"/>
    <row r="53" s="42" customFormat="1"/>
  </sheetData>
  <mergeCells count="1">
    <mergeCell ref="B38:G38"/>
  </mergeCells>
  <conditionalFormatting sqref="E10:E35">
    <cfRule type="cellIs" dxfId="4" priority="3" operator="equal">
      <formula>#REF!</formula>
    </cfRule>
  </conditionalFormatting>
  <conditionalFormatting sqref="G10:G35">
    <cfRule type="cellIs" dxfId="3" priority="1" operator="equal">
      <formula>#REF!</formula>
    </cfRule>
  </conditionalFormatting>
  <pageMargins left="0.5" right="0.5" top="0.75" bottom="0.75" header="0.3" footer="0.3"/>
  <pageSetup scale="83" orientation="landscape" r:id="rId1"/>
  <headerFooter>
    <oddFooter>&amp;L&amp;8&amp;Z&amp;F   &amp;A</oddFooter>
  </headerFooter>
  <rowBreaks count="1" manualBreakCount="1">
    <brk id="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I8" sqref="I8"/>
    </sheetView>
  </sheetViews>
  <sheetFormatPr defaultRowHeight="15"/>
  <cols>
    <col min="1" max="1" width="14.85546875" bestFit="1" customWidth="1"/>
    <col min="2" max="2" width="10.85546875" bestFit="1" customWidth="1"/>
    <col min="3" max="3" width="10.85546875" customWidth="1"/>
    <col min="4" max="4" width="12.7109375" bestFit="1" customWidth="1"/>
    <col min="5" max="5" width="11.7109375" bestFit="1" customWidth="1"/>
    <col min="6" max="6" width="10.140625" customWidth="1"/>
    <col min="7" max="7" width="11.7109375" bestFit="1" customWidth="1"/>
    <col min="8" max="8" width="10.140625" customWidth="1"/>
    <col min="9" max="9" width="13.85546875" bestFit="1" customWidth="1"/>
  </cols>
  <sheetData>
    <row r="1" spans="1:11" ht="6.75" customHeight="1"/>
    <row r="2" spans="1:11">
      <c r="A2" s="28" t="s">
        <v>101</v>
      </c>
      <c r="E2" s="118"/>
      <c r="F2" s="118"/>
      <c r="G2" s="118"/>
      <c r="H2" s="118"/>
      <c r="I2" s="118"/>
    </row>
    <row r="3" spans="1:11" ht="9.75" customHeight="1">
      <c r="F3" s="3"/>
      <c r="G3" s="3"/>
      <c r="H3" s="3"/>
      <c r="I3" s="103"/>
    </row>
    <row r="4" spans="1:11">
      <c r="A4" s="5"/>
      <c r="B4" s="6"/>
      <c r="C4" s="47" t="s">
        <v>97</v>
      </c>
      <c r="D4" s="7" t="s">
        <v>6</v>
      </c>
      <c r="E4" s="8"/>
      <c r="F4" s="7" t="s">
        <v>6</v>
      </c>
      <c r="G4" s="8"/>
      <c r="H4" s="7" t="s">
        <v>6</v>
      </c>
      <c r="I4" s="96" t="s">
        <v>1</v>
      </c>
    </row>
    <row r="5" spans="1:11">
      <c r="A5" s="9" t="s">
        <v>7</v>
      </c>
      <c r="B5" s="10" t="s">
        <v>8</v>
      </c>
      <c r="C5" s="11" t="s">
        <v>87</v>
      </c>
      <c r="D5" s="11" t="s">
        <v>9</v>
      </c>
      <c r="E5" s="11" t="s">
        <v>10</v>
      </c>
      <c r="F5" s="11" t="s">
        <v>9</v>
      </c>
      <c r="G5" s="11" t="s">
        <v>10</v>
      </c>
      <c r="H5" s="11" t="s">
        <v>9</v>
      </c>
      <c r="I5" s="105">
        <v>25000000</v>
      </c>
    </row>
    <row r="6" spans="1:11">
      <c r="A6" s="9"/>
      <c r="B6" s="10"/>
      <c r="C6" s="11" t="s">
        <v>98</v>
      </c>
      <c r="D6" s="11" t="s">
        <v>11</v>
      </c>
      <c r="E6" s="11" t="s">
        <v>12</v>
      </c>
      <c r="F6" s="11" t="s">
        <v>11</v>
      </c>
      <c r="G6" s="11" t="s">
        <v>12</v>
      </c>
      <c r="H6" s="11" t="s">
        <v>11</v>
      </c>
      <c r="I6" s="12" t="s">
        <v>3</v>
      </c>
    </row>
    <row r="7" spans="1:11">
      <c r="A7" s="13"/>
      <c r="B7" s="14"/>
      <c r="C7" s="15" t="s">
        <v>88</v>
      </c>
      <c r="D7" s="15" t="s">
        <v>14</v>
      </c>
      <c r="E7" s="17">
        <v>5000000</v>
      </c>
      <c r="F7" s="16" t="s">
        <v>16</v>
      </c>
      <c r="G7" s="17">
        <v>7000000</v>
      </c>
      <c r="H7" s="16" t="s">
        <v>16</v>
      </c>
      <c r="I7" s="18" t="s">
        <v>86</v>
      </c>
    </row>
    <row r="8" spans="1:11" ht="17.25" customHeight="1">
      <c r="A8" s="19" t="s">
        <v>17</v>
      </c>
      <c r="B8" s="19" t="s">
        <v>18</v>
      </c>
      <c r="C8" s="114">
        <v>233</v>
      </c>
      <c r="D8" s="20">
        <v>0</v>
      </c>
      <c r="E8" s="22">
        <f t="shared" ref="E8:E33" si="0">IF(D8&gt;E$7,E$7,ROUND(D8,0))</f>
        <v>0</v>
      </c>
      <c r="F8" s="21">
        <f t="shared" ref="F8:F33" si="1">E8/$E$34</f>
        <v>0</v>
      </c>
      <c r="G8" s="22">
        <f t="shared" ref="G8:G33" si="2">IF(D8&gt;G$7,G$7,ROUND(D8,0))</f>
        <v>0</v>
      </c>
      <c r="H8" s="21">
        <f>G8/$G$34</f>
        <v>0</v>
      </c>
      <c r="I8" s="23">
        <f t="shared" ref="I8:I24" si="3">ROUND($F8*I$5,0)</f>
        <v>0</v>
      </c>
    </row>
    <row r="9" spans="1:11" ht="17.25" customHeight="1">
      <c r="A9" s="19" t="s">
        <v>19</v>
      </c>
      <c r="B9" s="19" t="s">
        <v>20</v>
      </c>
      <c r="C9" s="114">
        <v>383</v>
      </c>
      <c r="D9" s="20">
        <v>0</v>
      </c>
      <c r="E9" s="22">
        <f t="shared" si="0"/>
        <v>0</v>
      </c>
      <c r="F9" s="21">
        <f t="shared" si="1"/>
        <v>0</v>
      </c>
      <c r="G9" s="22">
        <f t="shared" si="2"/>
        <v>0</v>
      </c>
      <c r="H9" s="21">
        <f t="shared" ref="H9:H33" si="4">G9/$G$34</f>
        <v>0</v>
      </c>
      <c r="I9" s="23">
        <f t="shared" si="3"/>
        <v>0</v>
      </c>
    </row>
    <row r="10" spans="1:11" s="102" customFormat="1" ht="17.25" customHeight="1">
      <c r="A10" s="25" t="s">
        <v>21</v>
      </c>
      <c r="B10" s="19" t="s">
        <v>22</v>
      </c>
      <c r="C10" s="114">
        <v>154</v>
      </c>
      <c r="D10" s="20">
        <v>8522358</v>
      </c>
      <c r="E10" s="22">
        <f t="shared" si="0"/>
        <v>5000000</v>
      </c>
      <c r="F10" s="21">
        <f t="shared" si="1"/>
        <v>0.14147949636694801</v>
      </c>
      <c r="G10" s="22">
        <f t="shared" si="2"/>
        <v>7000000</v>
      </c>
      <c r="H10" s="21">
        <f t="shared" si="4"/>
        <v>0.16382551103963949</v>
      </c>
      <c r="I10" s="23">
        <f t="shared" si="3"/>
        <v>3536987</v>
      </c>
      <c r="J10"/>
      <c r="K10"/>
    </row>
    <row r="11" spans="1:11" s="102" customFormat="1" ht="17.25" customHeight="1">
      <c r="A11" s="19" t="s">
        <v>23</v>
      </c>
      <c r="B11" s="19" t="s">
        <v>24</v>
      </c>
      <c r="C11" s="114">
        <v>456</v>
      </c>
      <c r="D11" s="20">
        <v>0</v>
      </c>
      <c r="E11" s="22">
        <f t="shared" si="0"/>
        <v>0</v>
      </c>
      <c r="F11" s="21">
        <f t="shared" si="1"/>
        <v>0</v>
      </c>
      <c r="G11" s="22">
        <f t="shared" si="2"/>
        <v>0</v>
      </c>
      <c r="H11" s="21">
        <f t="shared" si="4"/>
        <v>0</v>
      </c>
      <c r="I11" s="23">
        <f t="shared" si="3"/>
        <v>0</v>
      </c>
      <c r="J11"/>
      <c r="K11"/>
    </row>
    <row r="12" spans="1:11" s="102" customFormat="1" ht="17.25" customHeight="1">
      <c r="A12" s="25" t="s">
        <v>26</v>
      </c>
      <c r="B12" s="19" t="s">
        <v>27</v>
      </c>
      <c r="C12" s="114">
        <v>122</v>
      </c>
      <c r="D12" s="20">
        <v>5891931</v>
      </c>
      <c r="E12" s="22">
        <f t="shared" si="0"/>
        <v>5000000</v>
      </c>
      <c r="F12" s="21">
        <f t="shared" si="1"/>
        <v>0.14147949636694801</v>
      </c>
      <c r="G12" s="22">
        <f t="shared" si="2"/>
        <v>5891931</v>
      </c>
      <c r="H12" s="21">
        <f t="shared" si="4"/>
        <v>0.13789265815504204</v>
      </c>
      <c r="I12" s="23">
        <f t="shared" si="3"/>
        <v>3536987</v>
      </c>
      <c r="J12"/>
      <c r="K12"/>
    </row>
    <row r="13" spans="1:11" s="102" customFormat="1" ht="17.25" customHeight="1">
      <c r="A13" s="19" t="s">
        <v>28</v>
      </c>
      <c r="B13" s="19" t="s">
        <v>29</v>
      </c>
      <c r="C13" s="114">
        <v>206</v>
      </c>
      <c r="D13" s="20">
        <v>0</v>
      </c>
      <c r="E13" s="22">
        <f t="shared" si="0"/>
        <v>0</v>
      </c>
      <c r="F13" s="21">
        <f t="shared" si="1"/>
        <v>0</v>
      </c>
      <c r="G13" s="22">
        <f t="shared" si="2"/>
        <v>0</v>
      </c>
      <c r="H13" s="21">
        <f t="shared" si="4"/>
        <v>0</v>
      </c>
      <c r="I13" s="23">
        <f t="shared" si="3"/>
        <v>0</v>
      </c>
      <c r="J13"/>
      <c r="K13"/>
    </row>
    <row r="14" spans="1:11" s="102" customFormat="1" ht="17.25" customHeight="1">
      <c r="A14" s="25" t="s">
        <v>30</v>
      </c>
      <c r="B14" s="19" t="s">
        <v>31</v>
      </c>
      <c r="C14" s="114">
        <v>180</v>
      </c>
      <c r="D14" s="20">
        <v>8415128</v>
      </c>
      <c r="E14" s="22">
        <f t="shared" si="0"/>
        <v>5000000</v>
      </c>
      <c r="F14" s="21">
        <f t="shared" si="1"/>
        <v>0.14147949636694801</v>
      </c>
      <c r="G14" s="22">
        <f t="shared" si="2"/>
        <v>7000000</v>
      </c>
      <c r="H14" s="21">
        <f t="shared" si="4"/>
        <v>0.16382551103963949</v>
      </c>
      <c r="I14" s="23">
        <f t="shared" si="3"/>
        <v>3536987</v>
      </c>
      <c r="J14"/>
      <c r="K14"/>
    </row>
    <row r="15" spans="1:11" s="102" customFormat="1" ht="17.25" customHeight="1">
      <c r="A15" s="19" t="s">
        <v>32</v>
      </c>
      <c r="B15" s="19" t="s">
        <v>33</v>
      </c>
      <c r="C15" s="114">
        <v>867</v>
      </c>
      <c r="D15" s="20">
        <v>0</v>
      </c>
      <c r="E15" s="22">
        <f t="shared" si="0"/>
        <v>0</v>
      </c>
      <c r="F15" s="21">
        <f t="shared" si="1"/>
        <v>0</v>
      </c>
      <c r="G15" s="22">
        <f t="shared" si="2"/>
        <v>0</v>
      </c>
      <c r="H15" s="21">
        <f t="shared" si="4"/>
        <v>0</v>
      </c>
      <c r="I15" s="23">
        <f t="shared" si="3"/>
        <v>0</v>
      </c>
      <c r="J15"/>
      <c r="K15"/>
    </row>
    <row r="16" spans="1:11" s="102" customFormat="1" ht="17.25" customHeight="1">
      <c r="A16" s="19" t="s">
        <v>34</v>
      </c>
      <c r="B16" s="19" t="s">
        <v>35</v>
      </c>
      <c r="C16" s="114">
        <v>446</v>
      </c>
      <c r="D16" s="20">
        <v>0</v>
      </c>
      <c r="E16" s="22">
        <f t="shared" si="0"/>
        <v>0</v>
      </c>
      <c r="F16" s="21">
        <f t="shared" si="1"/>
        <v>0</v>
      </c>
      <c r="G16" s="22">
        <f t="shared" si="2"/>
        <v>0</v>
      </c>
      <c r="H16" s="21">
        <f t="shared" si="4"/>
        <v>0</v>
      </c>
      <c r="I16" s="23">
        <f t="shared" si="3"/>
        <v>0</v>
      </c>
      <c r="J16"/>
      <c r="K16"/>
    </row>
    <row r="17" spans="1:11" s="102" customFormat="1" ht="17.25" customHeight="1">
      <c r="A17" s="25" t="s">
        <v>36</v>
      </c>
      <c r="B17" s="19" t="s">
        <v>37</v>
      </c>
      <c r="C17" s="114">
        <v>122</v>
      </c>
      <c r="D17" s="20">
        <v>5495647</v>
      </c>
      <c r="E17" s="22">
        <f t="shared" si="0"/>
        <v>5000000</v>
      </c>
      <c r="F17" s="21">
        <f t="shared" si="1"/>
        <v>0.14147949636694801</v>
      </c>
      <c r="G17" s="22">
        <f t="shared" si="2"/>
        <v>5495647</v>
      </c>
      <c r="H17" s="21">
        <f t="shared" si="4"/>
        <v>0.12861816832406595</v>
      </c>
      <c r="I17" s="23">
        <f t="shared" si="3"/>
        <v>3536987</v>
      </c>
      <c r="J17"/>
      <c r="K17"/>
    </row>
    <row r="18" spans="1:11" s="102" customFormat="1" ht="17.25" customHeight="1">
      <c r="A18" s="25" t="s">
        <v>38</v>
      </c>
      <c r="B18" s="19" t="s">
        <v>39</v>
      </c>
      <c r="C18" s="114">
        <v>101</v>
      </c>
      <c r="D18" s="20">
        <v>3771267</v>
      </c>
      <c r="E18" s="22">
        <f t="shared" si="0"/>
        <v>3771267</v>
      </c>
      <c r="F18" s="21">
        <f t="shared" si="1"/>
        <v>0.10671139116505819</v>
      </c>
      <c r="G18" s="22">
        <f t="shared" si="2"/>
        <v>3771267</v>
      </c>
      <c r="H18" s="21">
        <f t="shared" si="4"/>
        <v>8.8261391934561159E-2</v>
      </c>
      <c r="I18" s="23">
        <f t="shared" si="3"/>
        <v>2667785</v>
      </c>
      <c r="J18"/>
      <c r="K18"/>
    </row>
    <row r="19" spans="1:11" s="102" customFormat="1" ht="17.25" customHeight="1">
      <c r="A19" s="19" t="s">
        <v>40</v>
      </c>
      <c r="B19" s="19" t="s">
        <v>41</v>
      </c>
      <c r="C19" s="114">
        <v>308</v>
      </c>
      <c r="D19" s="20">
        <v>0</v>
      </c>
      <c r="E19" s="22">
        <f t="shared" si="0"/>
        <v>0</v>
      </c>
      <c r="F19" s="21">
        <f t="shared" si="1"/>
        <v>0</v>
      </c>
      <c r="G19" s="22">
        <f t="shared" si="2"/>
        <v>0</v>
      </c>
      <c r="H19" s="21">
        <f t="shared" si="4"/>
        <v>0</v>
      </c>
      <c r="I19" s="23">
        <f t="shared" si="3"/>
        <v>0</v>
      </c>
      <c r="J19"/>
      <c r="K19"/>
    </row>
    <row r="20" spans="1:11" s="102" customFormat="1" ht="17.25" customHeight="1">
      <c r="A20" s="19" t="s">
        <v>42</v>
      </c>
      <c r="B20" s="19" t="s">
        <v>43</v>
      </c>
      <c r="C20" s="114">
        <v>283</v>
      </c>
      <c r="D20" s="20">
        <v>0</v>
      </c>
      <c r="E20" s="22">
        <f t="shared" si="0"/>
        <v>0</v>
      </c>
      <c r="F20" s="21">
        <f t="shared" si="1"/>
        <v>0</v>
      </c>
      <c r="G20" s="22">
        <f t="shared" si="2"/>
        <v>0</v>
      </c>
      <c r="H20" s="21">
        <f t="shared" si="4"/>
        <v>0</v>
      </c>
      <c r="I20" s="23">
        <f t="shared" si="3"/>
        <v>0</v>
      </c>
      <c r="J20"/>
      <c r="K20"/>
    </row>
    <row r="21" spans="1:11" s="102" customFormat="1" ht="17.25" customHeight="1">
      <c r="A21" s="19" t="s">
        <v>44</v>
      </c>
      <c r="B21" s="19" t="s">
        <v>45</v>
      </c>
      <c r="C21" s="114">
        <v>297</v>
      </c>
      <c r="D21" s="20">
        <v>0</v>
      </c>
      <c r="E21" s="22">
        <f t="shared" si="0"/>
        <v>0</v>
      </c>
      <c r="F21" s="21">
        <f t="shared" si="1"/>
        <v>0</v>
      </c>
      <c r="G21" s="22">
        <f t="shared" si="2"/>
        <v>0</v>
      </c>
      <c r="H21" s="21">
        <f t="shared" si="4"/>
        <v>0</v>
      </c>
      <c r="I21" s="23">
        <f t="shared" si="3"/>
        <v>0</v>
      </c>
      <c r="J21"/>
      <c r="K21"/>
    </row>
    <row r="22" spans="1:11" s="102" customFormat="1" ht="17.25" customHeight="1">
      <c r="A22" s="25" t="s">
        <v>46</v>
      </c>
      <c r="B22" s="19" t="s">
        <v>47</v>
      </c>
      <c r="C22" s="114">
        <v>156</v>
      </c>
      <c r="D22" s="20">
        <v>12981508</v>
      </c>
      <c r="E22" s="22">
        <f t="shared" si="0"/>
        <v>5000000</v>
      </c>
      <c r="F22" s="21">
        <f t="shared" si="1"/>
        <v>0.14147949636694801</v>
      </c>
      <c r="G22" s="22">
        <f t="shared" si="2"/>
        <v>7000000</v>
      </c>
      <c r="H22" s="21">
        <f t="shared" si="4"/>
        <v>0.16382551103963949</v>
      </c>
      <c r="I22" s="23">
        <f t="shared" si="3"/>
        <v>3536987</v>
      </c>
      <c r="J22"/>
      <c r="K22"/>
    </row>
    <row r="23" spans="1:11" s="116" customFormat="1" ht="17.25" customHeight="1">
      <c r="A23" s="25" t="s">
        <v>48</v>
      </c>
      <c r="B23" s="19" t="s">
        <v>49</v>
      </c>
      <c r="C23" s="114">
        <v>118</v>
      </c>
      <c r="D23" s="20">
        <v>1350019</v>
      </c>
      <c r="E23" s="59">
        <f t="shared" si="0"/>
        <v>1350019</v>
      </c>
      <c r="F23" s="121">
        <f t="shared" si="1"/>
        <v>3.8200001641162155E-2</v>
      </c>
      <c r="G23" s="59">
        <f t="shared" si="2"/>
        <v>1350019</v>
      </c>
      <c r="H23" s="121">
        <f t="shared" si="4"/>
        <v>3.1595364655460437E-2</v>
      </c>
      <c r="I23" s="23">
        <f t="shared" si="3"/>
        <v>955000</v>
      </c>
      <c r="J23" s="117"/>
      <c r="K23" s="117"/>
    </row>
    <row r="24" spans="1:11" s="102" customFormat="1" ht="17.25" customHeight="1">
      <c r="A24" s="19" t="s">
        <v>50</v>
      </c>
      <c r="B24" s="19" t="s">
        <v>51</v>
      </c>
      <c r="C24" s="114">
        <v>366</v>
      </c>
      <c r="D24" s="20">
        <v>0</v>
      </c>
      <c r="E24" s="22">
        <f t="shared" si="0"/>
        <v>0</v>
      </c>
      <c r="F24" s="21">
        <f t="shared" si="1"/>
        <v>0</v>
      </c>
      <c r="G24" s="22">
        <f t="shared" si="2"/>
        <v>0</v>
      </c>
      <c r="H24" s="21">
        <f t="shared" si="4"/>
        <v>0</v>
      </c>
      <c r="I24" s="23">
        <f t="shared" si="3"/>
        <v>0</v>
      </c>
      <c r="J24"/>
      <c r="K24"/>
    </row>
    <row r="25" spans="1:11" s="102" customFormat="1" ht="17.25" customHeight="1">
      <c r="A25" s="25" t="s">
        <v>52</v>
      </c>
      <c r="B25" s="19" t="s">
        <v>53</v>
      </c>
      <c r="C25" s="114">
        <v>118</v>
      </c>
      <c r="D25" s="20">
        <v>1950318</v>
      </c>
      <c r="E25" s="22">
        <f t="shared" si="0"/>
        <v>1950318</v>
      </c>
      <c r="F25" s="21">
        <f t="shared" si="1"/>
        <v>5.518600167907866E-2</v>
      </c>
      <c r="G25" s="22">
        <f t="shared" si="2"/>
        <v>1950318</v>
      </c>
      <c r="H25" s="21">
        <f t="shared" si="4"/>
        <v>4.5644549005686805E-2</v>
      </c>
      <c r="I25" s="23">
        <f>ROUND($F25*I$5,0)</f>
        <v>1379650</v>
      </c>
      <c r="J25"/>
      <c r="K25"/>
    </row>
    <row r="26" spans="1:11" ht="17.25" customHeight="1">
      <c r="A26" s="25" t="s">
        <v>54</v>
      </c>
      <c r="B26" s="19" t="s">
        <v>55</v>
      </c>
      <c r="C26" s="114">
        <v>94</v>
      </c>
      <c r="D26" s="20">
        <v>1057016</v>
      </c>
      <c r="E26" s="22">
        <f t="shared" si="0"/>
        <v>1057016</v>
      </c>
      <c r="F26" s="21">
        <f t="shared" si="1"/>
        <v>2.9909218266361184E-2</v>
      </c>
      <c r="G26" s="22">
        <f t="shared" si="2"/>
        <v>1057016</v>
      </c>
      <c r="H26" s="21">
        <f t="shared" si="4"/>
        <v>2.4738026625296512E-2</v>
      </c>
      <c r="I26" s="23">
        <f>ROUND($F26*I$5,0)+2</f>
        <v>747732</v>
      </c>
    </row>
    <row r="27" spans="1:11" ht="17.25" customHeight="1">
      <c r="A27" s="19" t="s">
        <v>56</v>
      </c>
      <c r="B27" s="19" t="s">
        <v>57</v>
      </c>
      <c r="C27" s="114">
        <v>682</v>
      </c>
      <c r="D27" s="20">
        <v>0</v>
      </c>
      <c r="E27" s="22">
        <f t="shared" si="0"/>
        <v>0</v>
      </c>
      <c r="F27" s="21">
        <f t="shared" si="1"/>
        <v>0</v>
      </c>
      <c r="G27" s="22">
        <f t="shared" si="2"/>
        <v>0</v>
      </c>
      <c r="H27" s="21">
        <f t="shared" si="4"/>
        <v>0</v>
      </c>
      <c r="I27" s="23">
        <f t="shared" ref="I27:I33" si="5">ROUND($F27*I$5,0)</f>
        <v>0</v>
      </c>
    </row>
    <row r="28" spans="1:11" ht="17.25" customHeight="1">
      <c r="A28" s="19" t="s">
        <v>58</v>
      </c>
      <c r="B28" s="19" t="s">
        <v>59</v>
      </c>
      <c r="C28" s="114">
        <v>379</v>
      </c>
      <c r="D28" s="20">
        <v>0</v>
      </c>
      <c r="E28" s="22">
        <f t="shared" si="0"/>
        <v>0</v>
      </c>
      <c r="F28" s="21">
        <f t="shared" si="1"/>
        <v>0</v>
      </c>
      <c r="G28" s="22">
        <f t="shared" si="2"/>
        <v>0</v>
      </c>
      <c r="H28" s="21">
        <f t="shared" si="4"/>
        <v>0</v>
      </c>
      <c r="I28" s="23">
        <f t="shared" si="5"/>
        <v>0</v>
      </c>
    </row>
    <row r="29" spans="1:11" ht="17.25" customHeight="1">
      <c r="A29" s="19" t="s">
        <v>60</v>
      </c>
      <c r="B29" s="19" t="s">
        <v>61</v>
      </c>
      <c r="C29" s="114">
        <v>520</v>
      </c>
      <c r="D29" s="20">
        <v>0</v>
      </c>
      <c r="E29" s="22">
        <f t="shared" si="0"/>
        <v>0</v>
      </c>
      <c r="F29" s="21">
        <f t="shared" si="1"/>
        <v>0</v>
      </c>
      <c r="G29" s="22">
        <f t="shared" si="2"/>
        <v>0</v>
      </c>
      <c r="H29" s="21">
        <f t="shared" si="4"/>
        <v>0</v>
      </c>
      <c r="I29" s="23">
        <f t="shared" si="5"/>
        <v>0</v>
      </c>
    </row>
    <row r="30" spans="1:11" ht="17.25" customHeight="1">
      <c r="A30" s="19" t="s">
        <v>62</v>
      </c>
      <c r="B30" s="19" t="s">
        <v>63</v>
      </c>
      <c r="C30" s="114">
        <v>330</v>
      </c>
      <c r="D30" s="20">
        <v>0</v>
      </c>
      <c r="E30" s="22">
        <f t="shared" si="0"/>
        <v>0</v>
      </c>
      <c r="F30" s="21">
        <f t="shared" si="1"/>
        <v>0</v>
      </c>
      <c r="G30" s="22">
        <f t="shared" si="2"/>
        <v>0</v>
      </c>
      <c r="H30" s="21">
        <f t="shared" si="4"/>
        <v>0</v>
      </c>
      <c r="I30" s="23">
        <f t="shared" si="5"/>
        <v>0</v>
      </c>
    </row>
    <row r="31" spans="1:11" ht="17.25" customHeight="1">
      <c r="A31" s="19" t="s">
        <v>64</v>
      </c>
      <c r="B31" s="19" t="s">
        <v>65</v>
      </c>
      <c r="C31" s="114">
        <v>393</v>
      </c>
      <c r="D31" s="20">
        <v>0</v>
      </c>
      <c r="E31" s="22">
        <f t="shared" si="0"/>
        <v>0</v>
      </c>
      <c r="F31" s="21">
        <f t="shared" si="1"/>
        <v>0</v>
      </c>
      <c r="G31" s="22">
        <f t="shared" si="2"/>
        <v>0</v>
      </c>
      <c r="H31" s="21">
        <f t="shared" si="4"/>
        <v>0</v>
      </c>
      <c r="I31" s="23">
        <f t="shared" si="5"/>
        <v>0</v>
      </c>
    </row>
    <row r="32" spans="1:11" ht="17.25" customHeight="1">
      <c r="A32" s="25" t="s">
        <v>66</v>
      </c>
      <c r="B32" s="19" t="s">
        <v>67</v>
      </c>
      <c r="C32" s="114">
        <v>144</v>
      </c>
      <c r="D32" s="20">
        <v>2212190</v>
      </c>
      <c r="E32" s="22">
        <f t="shared" si="0"/>
        <v>2212190</v>
      </c>
      <c r="F32" s="21">
        <f t="shared" si="1"/>
        <v>6.2595905413599745E-2</v>
      </c>
      <c r="G32" s="22">
        <f t="shared" si="2"/>
        <v>2212190</v>
      </c>
      <c r="H32" s="21">
        <f t="shared" si="4"/>
        <v>5.1773308180968584E-2</v>
      </c>
      <c r="I32" s="23">
        <f t="shared" si="5"/>
        <v>1564898</v>
      </c>
    </row>
    <row r="33" spans="1:9" ht="17.25" customHeight="1">
      <c r="A33" s="19" t="s">
        <v>68</v>
      </c>
      <c r="B33" s="19" t="s">
        <v>69</v>
      </c>
      <c r="C33" s="114">
        <v>1541</v>
      </c>
      <c r="D33" s="20">
        <v>0</v>
      </c>
      <c r="E33" s="24">
        <f t="shared" si="0"/>
        <v>0</v>
      </c>
      <c r="F33" s="21">
        <f t="shared" si="1"/>
        <v>0</v>
      </c>
      <c r="G33" s="22">
        <f t="shared" si="2"/>
        <v>0</v>
      </c>
      <c r="H33" s="21">
        <f t="shared" si="4"/>
        <v>0</v>
      </c>
      <c r="I33" s="23">
        <f t="shared" si="5"/>
        <v>0</v>
      </c>
    </row>
    <row r="34" spans="1:9" s="28" customFormat="1" ht="17.25" customHeight="1">
      <c r="A34" s="25" t="s">
        <v>70</v>
      </c>
      <c r="B34" s="25"/>
      <c r="C34" s="113">
        <f t="shared" ref="C34:I34" si="6">SUM(C8:C33)</f>
        <v>8999</v>
      </c>
      <c r="D34" s="26">
        <f t="shared" si="6"/>
        <v>51647382</v>
      </c>
      <c r="E34" s="26">
        <f t="shared" si="6"/>
        <v>35340810</v>
      </c>
      <c r="F34" s="27">
        <f t="shared" si="6"/>
        <v>0.99999999999999989</v>
      </c>
      <c r="G34" s="26">
        <f t="shared" si="6"/>
        <v>42728388</v>
      </c>
      <c r="H34" s="27">
        <f t="shared" si="6"/>
        <v>1</v>
      </c>
      <c r="I34" s="104">
        <f t="shared" si="6"/>
        <v>25000000</v>
      </c>
    </row>
    <row r="42" spans="1:9">
      <c r="I42" s="118"/>
    </row>
    <row r="43" spans="1:9">
      <c r="I43" s="118"/>
    </row>
    <row r="44" spans="1:9">
      <c r="I44" s="118"/>
    </row>
    <row r="45" spans="1:9">
      <c r="I45" s="118"/>
    </row>
    <row r="46" spans="1:9">
      <c r="I46" s="118"/>
    </row>
  </sheetData>
  <conditionalFormatting sqref="E8:E33">
    <cfRule type="cellIs" dxfId="2" priority="3" operator="equal">
      <formula>#REF!</formula>
    </cfRule>
  </conditionalFormatting>
  <conditionalFormatting sqref="G8:G33">
    <cfRule type="cellIs" dxfId="1" priority="2" operator="equal">
      <formula>#REF!</formula>
    </cfRule>
  </conditionalFormatting>
  <conditionalFormatting sqref="C8:C33">
    <cfRule type="cellIs" dxfId="0" priority="1" operator="lessThan">
      <formula>181</formula>
    </cfRule>
  </conditionalFormatting>
  <pageMargins left="0.35" right="0.35" top="0.75" bottom="0.75" header="0.3" footer="0.3"/>
  <pageSetup scale="93" orientation="landscape" r:id="rId1"/>
  <headerFooter>
    <oddFooter>&amp;L&amp;9&amp;Z&amp;F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A4" sqref="A4"/>
    </sheetView>
  </sheetViews>
  <sheetFormatPr defaultRowHeight="15"/>
  <cols>
    <col min="1" max="1" width="14.85546875" style="118" bestFit="1" customWidth="1"/>
    <col min="2" max="2" width="10.85546875" style="118" bestFit="1" customWidth="1"/>
    <col min="3" max="3" width="12.7109375" style="118" bestFit="1" customWidth="1"/>
    <col min="4" max="4" width="1.28515625" style="118" customWidth="1"/>
    <col min="5" max="5" width="21.85546875" style="118" customWidth="1"/>
    <col min="6" max="6" width="16.5703125" style="118" bestFit="1" customWidth="1"/>
    <col min="7" max="16384" width="9.140625" style="118"/>
  </cols>
  <sheetData>
    <row r="1" spans="1:6" ht="5.25" customHeight="1"/>
    <row r="2" spans="1:6">
      <c r="A2" s="119" t="s">
        <v>100</v>
      </c>
      <c r="E2" s="35" t="s">
        <v>113</v>
      </c>
      <c r="F2" s="36" t="s">
        <v>1</v>
      </c>
    </row>
    <row r="3" spans="1:6">
      <c r="A3" s="119" t="s">
        <v>99</v>
      </c>
      <c r="E3" s="31" t="s">
        <v>4</v>
      </c>
      <c r="F3" s="97">
        <f>5500000/2</f>
        <v>2750000</v>
      </c>
    </row>
    <row r="4" spans="1:6">
      <c r="E4" s="31" t="s">
        <v>71</v>
      </c>
      <c r="F4" s="97">
        <f>11000000/2</f>
        <v>5500000</v>
      </c>
    </row>
    <row r="5" spans="1:6">
      <c r="A5" s="5"/>
      <c r="B5" s="6"/>
      <c r="C5" s="7" t="s">
        <v>6</v>
      </c>
      <c r="E5" s="31" t="s">
        <v>5</v>
      </c>
      <c r="F5" s="97">
        <f>16500000/2</f>
        <v>8250000</v>
      </c>
    </row>
    <row r="6" spans="1:6">
      <c r="A6" s="9" t="s">
        <v>7</v>
      </c>
      <c r="B6" s="10" t="s">
        <v>8</v>
      </c>
      <c r="C6" s="11" t="s">
        <v>9</v>
      </c>
      <c r="E6" s="37" t="s">
        <v>75</v>
      </c>
      <c r="F6" s="30"/>
    </row>
    <row r="7" spans="1:6">
      <c r="A7" s="9"/>
      <c r="B7" s="10"/>
      <c r="C7" s="11" t="s">
        <v>11</v>
      </c>
      <c r="E7" s="31" t="s">
        <v>72</v>
      </c>
      <c r="F7" s="97">
        <f>1000000/2</f>
        <v>500000</v>
      </c>
    </row>
    <row r="8" spans="1:6">
      <c r="A8" s="13"/>
      <c r="B8" s="14"/>
      <c r="C8" s="15" t="s">
        <v>14</v>
      </c>
      <c r="E8" s="31" t="s">
        <v>73</v>
      </c>
      <c r="F8" s="97">
        <f>6300000/2</f>
        <v>3150000</v>
      </c>
    </row>
    <row r="9" spans="1:6" ht="6.75" customHeight="1"/>
    <row r="10" spans="1:6" ht="17.100000000000001" customHeight="1">
      <c r="A10" s="19" t="s">
        <v>17</v>
      </c>
      <c r="B10" s="19" t="s">
        <v>18</v>
      </c>
      <c r="C10" s="20"/>
      <c r="E10" s="19"/>
      <c r="F10" s="31"/>
    </row>
    <row r="11" spans="1:6" ht="17.100000000000001" customHeight="1">
      <c r="A11" s="19" t="s">
        <v>19</v>
      </c>
      <c r="B11" s="19" t="s">
        <v>20</v>
      </c>
      <c r="C11" s="20"/>
      <c r="E11" s="19"/>
      <c r="F11" s="31"/>
    </row>
    <row r="12" spans="1:6" ht="17.100000000000001" customHeight="1">
      <c r="A12" s="19" t="s">
        <v>21</v>
      </c>
      <c r="B12" s="19" t="s">
        <v>22</v>
      </c>
      <c r="C12" s="20"/>
      <c r="E12" s="19"/>
      <c r="F12" s="31"/>
    </row>
    <row r="13" spans="1:6" ht="17.100000000000001" customHeight="1">
      <c r="A13" s="25" t="s">
        <v>23</v>
      </c>
      <c r="B13" s="19" t="s">
        <v>24</v>
      </c>
      <c r="C13" s="26">
        <v>20705832</v>
      </c>
      <c r="E13" s="25" t="s">
        <v>25</v>
      </c>
      <c r="F13" s="32">
        <f t="shared" ref="F13" si="0">F5</f>
        <v>8250000</v>
      </c>
    </row>
    <row r="14" spans="1:6" ht="17.100000000000001" customHeight="1">
      <c r="A14" s="19" t="s">
        <v>26</v>
      </c>
      <c r="B14" s="19" t="s">
        <v>27</v>
      </c>
      <c r="C14" s="20"/>
      <c r="E14" s="19"/>
      <c r="F14" s="31"/>
    </row>
    <row r="15" spans="1:6" ht="17.100000000000001" customHeight="1">
      <c r="A15" s="25" t="s">
        <v>28</v>
      </c>
      <c r="B15" s="19" t="s">
        <v>29</v>
      </c>
      <c r="C15" s="26">
        <v>3143611</v>
      </c>
      <c r="E15" s="25" t="s">
        <v>25</v>
      </c>
      <c r="F15" s="32">
        <f t="shared" ref="F15" si="1">F3</f>
        <v>2750000</v>
      </c>
    </row>
    <row r="16" spans="1:6" ht="17.100000000000001" customHeight="1">
      <c r="A16" s="19" t="s">
        <v>30</v>
      </c>
      <c r="B16" s="19" t="s">
        <v>31</v>
      </c>
      <c r="C16" s="20"/>
      <c r="E16" s="19"/>
      <c r="F16" s="31"/>
    </row>
    <row r="17" spans="1:6" ht="17.100000000000001" customHeight="1">
      <c r="A17" s="19" t="s">
        <v>32</v>
      </c>
      <c r="B17" s="19" t="s">
        <v>33</v>
      </c>
      <c r="C17" s="20"/>
      <c r="E17" s="19"/>
      <c r="F17" s="31"/>
    </row>
    <row r="18" spans="1:6" ht="17.100000000000001" customHeight="1">
      <c r="A18" s="19" t="s">
        <v>34</v>
      </c>
      <c r="B18" s="19" t="s">
        <v>35</v>
      </c>
      <c r="C18" s="20"/>
      <c r="E18" s="19"/>
      <c r="F18" s="31"/>
    </row>
    <row r="19" spans="1:6" ht="17.100000000000001" customHeight="1">
      <c r="A19" s="19" t="s">
        <v>36</v>
      </c>
      <c r="B19" s="19" t="s">
        <v>37</v>
      </c>
      <c r="C19" s="20"/>
      <c r="E19" s="19"/>
      <c r="F19" s="31"/>
    </row>
    <row r="20" spans="1:6" ht="17.100000000000001" customHeight="1">
      <c r="A20" s="19" t="s">
        <v>38</v>
      </c>
      <c r="B20" s="19" t="s">
        <v>39</v>
      </c>
      <c r="C20" s="20"/>
      <c r="E20" s="19"/>
      <c r="F20" s="31"/>
    </row>
    <row r="21" spans="1:6" ht="17.100000000000001" customHeight="1">
      <c r="A21" s="19" t="s">
        <v>40</v>
      </c>
      <c r="B21" s="19" t="s">
        <v>41</v>
      </c>
      <c r="C21" s="20"/>
      <c r="E21" s="19"/>
      <c r="F21" s="31"/>
    </row>
    <row r="22" spans="1:6" ht="17.100000000000001" customHeight="1">
      <c r="A22" s="19" t="s">
        <v>42</v>
      </c>
      <c r="B22" s="19" t="s">
        <v>43</v>
      </c>
      <c r="C22" s="20"/>
      <c r="E22" s="19"/>
      <c r="F22" s="31"/>
    </row>
    <row r="23" spans="1:6" ht="17.100000000000001" customHeight="1">
      <c r="A23" s="25" t="s">
        <v>44</v>
      </c>
      <c r="B23" s="19" t="s">
        <v>45</v>
      </c>
      <c r="C23" s="26">
        <v>12981508</v>
      </c>
      <c r="E23" s="25" t="s">
        <v>74</v>
      </c>
      <c r="F23" s="32">
        <f t="shared" ref="F23" si="2">F4+F7</f>
        <v>6000000</v>
      </c>
    </row>
    <row r="24" spans="1:6" ht="17.100000000000001" customHeight="1">
      <c r="A24" s="19" t="s">
        <v>46</v>
      </c>
      <c r="B24" s="19" t="s">
        <v>47</v>
      </c>
      <c r="C24" s="20"/>
      <c r="E24" s="19"/>
      <c r="F24" s="31"/>
    </row>
    <row r="25" spans="1:6" ht="17.100000000000001" customHeight="1">
      <c r="A25" s="19" t="s">
        <v>48</v>
      </c>
      <c r="B25" s="19" t="s">
        <v>49</v>
      </c>
      <c r="C25" s="20"/>
      <c r="E25" s="19"/>
      <c r="F25" s="31"/>
    </row>
    <row r="26" spans="1:6" ht="17.100000000000001" customHeight="1">
      <c r="A26" s="25" t="s">
        <v>50</v>
      </c>
      <c r="B26" s="19" t="s">
        <v>51</v>
      </c>
      <c r="C26" s="26">
        <v>20010413</v>
      </c>
      <c r="E26" s="25" t="s">
        <v>25</v>
      </c>
      <c r="F26" s="32">
        <f t="shared" ref="F26" si="3">F5</f>
        <v>8250000</v>
      </c>
    </row>
    <row r="27" spans="1:6" ht="17.100000000000001" customHeight="1">
      <c r="A27" s="19" t="s">
        <v>52</v>
      </c>
      <c r="B27" s="19" t="s">
        <v>53</v>
      </c>
      <c r="C27" s="20"/>
      <c r="E27" s="19"/>
      <c r="F27" s="31"/>
    </row>
    <row r="28" spans="1:6" ht="17.100000000000001" customHeight="1">
      <c r="A28" s="19" t="s">
        <v>54</v>
      </c>
      <c r="B28" s="19" t="s">
        <v>55</v>
      </c>
      <c r="C28" s="20"/>
      <c r="E28" s="19"/>
      <c r="F28" s="31"/>
    </row>
    <row r="29" spans="1:6" ht="17.100000000000001" customHeight="1">
      <c r="A29" s="19" t="s">
        <v>56</v>
      </c>
      <c r="B29" s="19" t="s">
        <v>57</v>
      </c>
      <c r="C29" s="20"/>
      <c r="E29" s="19"/>
      <c r="F29" s="31"/>
    </row>
    <row r="30" spans="1:6" ht="17.100000000000001" customHeight="1">
      <c r="A30" s="19" t="s">
        <v>58</v>
      </c>
      <c r="B30" s="19" t="s">
        <v>59</v>
      </c>
      <c r="C30" s="20"/>
      <c r="E30" s="19"/>
      <c r="F30" s="31"/>
    </row>
    <row r="31" spans="1:6" ht="17.100000000000001" customHeight="1">
      <c r="A31" s="19" t="s">
        <v>60</v>
      </c>
      <c r="B31" s="19" t="s">
        <v>61</v>
      </c>
      <c r="C31" s="20"/>
      <c r="E31" s="19"/>
      <c r="F31" s="31"/>
    </row>
    <row r="32" spans="1:6" ht="17.100000000000001" customHeight="1">
      <c r="A32" s="25" t="s">
        <v>62</v>
      </c>
      <c r="B32" s="19" t="s">
        <v>63</v>
      </c>
      <c r="C32" s="26">
        <v>14434839</v>
      </c>
      <c r="E32" s="25" t="s">
        <v>74</v>
      </c>
      <c r="F32" s="32">
        <f t="shared" ref="F32" si="4">F5+F8</f>
        <v>11400000</v>
      </c>
    </row>
    <row r="33" spans="1:6" ht="17.100000000000001" customHeight="1">
      <c r="A33" s="19" t="s">
        <v>64</v>
      </c>
      <c r="B33" s="19" t="s">
        <v>65</v>
      </c>
      <c r="C33" s="20"/>
      <c r="E33" s="19"/>
      <c r="F33" s="31"/>
    </row>
    <row r="34" spans="1:6" ht="17.100000000000001" customHeight="1">
      <c r="A34" s="19" t="s">
        <v>66</v>
      </c>
      <c r="B34" s="19" t="s">
        <v>67</v>
      </c>
      <c r="C34" s="20"/>
      <c r="E34" s="19"/>
      <c r="F34" s="31"/>
    </row>
    <row r="35" spans="1:6" ht="17.100000000000001" customHeight="1">
      <c r="A35" s="19" t="s">
        <v>68</v>
      </c>
      <c r="B35" s="19" t="s">
        <v>69</v>
      </c>
      <c r="C35" s="20"/>
      <c r="E35" s="19"/>
      <c r="F35" s="31"/>
    </row>
    <row r="36" spans="1:6" s="119" customFormat="1" ht="17.100000000000001" customHeight="1">
      <c r="A36" s="25" t="s">
        <v>70</v>
      </c>
      <c r="B36" s="33"/>
      <c r="C36" s="33"/>
      <c r="D36" s="33"/>
      <c r="E36" s="33"/>
      <c r="F36" s="34">
        <f>SUM(F10:F35)</f>
        <v>36650000</v>
      </c>
    </row>
    <row r="37" spans="1:6" ht="8.25" customHeight="1"/>
    <row r="38" spans="1:6" ht="33.75" customHeight="1">
      <c r="A38" s="147" t="s">
        <v>102</v>
      </c>
      <c r="B38" s="147"/>
      <c r="C38" s="147"/>
      <c r="D38" s="147"/>
      <c r="E38" s="147"/>
      <c r="F38" s="147"/>
    </row>
    <row r="39" spans="1:6">
      <c r="F39" s="120"/>
    </row>
  </sheetData>
  <mergeCells count="1">
    <mergeCell ref="A38:F38"/>
  </mergeCells>
  <pageMargins left="0.45" right="0.45" top="0.75" bottom="0.75" header="0.3" footer="0.3"/>
  <pageSetup scale="90" orientation="landscape" r:id="rId1"/>
  <headerFooter>
    <oddFooter>&amp;L&amp;9&amp;F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B1" zoomScaleNormal="100" workbookViewId="0">
      <selection activeCell="B2" sqref="B2"/>
    </sheetView>
  </sheetViews>
  <sheetFormatPr defaultColWidth="9.140625" defaultRowHeight="12.75"/>
  <cols>
    <col min="1" max="1" width="1.85546875" style="38" hidden="1" customWidth="1"/>
    <col min="2" max="2" width="16.7109375" style="38" customWidth="1"/>
    <col min="3" max="3" width="12.42578125" style="38" customWidth="1"/>
    <col min="4" max="5" width="13.28515625" style="38" customWidth="1"/>
    <col min="6" max="6" width="12.7109375" style="38" bestFit="1" customWidth="1"/>
    <col min="7" max="7" width="14" style="38" bestFit="1" customWidth="1"/>
    <col min="8" max="16384" width="9.140625" style="38"/>
  </cols>
  <sheetData>
    <row r="1" spans="1:7" ht="4.5" customHeight="1">
      <c r="C1" s="39"/>
      <c r="G1" s="41"/>
    </row>
    <row r="2" spans="1:7" ht="15" customHeight="1">
      <c r="B2" s="39" t="s">
        <v>103</v>
      </c>
      <c r="C2" s="39"/>
      <c r="G2" s="41"/>
    </row>
    <row r="3" spans="1:7" s="42" customFormat="1" ht="3.75" customHeight="1">
      <c r="A3" s="42">
        <v>1</v>
      </c>
      <c r="B3" s="43"/>
      <c r="D3" s="43"/>
      <c r="E3" s="43"/>
    </row>
    <row r="4" spans="1:7" s="42" customFormat="1">
      <c r="B4" s="45"/>
      <c r="C4" s="46"/>
      <c r="D4" s="7" t="s">
        <v>6</v>
      </c>
      <c r="E4" s="7" t="s">
        <v>78</v>
      </c>
      <c r="F4" s="47" t="str">
        <f>D4</f>
        <v>FFY 2016</v>
      </c>
      <c r="G4" s="47"/>
    </row>
    <row r="5" spans="1:7" s="42" customFormat="1" ht="15">
      <c r="B5" s="48"/>
      <c r="C5" s="49"/>
      <c r="D5" s="11" t="s">
        <v>9</v>
      </c>
      <c r="E5" s="11" t="s">
        <v>79</v>
      </c>
      <c r="F5" s="11" t="str">
        <f>D5</f>
        <v>Medicaid</v>
      </c>
      <c r="G5" s="83" t="s">
        <v>1</v>
      </c>
    </row>
    <row r="6" spans="1:7" s="42" customFormat="1" ht="15">
      <c r="B6" s="51" t="s">
        <v>7</v>
      </c>
      <c r="C6" s="10" t="s">
        <v>8</v>
      </c>
      <c r="D6" s="11" t="s">
        <v>11</v>
      </c>
      <c r="E6" s="11" t="s">
        <v>80</v>
      </c>
      <c r="F6" s="11" t="str">
        <f>D6</f>
        <v>Inpatient</v>
      </c>
      <c r="G6" s="127">
        <v>45000000</v>
      </c>
    </row>
    <row r="7" spans="1:7" s="42" customFormat="1">
      <c r="B7" s="50"/>
      <c r="C7" s="11"/>
      <c r="D7" s="11" t="s">
        <v>81</v>
      </c>
      <c r="E7" s="11" t="s">
        <v>82</v>
      </c>
      <c r="F7" s="11" t="s">
        <v>81</v>
      </c>
      <c r="G7" s="11" t="s">
        <v>13</v>
      </c>
    </row>
    <row r="8" spans="1:7" s="42" customFormat="1">
      <c r="B8" s="50"/>
      <c r="C8" s="11"/>
      <c r="D8" s="11" t="s">
        <v>80</v>
      </c>
      <c r="E8" s="54">
        <v>70000000</v>
      </c>
      <c r="F8" s="11" t="str">
        <f>D8</f>
        <v>Revenue</v>
      </c>
      <c r="G8" s="11" t="s">
        <v>14</v>
      </c>
    </row>
    <row r="9" spans="1:7" s="42" customFormat="1">
      <c r="B9" s="50"/>
      <c r="C9" s="11"/>
      <c r="D9" s="49"/>
      <c r="E9" s="49"/>
      <c r="F9" s="52" t="s">
        <v>15</v>
      </c>
      <c r="G9" s="55"/>
    </row>
    <row r="10" spans="1:7" s="42" customFormat="1" ht="17.25">
      <c r="A10" s="56" t="s">
        <v>17</v>
      </c>
      <c r="B10" s="19" t="s">
        <v>17</v>
      </c>
      <c r="C10" s="86" t="s">
        <v>18</v>
      </c>
      <c r="D10" s="20">
        <v>13845930</v>
      </c>
      <c r="E10" s="20">
        <f>IF(D10&lt;$E$8,0,D10)</f>
        <v>0</v>
      </c>
      <c r="F10" s="87">
        <f t="shared" ref="F10:F35" si="0">IF(E10=0,0,E10/E$36)</f>
        <v>0</v>
      </c>
      <c r="G10" s="88">
        <f t="shared" ref="G10:G35" si="1">ROUND($F10*G$6,0)</f>
        <v>0</v>
      </c>
    </row>
    <row r="11" spans="1:7" s="42" customFormat="1" ht="17.25">
      <c r="A11" s="56" t="s">
        <v>19</v>
      </c>
      <c r="B11" s="19" t="s">
        <v>19</v>
      </c>
      <c r="C11" s="86" t="s">
        <v>20</v>
      </c>
      <c r="D11" s="20">
        <v>51084429</v>
      </c>
      <c r="E11" s="20">
        <f t="shared" ref="E11:E35" si="2">IF(D11&lt;$E$8,0,D11)</f>
        <v>0</v>
      </c>
      <c r="F11" s="87">
        <f t="shared" si="0"/>
        <v>0</v>
      </c>
      <c r="G11" s="88">
        <f t="shared" si="1"/>
        <v>0</v>
      </c>
    </row>
    <row r="12" spans="1:7" s="42" customFormat="1" ht="17.25">
      <c r="A12" s="56" t="s">
        <v>21</v>
      </c>
      <c r="B12" s="19" t="s">
        <v>21</v>
      </c>
      <c r="C12" s="86" t="s">
        <v>22</v>
      </c>
      <c r="D12" s="20">
        <v>8522358</v>
      </c>
      <c r="E12" s="20">
        <f t="shared" si="2"/>
        <v>0</v>
      </c>
      <c r="F12" s="87">
        <f t="shared" si="0"/>
        <v>0</v>
      </c>
      <c r="G12" s="88">
        <f t="shared" si="1"/>
        <v>0</v>
      </c>
    </row>
    <row r="13" spans="1:7" s="42" customFormat="1" ht="17.25">
      <c r="A13" s="67" t="s">
        <v>83</v>
      </c>
      <c r="B13" s="19" t="s">
        <v>23</v>
      </c>
      <c r="C13" s="86" t="s">
        <v>24</v>
      </c>
      <c r="D13" s="20">
        <v>20705832</v>
      </c>
      <c r="E13" s="20">
        <f t="shared" si="2"/>
        <v>0</v>
      </c>
      <c r="F13" s="87">
        <f t="shared" si="0"/>
        <v>0</v>
      </c>
      <c r="G13" s="88">
        <f t="shared" si="1"/>
        <v>0</v>
      </c>
    </row>
    <row r="14" spans="1:7" s="42" customFormat="1" ht="17.25">
      <c r="A14" s="56" t="s">
        <v>26</v>
      </c>
      <c r="B14" s="19" t="s">
        <v>26</v>
      </c>
      <c r="C14" s="86" t="s">
        <v>27</v>
      </c>
      <c r="D14" s="20">
        <v>5891931</v>
      </c>
      <c r="E14" s="20">
        <f t="shared" si="2"/>
        <v>0</v>
      </c>
      <c r="F14" s="87">
        <f t="shared" si="0"/>
        <v>0</v>
      </c>
      <c r="G14" s="88">
        <f t="shared" si="1"/>
        <v>0</v>
      </c>
    </row>
    <row r="15" spans="1:7" s="42" customFormat="1" ht="17.25">
      <c r="A15" s="56" t="s">
        <v>28</v>
      </c>
      <c r="B15" s="19" t="s">
        <v>28</v>
      </c>
      <c r="C15" s="86" t="s">
        <v>29</v>
      </c>
      <c r="D15" s="20">
        <v>3143611</v>
      </c>
      <c r="E15" s="20">
        <f t="shared" si="2"/>
        <v>0</v>
      </c>
      <c r="F15" s="87">
        <f t="shared" si="0"/>
        <v>0</v>
      </c>
      <c r="G15" s="88">
        <f t="shared" si="1"/>
        <v>0</v>
      </c>
    </row>
    <row r="16" spans="1:7" s="42" customFormat="1" ht="17.25">
      <c r="A16" s="56" t="s">
        <v>30</v>
      </c>
      <c r="B16" s="19" t="s">
        <v>30</v>
      </c>
      <c r="C16" s="86" t="s">
        <v>31</v>
      </c>
      <c r="D16" s="20">
        <v>8415128</v>
      </c>
      <c r="E16" s="20">
        <f t="shared" si="2"/>
        <v>0</v>
      </c>
      <c r="F16" s="87">
        <f t="shared" si="0"/>
        <v>0</v>
      </c>
      <c r="G16" s="88">
        <f t="shared" si="1"/>
        <v>0</v>
      </c>
    </row>
    <row r="17" spans="1:7" s="42" customFormat="1" ht="17.25">
      <c r="A17" s="56" t="s">
        <v>32</v>
      </c>
      <c r="B17" s="19" t="s">
        <v>32</v>
      </c>
      <c r="C17" s="86" t="s">
        <v>33</v>
      </c>
      <c r="D17" s="20">
        <v>74281238</v>
      </c>
      <c r="E17" s="20">
        <f t="shared" si="2"/>
        <v>74281238</v>
      </c>
      <c r="F17" s="87">
        <f>IF(E17=0,0,E17/E$36)</f>
        <v>0.31163931238896697</v>
      </c>
      <c r="G17" s="88">
        <f>ROUND($F17*G$6,0)</f>
        <v>14023769</v>
      </c>
    </row>
    <row r="18" spans="1:7" s="42" customFormat="1" ht="17.25">
      <c r="A18" s="56" t="s">
        <v>84</v>
      </c>
      <c r="B18" s="90" t="s">
        <v>34</v>
      </c>
      <c r="C18" s="91" t="s">
        <v>35</v>
      </c>
      <c r="D18" s="20">
        <v>20767567</v>
      </c>
      <c r="E18" s="20">
        <f t="shared" si="2"/>
        <v>0</v>
      </c>
      <c r="F18" s="87">
        <f t="shared" si="0"/>
        <v>0</v>
      </c>
      <c r="G18" s="88">
        <f t="shared" si="1"/>
        <v>0</v>
      </c>
    </row>
    <row r="19" spans="1:7" s="42" customFormat="1" ht="17.25">
      <c r="A19" s="56" t="s">
        <v>36</v>
      </c>
      <c r="B19" s="19" t="s">
        <v>36</v>
      </c>
      <c r="C19" s="86" t="s">
        <v>37</v>
      </c>
      <c r="D19" s="20">
        <v>5495647</v>
      </c>
      <c r="E19" s="20">
        <f t="shared" si="2"/>
        <v>0</v>
      </c>
      <c r="F19" s="87">
        <f t="shared" si="0"/>
        <v>0</v>
      </c>
      <c r="G19" s="88">
        <f t="shared" si="1"/>
        <v>0</v>
      </c>
    </row>
    <row r="20" spans="1:7" s="42" customFormat="1" ht="17.25">
      <c r="A20" s="56" t="s">
        <v>38</v>
      </c>
      <c r="B20" s="19" t="s">
        <v>38</v>
      </c>
      <c r="C20" s="86" t="s">
        <v>39</v>
      </c>
      <c r="D20" s="20">
        <v>3771267</v>
      </c>
      <c r="E20" s="20">
        <f t="shared" si="2"/>
        <v>0</v>
      </c>
      <c r="F20" s="87">
        <f t="shared" si="0"/>
        <v>0</v>
      </c>
      <c r="G20" s="88">
        <f t="shared" si="1"/>
        <v>0</v>
      </c>
    </row>
    <row r="21" spans="1:7" s="42" customFormat="1" ht="17.25">
      <c r="A21" s="56" t="s">
        <v>85</v>
      </c>
      <c r="B21" s="90" t="s">
        <v>40</v>
      </c>
      <c r="C21" s="91" t="s">
        <v>41</v>
      </c>
      <c r="D21" s="20">
        <v>17445509</v>
      </c>
      <c r="E21" s="20">
        <f t="shared" si="2"/>
        <v>0</v>
      </c>
      <c r="F21" s="87">
        <f t="shared" si="0"/>
        <v>0</v>
      </c>
      <c r="G21" s="88">
        <f t="shared" si="1"/>
        <v>0</v>
      </c>
    </row>
    <row r="22" spans="1:7" s="42" customFormat="1" ht="17.25">
      <c r="A22" s="56" t="s">
        <v>42</v>
      </c>
      <c r="B22" s="19" t="s">
        <v>42</v>
      </c>
      <c r="C22" s="86" t="s">
        <v>43</v>
      </c>
      <c r="D22" s="20">
        <v>12202801</v>
      </c>
      <c r="E22" s="20">
        <f t="shared" si="2"/>
        <v>0</v>
      </c>
      <c r="F22" s="87">
        <f t="shared" si="0"/>
        <v>0</v>
      </c>
      <c r="G22" s="88">
        <f t="shared" si="1"/>
        <v>0</v>
      </c>
    </row>
    <row r="23" spans="1:7" s="42" customFormat="1" ht="17.25">
      <c r="A23" s="56" t="s">
        <v>46</v>
      </c>
      <c r="B23" s="19" t="s">
        <v>46</v>
      </c>
      <c r="C23" s="86" t="s">
        <v>47</v>
      </c>
      <c r="D23" s="20">
        <v>9560997</v>
      </c>
      <c r="E23" s="20">
        <f t="shared" si="2"/>
        <v>0</v>
      </c>
      <c r="F23" s="87">
        <f t="shared" si="0"/>
        <v>0</v>
      </c>
      <c r="G23" s="88">
        <f t="shared" si="1"/>
        <v>0</v>
      </c>
    </row>
    <row r="24" spans="1:7" s="42" customFormat="1" ht="17.25">
      <c r="A24" s="56" t="s">
        <v>44</v>
      </c>
      <c r="B24" s="19" t="s">
        <v>44</v>
      </c>
      <c r="C24" s="86" t="s">
        <v>45</v>
      </c>
      <c r="D24" s="20">
        <v>12981508</v>
      </c>
      <c r="E24" s="20">
        <f t="shared" si="2"/>
        <v>0</v>
      </c>
      <c r="F24" s="87">
        <f t="shared" si="0"/>
        <v>0</v>
      </c>
      <c r="G24" s="88">
        <f t="shared" si="1"/>
        <v>0</v>
      </c>
    </row>
    <row r="25" spans="1:7" s="42" customFormat="1" ht="17.25">
      <c r="A25" s="56" t="s">
        <v>48</v>
      </c>
      <c r="B25" s="19" t="s">
        <v>48</v>
      </c>
      <c r="C25" s="86" t="s">
        <v>49</v>
      </c>
      <c r="D25" s="20">
        <v>1350019</v>
      </c>
      <c r="E25" s="20">
        <f t="shared" si="2"/>
        <v>0</v>
      </c>
      <c r="F25" s="87">
        <f t="shared" si="0"/>
        <v>0</v>
      </c>
      <c r="G25" s="88">
        <f t="shared" si="1"/>
        <v>0</v>
      </c>
    </row>
    <row r="26" spans="1:7" s="42" customFormat="1" ht="17.25">
      <c r="A26" s="56" t="s">
        <v>50</v>
      </c>
      <c r="B26" s="19" t="s">
        <v>50</v>
      </c>
      <c r="C26" s="86" t="s">
        <v>51</v>
      </c>
      <c r="D26" s="20">
        <v>20010413</v>
      </c>
      <c r="E26" s="20">
        <f t="shared" si="2"/>
        <v>0</v>
      </c>
      <c r="F26" s="87">
        <f t="shared" si="0"/>
        <v>0</v>
      </c>
      <c r="G26" s="88">
        <f t="shared" si="1"/>
        <v>0</v>
      </c>
    </row>
    <row r="27" spans="1:7" s="42" customFormat="1" ht="17.25">
      <c r="A27" s="56" t="s">
        <v>52</v>
      </c>
      <c r="B27" s="19" t="s">
        <v>52</v>
      </c>
      <c r="C27" s="86" t="s">
        <v>53</v>
      </c>
      <c r="D27" s="20">
        <v>1950318</v>
      </c>
      <c r="E27" s="20">
        <f t="shared" si="2"/>
        <v>0</v>
      </c>
      <c r="F27" s="87">
        <f t="shared" si="0"/>
        <v>0</v>
      </c>
      <c r="G27" s="88">
        <f t="shared" si="1"/>
        <v>0</v>
      </c>
    </row>
    <row r="28" spans="1:7" s="42" customFormat="1" ht="17.25">
      <c r="A28" s="56" t="s">
        <v>56</v>
      </c>
      <c r="B28" s="19" t="s">
        <v>56</v>
      </c>
      <c r="C28" s="86" t="s">
        <v>57</v>
      </c>
      <c r="D28" s="20">
        <v>54544225</v>
      </c>
      <c r="E28" s="20">
        <f t="shared" si="2"/>
        <v>0</v>
      </c>
      <c r="F28" s="87">
        <f t="shared" si="0"/>
        <v>0</v>
      </c>
      <c r="G28" s="88">
        <f t="shared" si="1"/>
        <v>0</v>
      </c>
    </row>
    <row r="29" spans="1:7" s="42" customFormat="1" ht="17.25">
      <c r="A29" s="56" t="s">
        <v>58</v>
      </c>
      <c r="B29" s="19" t="s">
        <v>58</v>
      </c>
      <c r="C29" s="86" t="s">
        <v>59</v>
      </c>
      <c r="D29" s="20">
        <v>21746068</v>
      </c>
      <c r="E29" s="20">
        <f t="shared" si="2"/>
        <v>0</v>
      </c>
      <c r="F29" s="87">
        <f t="shared" si="0"/>
        <v>0</v>
      </c>
      <c r="G29" s="88">
        <f t="shared" si="1"/>
        <v>0</v>
      </c>
    </row>
    <row r="30" spans="1:7" s="42" customFormat="1" ht="17.25">
      <c r="A30" s="56" t="s">
        <v>60</v>
      </c>
      <c r="B30" s="19" t="s">
        <v>60</v>
      </c>
      <c r="C30" s="86" t="s">
        <v>61</v>
      </c>
      <c r="D30" s="20">
        <v>37313514</v>
      </c>
      <c r="E30" s="20">
        <f t="shared" si="2"/>
        <v>0</v>
      </c>
      <c r="F30" s="87">
        <f t="shared" si="0"/>
        <v>0</v>
      </c>
      <c r="G30" s="88">
        <f t="shared" si="1"/>
        <v>0</v>
      </c>
    </row>
    <row r="31" spans="1:7" s="42" customFormat="1" ht="17.25">
      <c r="A31" s="56" t="s">
        <v>54</v>
      </c>
      <c r="B31" s="19" t="s">
        <v>54</v>
      </c>
      <c r="C31" s="86" t="s">
        <v>55</v>
      </c>
      <c r="D31" s="20">
        <v>1057016</v>
      </c>
      <c r="E31" s="20">
        <f t="shared" si="2"/>
        <v>0</v>
      </c>
      <c r="F31" s="87">
        <f t="shared" si="0"/>
        <v>0</v>
      </c>
      <c r="G31" s="88">
        <f t="shared" si="1"/>
        <v>0</v>
      </c>
    </row>
    <row r="32" spans="1:7" s="42" customFormat="1" ht="17.25">
      <c r="A32" s="56" t="s">
        <v>62</v>
      </c>
      <c r="B32" s="19" t="s">
        <v>62</v>
      </c>
      <c r="C32" s="86" t="s">
        <v>63</v>
      </c>
      <c r="D32" s="20">
        <v>14434839</v>
      </c>
      <c r="E32" s="20">
        <f t="shared" si="2"/>
        <v>0</v>
      </c>
      <c r="F32" s="87">
        <f t="shared" si="0"/>
        <v>0</v>
      </c>
      <c r="G32" s="88">
        <f t="shared" si="1"/>
        <v>0</v>
      </c>
    </row>
    <row r="33" spans="1:7" s="42" customFormat="1" ht="17.25">
      <c r="A33" s="56" t="s">
        <v>64</v>
      </c>
      <c r="B33" s="19" t="s">
        <v>64</v>
      </c>
      <c r="C33" s="86" t="s">
        <v>65</v>
      </c>
      <c r="D33" s="20">
        <v>20681987</v>
      </c>
      <c r="E33" s="20">
        <f t="shared" si="2"/>
        <v>0</v>
      </c>
      <c r="F33" s="87">
        <f t="shared" si="0"/>
        <v>0</v>
      </c>
      <c r="G33" s="88">
        <f t="shared" si="1"/>
        <v>0</v>
      </c>
    </row>
    <row r="34" spans="1:7" s="42" customFormat="1" ht="17.25">
      <c r="A34" s="56" t="s">
        <v>66</v>
      </c>
      <c r="B34" s="19" t="s">
        <v>66</v>
      </c>
      <c r="C34" s="86" t="s">
        <v>67</v>
      </c>
      <c r="D34" s="20">
        <v>2212190</v>
      </c>
      <c r="E34" s="20">
        <f t="shared" si="2"/>
        <v>0</v>
      </c>
      <c r="F34" s="87">
        <f t="shared" si="0"/>
        <v>0</v>
      </c>
      <c r="G34" s="88">
        <f t="shared" si="1"/>
        <v>0</v>
      </c>
    </row>
    <row r="35" spans="1:7" s="42" customFormat="1" ht="17.25">
      <c r="A35" s="56" t="s">
        <v>68</v>
      </c>
      <c r="B35" s="90" t="s">
        <v>68</v>
      </c>
      <c r="C35" s="91" t="s">
        <v>69</v>
      </c>
      <c r="D35" s="20">
        <v>164075205</v>
      </c>
      <c r="E35" s="20">
        <f t="shared" si="2"/>
        <v>164075205</v>
      </c>
      <c r="F35" s="89">
        <f t="shared" si="0"/>
        <v>0.68836068761103297</v>
      </c>
      <c r="G35" s="88">
        <f t="shared" si="1"/>
        <v>30976231</v>
      </c>
    </row>
    <row r="36" spans="1:7" s="73" customFormat="1" ht="15" customHeight="1">
      <c r="A36" s="73" t="s">
        <v>70</v>
      </c>
      <c r="B36" s="74" t="s">
        <v>70</v>
      </c>
      <c r="C36" s="75"/>
      <c r="D36" s="76">
        <f t="shared" ref="D36:G36" si="3">SUM(D10:D35)</f>
        <v>607491547</v>
      </c>
      <c r="E36" s="77">
        <f t="shared" si="3"/>
        <v>238356443</v>
      </c>
      <c r="F36" s="82">
        <f t="shared" si="3"/>
        <v>1</v>
      </c>
      <c r="G36" s="77">
        <f t="shared" si="3"/>
        <v>45000000</v>
      </c>
    </row>
    <row r="37" spans="1:7" s="42" customFormat="1">
      <c r="D37" s="79"/>
      <c r="E37" s="79"/>
      <c r="G37" s="80"/>
    </row>
    <row r="38" spans="1:7" s="42" customFormat="1"/>
    <row r="39" spans="1:7" s="42" customFormat="1"/>
    <row r="40" spans="1:7" s="42" customFormat="1"/>
    <row r="41" spans="1:7" s="42" customFormat="1"/>
    <row r="42" spans="1:7" s="42" customFormat="1"/>
    <row r="43" spans="1:7" s="42" customFormat="1"/>
    <row r="44" spans="1:7" s="42" customFormat="1"/>
    <row r="45" spans="1:7" s="42" customFormat="1"/>
    <row r="46" spans="1:7" s="42" customFormat="1"/>
    <row r="47" spans="1:7" s="42" customFormat="1"/>
    <row r="48" spans="1:7" s="42" customFormat="1"/>
    <row r="49" s="42" customFormat="1"/>
    <row r="50" s="42" customFormat="1"/>
    <row r="51" s="42" customFormat="1"/>
    <row r="52" s="42" customFormat="1"/>
    <row r="53" s="42" customFormat="1"/>
  </sheetData>
  <pageMargins left="0.5" right="0.5" top="0.75" bottom="0.75" header="0.3" footer="0.3"/>
  <pageSetup scale="91" orientation="landscape" r:id="rId1"/>
  <headerFooter>
    <oddFooter>&amp;L&amp;8&amp;Z&amp;F   &amp;A</oddFooter>
  </headerFooter>
  <rowBreaks count="1" manualBreakCount="1">
    <brk id="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workbookViewId="0">
      <selection activeCell="A2" sqref="A2"/>
    </sheetView>
  </sheetViews>
  <sheetFormatPr defaultRowHeight="15"/>
  <cols>
    <col min="1" max="1" width="14.85546875" bestFit="1" customWidth="1"/>
    <col min="2" max="2" width="12.85546875" bestFit="1" customWidth="1"/>
    <col min="3" max="3" width="9.85546875" bestFit="1" customWidth="1"/>
    <col min="4" max="4" width="15.28515625" bestFit="1" customWidth="1"/>
  </cols>
  <sheetData>
    <row r="1" spans="1:4" ht="9.75" customHeight="1"/>
    <row r="2" spans="1:4">
      <c r="A2" s="28" t="s">
        <v>145</v>
      </c>
    </row>
    <row r="4" spans="1:4">
      <c r="A4" s="106"/>
      <c r="B4" s="85">
        <v>2016</v>
      </c>
      <c r="C4" s="106"/>
      <c r="D4" s="106"/>
    </row>
    <row r="5" spans="1:4">
      <c r="A5" s="107"/>
      <c r="B5" s="109" t="s">
        <v>76</v>
      </c>
      <c r="C5" s="109"/>
      <c r="D5" s="83" t="s">
        <v>1</v>
      </c>
    </row>
    <row r="6" spans="1:4">
      <c r="A6" s="107"/>
      <c r="B6" s="109" t="s">
        <v>0</v>
      </c>
      <c r="C6" s="109"/>
      <c r="D6" s="111" t="s">
        <v>0</v>
      </c>
    </row>
    <row r="7" spans="1:4">
      <c r="A7" s="107"/>
      <c r="B7" s="109" t="s">
        <v>9</v>
      </c>
      <c r="C7" s="109" t="s">
        <v>15</v>
      </c>
      <c r="D7" s="111" t="s">
        <v>13</v>
      </c>
    </row>
    <row r="8" spans="1:4">
      <c r="A8" s="108"/>
      <c r="B8" s="110" t="s">
        <v>77</v>
      </c>
      <c r="C8" s="110"/>
      <c r="D8" s="112">
        <v>100000000</v>
      </c>
    </row>
    <row r="9" spans="1:4" ht="17.100000000000001" customHeight="1">
      <c r="A9" s="31" t="s">
        <v>17</v>
      </c>
      <c r="B9" s="92">
        <v>23912127</v>
      </c>
      <c r="C9" s="93">
        <f>B9/$B$35</f>
        <v>3.829449719629862E-2</v>
      </c>
      <c r="D9" s="97">
        <f>ROUND(+D$8*$C9,0)</f>
        <v>3829450</v>
      </c>
    </row>
    <row r="10" spans="1:4" ht="17.100000000000001" customHeight="1">
      <c r="A10" s="31" t="s">
        <v>19</v>
      </c>
      <c r="B10" s="92">
        <v>48056138</v>
      </c>
      <c r="C10" s="93">
        <f t="shared" ref="C10:C34" si="0">B10/$B$35</f>
        <v>7.6960349110973672E-2</v>
      </c>
      <c r="D10" s="97">
        <f t="shared" ref="D10:D33" si="1">ROUND(+D$8*$C10,0)</f>
        <v>7696035</v>
      </c>
    </row>
    <row r="11" spans="1:4" ht="17.100000000000001" customHeight="1">
      <c r="A11" s="31" t="s">
        <v>21</v>
      </c>
      <c r="B11" s="92">
        <v>13913687</v>
      </c>
      <c r="C11" s="93">
        <f t="shared" si="0"/>
        <v>2.2282319252138322E-2</v>
      </c>
      <c r="D11" s="97">
        <f t="shared" si="1"/>
        <v>2228232</v>
      </c>
    </row>
    <row r="12" spans="1:4" ht="17.100000000000001" customHeight="1">
      <c r="A12" s="31" t="s">
        <v>23</v>
      </c>
      <c r="B12" s="92">
        <v>27142086</v>
      </c>
      <c r="C12" s="93">
        <f t="shared" si="0"/>
        <v>4.3467171959595902E-2</v>
      </c>
      <c r="D12" s="97">
        <f t="shared" si="1"/>
        <v>4346717</v>
      </c>
    </row>
    <row r="13" spans="1:4" ht="17.100000000000001" customHeight="1">
      <c r="A13" s="31" t="s">
        <v>26</v>
      </c>
      <c r="B13" s="92">
        <v>11071714</v>
      </c>
      <c r="C13" s="93">
        <f t="shared" si="0"/>
        <v>1.7730991506160042E-2</v>
      </c>
      <c r="D13" s="97">
        <f t="shared" si="1"/>
        <v>1773099</v>
      </c>
    </row>
    <row r="14" spans="1:4" ht="17.100000000000001" customHeight="1">
      <c r="A14" s="31" t="s">
        <v>28</v>
      </c>
      <c r="B14" s="92">
        <v>5624228</v>
      </c>
      <c r="C14" s="93">
        <f t="shared" si="0"/>
        <v>9.0070190484244327E-3</v>
      </c>
      <c r="D14" s="97">
        <f t="shared" si="1"/>
        <v>900702</v>
      </c>
    </row>
    <row r="15" spans="1:4" ht="17.100000000000001" customHeight="1">
      <c r="A15" s="31" t="s">
        <v>30</v>
      </c>
      <c r="B15" s="92">
        <v>13540753</v>
      </c>
      <c r="C15" s="93">
        <f t="shared" si="0"/>
        <v>2.1685077525486218E-2</v>
      </c>
      <c r="D15" s="97">
        <f t="shared" si="1"/>
        <v>2168508</v>
      </c>
    </row>
    <row r="16" spans="1:4" ht="17.100000000000001" customHeight="1">
      <c r="A16" s="31" t="s">
        <v>32</v>
      </c>
      <c r="B16" s="92">
        <v>60175639</v>
      </c>
      <c r="C16" s="93">
        <f t="shared" si="0"/>
        <v>9.6369337573816743E-2</v>
      </c>
      <c r="D16" s="97">
        <f t="shared" si="1"/>
        <v>9636934</v>
      </c>
    </row>
    <row r="17" spans="1:4" ht="17.100000000000001" customHeight="1">
      <c r="A17" s="31" t="s">
        <v>34</v>
      </c>
      <c r="B17" s="92">
        <v>36648952</v>
      </c>
      <c r="C17" s="93">
        <f t="shared" si="0"/>
        <v>5.8692110058268035E-2</v>
      </c>
      <c r="D17" s="97">
        <f t="shared" si="1"/>
        <v>5869211</v>
      </c>
    </row>
    <row r="18" spans="1:4" ht="17.100000000000001" customHeight="1">
      <c r="A18" s="31" t="s">
        <v>36</v>
      </c>
      <c r="B18" s="92">
        <v>10594387</v>
      </c>
      <c r="C18" s="93">
        <f t="shared" si="0"/>
        <v>1.6966567769901963E-2</v>
      </c>
      <c r="D18" s="97">
        <f t="shared" si="1"/>
        <v>1696657</v>
      </c>
    </row>
    <row r="19" spans="1:4" ht="17.100000000000001" customHeight="1">
      <c r="A19" s="31" t="s">
        <v>38</v>
      </c>
      <c r="B19" s="92">
        <v>3399841</v>
      </c>
      <c r="C19" s="93">
        <f t="shared" si="0"/>
        <v>5.4447352860898194E-3</v>
      </c>
      <c r="D19" s="97">
        <f t="shared" si="1"/>
        <v>544474</v>
      </c>
    </row>
    <row r="20" spans="1:4" ht="17.100000000000001" customHeight="1">
      <c r="A20" s="31" t="s">
        <v>40</v>
      </c>
      <c r="B20" s="92">
        <v>21600284</v>
      </c>
      <c r="C20" s="93">
        <f t="shared" si="0"/>
        <v>3.4592155481494975E-2</v>
      </c>
      <c r="D20" s="97">
        <f t="shared" si="1"/>
        <v>3459216</v>
      </c>
    </row>
    <row r="21" spans="1:4" ht="17.100000000000001" customHeight="1">
      <c r="A21" s="31" t="s">
        <v>42</v>
      </c>
      <c r="B21" s="92">
        <v>18481746</v>
      </c>
      <c r="C21" s="93">
        <f t="shared" si="0"/>
        <v>2.9597917842260676E-2</v>
      </c>
      <c r="D21" s="97">
        <f t="shared" si="1"/>
        <v>2959792</v>
      </c>
    </row>
    <row r="22" spans="1:4" ht="17.100000000000001" customHeight="1">
      <c r="A22" s="31" t="s">
        <v>46</v>
      </c>
      <c r="B22" s="92">
        <v>15674732</v>
      </c>
      <c r="C22" s="93">
        <f t="shared" si="0"/>
        <v>2.5102575802927622E-2</v>
      </c>
      <c r="D22" s="97">
        <f t="shared" si="1"/>
        <v>2510258</v>
      </c>
    </row>
    <row r="23" spans="1:4" ht="17.100000000000001" customHeight="1">
      <c r="A23" s="31" t="s">
        <v>44</v>
      </c>
      <c r="B23" s="92">
        <v>21148262</v>
      </c>
      <c r="C23" s="93">
        <f t="shared" si="0"/>
        <v>3.3868256883446156E-2</v>
      </c>
      <c r="D23" s="97">
        <f t="shared" si="1"/>
        <v>3386826</v>
      </c>
    </row>
    <row r="24" spans="1:4" ht="17.100000000000001" customHeight="1">
      <c r="A24" s="31" t="s">
        <v>48</v>
      </c>
      <c r="B24" s="92">
        <v>4285321</v>
      </c>
      <c r="C24" s="93">
        <f t="shared" si="0"/>
        <v>6.8628028372273034E-3</v>
      </c>
      <c r="D24" s="97">
        <f t="shared" si="1"/>
        <v>686280</v>
      </c>
    </row>
    <row r="25" spans="1:4" ht="17.100000000000001" customHeight="1">
      <c r="A25" s="31" t="s">
        <v>50</v>
      </c>
      <c r="B25" s="92">
        <v>21845649</v>
      </c>
      <c r="C25" s="93">
        <f t="shared" si="0"/>
        <v>3.4985099584901994E-2</v>
      </c>
      <c r="D25" s="97">
        <f t="shared" si="1"/>
        <v>3498510</v>
      </c>
    </row>
    <row r="26" spans="1:4" ht="17.100000000000001" customHeight="1">
      <c r="A26" s="31" t="s">
        <v>52</v>
      </c>
      <c r="B26" s="92">
        <v>5945222</v>
      </c>
      <c r="C26" s="93">
        <f t="shared" si="0"/>
        <v>9.5210805467189456E-3</v>
      </c>
      <c r="D26" s="97">
        <f t="shared" si="1"/>
        <v>952108</v>
      </c>
    </row>
    <row r="27" spans="1:4" ht="17.100000000000001" customHeight="1">
      <c r="A27" s="31" t="s">
        <v>56</v>
      </c>
      <c r="B27" s="92">
        <v>39371301</v>
      </c>
      <c r="C27" s="93">
        <f t="shared" si="0"/>
        <v>6.3051863841268874E-2</v>
      </c>
      <c r="D27" s="97">
        <f t="shared" si="1"/>
        <v>6305186</v>
      </c>
    </row>
    <row r="28" spans="1:4" ht="17.100000000000001" customHeight="1">
      <c r="A28" s="31" t="s">
        <v>58</v>
      </c>
      <c r="B28" s="92">
        <v>29484033</v>
      </c>
      <c r="C28" s="93">
        <f t="shared" si="0"/>
        <v>4.7217724255733333E-2</v>
      </c>
      <c r="D28" s="97">
        <f t="shared" si="1"/>
        <v>4721772</v>
      </c>
    </row>
    <row r="29" spans="1:4" ht="17.100000000000001" customHeight="1">
      <c r="A29" s="31" t="s">
        <v>60</v>
      </c>
      <c r="B29" s="92">
        <v>37041345</v>
      </c>
      <c r="C29" s="93">
        <f t="shared" si="0"/>
        <v>5.9320514743403212E-2</v>
      </c>
      <c r="D29" s="97">
        <f t="shared" si="1"/>
        <v>5932051</v>
      </c>
    </row>
    <row r="30" spans="1:4" ht="17.100000000000001" customHeight="1">
      <c r="A30" s="31" t="s">
        <v>54</v>
      </c>
      <c r="B30" s="92">
        <v>1466344</v>
      </c>
      <c r="C30" s="93">
        <f t="shared" si="0"/>
        <v>2.3483024407159308E-3</v>
      </c>
      <c r="D30" s="97">
        <f t="shared" si="1"/>
        <v>234830</v>
      </c>
    </row>
    <row r="31" spans="1:4" ht="17.100000000000001" customHeight="1">
      <c r="A31" s="31" t="s">
        <v>62</v>
      </c>
      <c r="B31" s="92">
        <v>24884107</v>
      </c>
      <c r="C31" s="93">
        <f t="shared" si="0"/>
        <v>3.9851091696857202E-2</v>
      </c>
      <c r="D31" s="97">
        <f t="shared" si="1"/>
        <v>3985109</v>
      </c>
    </row>
    <row r="32" spans="1:4" ht="17.100000000000001" customHeight="1">
      <c r="A32" s="31" t="s">
        <v>64</v>
      </c>
      <c r="B32" s="92">
        <v>18907742</v>
      </c>
      <c r="C32" s="93">
        <f t="shared" si="0"/>
        <v>3.028013664394379E-2</v>
      </c>
      <c r="D32" s="97">
        <f t="shared" si="1"/>
        <v>3028014</v>
      </c>
    </row>
    <row r="33" spans="1:4" ht="17.100000000000001" customHeight="1">
      <c r="A33" s="31" t="s">
        <v>66</v>
      </c>
      <c r="B33" s="92">
        <v>8025624</v>
      </c>
      <c r="C33" s="93">
        <f t="shared" si="0"/>
        <v>1.2852776993303311E-2</v>
      </c>
      <c r="D33" s="97">
        <f t="shared" si="1"/>
        <v>1285278</v>
      </c>
    </row>
    <row r="34" spans="1:4" ht="17.100000000000001" customHeight="1">
      <c r="A34" s="31" t="s">
        <v>68</v>
      </c>
      <c r="B34" s="92">
        <v>102185971</v>
      </c>
      <c r="C34" s="93">
        <f t="shared" si="0"/>
        <v>0.16364752411864289</v>
      </c>
      <c r="D34" s="97">
        <f>ROUND(+D$8*$C34,0)-1</f>
        <v>16364751</v>
      </c>
    </row>
    <row r="35" spans="1:4" ht="17.100000000000001" customHeight="1">
      <c r="A35" s="95" t="s">
        <v>70</v>
      </c>
      <c r="B35" s="92">
        <f t="shared" ref="B35:C35" si="2">SUM(B9:B34)</f>
        <v>624427235</v>
      </c>
      <c r="C35" s="94">
        <f t="shared" si="2"/>
        <v>1</v>
      </c>
      <c r="D35" s="34">
        <f t="shared" ref="D35" si="3">SUM(D9:D34)</f>
        <v>100000000</v>
      </c>
    </row>
  </sheetData>
  <pageMargins left="0.7" right="0.7" top="0.75" bottom="0.75" header="0.3" footer="0.3"/>
  <pageSetup scale="90" orientation="landscape" r:id="rId1"/>
  <headerFooter>
    <oddFooter>&amp;L&amp;9&amp;F 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C15" sqref="C15"/>
    </sheetView>
  </sheetViews>
  <sheetFormatPr defaultRowHeight="15"/>
  <cols>
    <col min="1" max="1" width="19.42578125" style="118" customWidth="1"/>
    <col min="2" max="2" width="15.7109375" style="118" hidden="1" customWidth="1"/>
    <col min="3" max="3" width="15.7109375" style="118" customWidth="1"/>
    <col min="4" max="4" width="7.28515625" style="118" customWidth="1"/>
    <col min="5" max="5" width="21.85546875" style="118" customWidth="1"/>
    <col min="6" max="6" width="16.5703125" style="118" bestFit="1" customWidth="1"/>
    <col min="7" max="16384" width="9.140625" style="118"/>
  </cols>
  <sheetData>
    <row r="1" spans="1:6" ht="5.25" customHeight="1"/>
    <row r="2" spans="1:6">
      <c r="A2" s="119" t="s">
        <v>104</v>
      </c>
      <c r="E2" s="35" t="s">
        <v>112</v>
      </c>
      <c r="F2" s="36" t="s">
        <v>1</v>
      </c>
    </row>
    <row r="3" spans="1:6">
      <c r="A3" s="119" t="s">
        <v>105</v>
      </c>
      <c r="E3" s="31" t="s">
        <v>106</v>
      </c>
      <c r="F3" s="97">
        <f>5500000/2</f>
        <v>2750000</v>
      </c>
    </row>
    <row r="4" spans="1:6">
      <c r="E4" s="31" t="s">
        <v>107</v>
      </c>
      <c r="F4" s="97">
        <f>11000000/2</f>
        <v>5500000</v>
      </c>
    </row>
    <row r="5" spans="1:6">
      <c r="A5" s="5"/>
      <c r="B5" s="6"/>
      <c r="C5" s="7" t="s">
        <v>6</v>
      </c>
      <c r="E5" s="31" t="s">
        <v>108</v>
      </c>
      <c r="F5" s="97">
        <f>16500000/2</f>
        <v>8250000</v>
      </c>
    </row>
    <row r="6" spans="1:6">
      <c r="A6" s="9" t="s">
        <v>7</v>
      </c>
      <c r="B6" s="10" t="s">
        <v>8</v>
      </c>
      <c r="C6" s="11" t="s">
        <v>9</v>
      </c>
      <c r="E6" s="37" t="s">
        <v>75</v>
      </c>
      <c r="F6" s="30"/>
    </row>
    <row r="7" spans="1:6">
      <c r="A7" s="9"/>
      <c r="B7" s="10"/>
      <c r="C7" s="11" t="s">
        <v>0</v>
      </c>
      <c r="E7" s="31" t="s">
        <v>109</v>
      </c>
      <c r="F7" s="97">
        <f>1000000/2</f>
        <v>500000</v>
      </c>
    </row>
    <row r="8" spans="1:6">
      <c r="A8" s="13"/>
      <c r="B8" s="14"/>
      <c r="C8" s="15" t="s">
        <v>14</v>
      </c>
      <c r="E8" s="31" t="s">
        <v>110</v>
      </c>
      <c r="F8" s="97">
        <f>6300000/2</f>
        <v>3150000</v>
      </c>
    </row>
    <row r="9" spans="1:6" ht="6.75" customHeight="1">
      <c r="D9" s="2"/>
    </row>
    <row r="10" spans="1:6" ht="17.100000000000001" customHeight="1">
      <c r="A10" s="19" t="s">
        <v>17</v>
      </c>
      <c r="B10" s="19"/>
      <c r="C10" s="20"/>
      <c r="E10" s="19"/>
      <c r="F10" s="31"/>
    </row>
    <row r="11" spans="1:6" ht="17.100000000000001" customHeight="1">
      <c r="A11" s="19" t="s">
        <v>19</v>
      </c>
      <c r="B11" s="19"/>
      <c r="C11" s="20"/>
      <c r="E11" s="19"/>
      <c r="F11" s="31"/>
    </row>
    <row r="12" spans="1:6" ht="17.100000000000001" customHeight="1">
      <c r="A12" s="19" t="s">
        <v>21</v>
      </c>
      <c r="B12" s="19"/>
      <c r="C12" s="20"/>
      <c r="E12" s="19"/>
      <c r="F12" s="31"/>
    </row>
    <row r="13" spans="1:6" ht="17.100000000000001" customHeight="1">
      <c r="A13" s="25" t="s">
        <v>23</v>
      </c>
      <c r="B13" s="19"/>
      <c r="C13" s="26">
        <v>27142086</v>
      </c>
      <c r="E13" s="25" t="s">
        <v>25</v>
      </c>
      <c r="F13" s="32">
        <f t="shared" ref="F13" si="0">F5</f>
        <v>8250000</v>
      </c>
    </row>
    <row r="14" spans="1:6" ht="17.100000000000001" customHeight="1">
      <c r="A14" s="19" t="s">
        <v>26</v>
      </c>
      <c r="B14" s="19"/>
      <c r="C14" s="20"/>
      <c r="E14" s="19"/>
      <c r="F14" s="31"/>
    </row>
    <row r="15" spans="1:6" ht="17.100000000000001" customHeight="1">
      <c r="A15" s="25" t="s">
        <v>28</v>
      </c>
      <c r="B15" s="19"/>
      <c r="C15" s="26">
        <v>5624228</v>
      </c>
      <c r="E15" s="25" t="s">
        <v>25</v>
      </c>
      <c r="F15" s="32">
        <f t="shared" ref="F15" si="1">F3</f>
        <v>2750000</v>
      </c>
    </row>
    <row r="16" spans="1:6" ht="17.100000000000001" customHeight="1">
      <c r="A16" s="19" t="s">
        <v>30</v>
      </c>
      <c r="B16" s="19"/>
      <c r="C16" s="20"/>
      <c r="E16" s="19"/>
      <c r="F16" s="31"/>
    </row>
    <row r="17" spans="1:6" ht="17.100000000000001" customHeight="1">
      <c r="A17" s="19" t="s">
        <v>32</v>
      </c>
      <c r="B17" s="19"/>
      <c r="C17" s="20"/>
      <c r="E17" s="19"/>
      <c r="F17" s="31"/>
    </row>
    <row r="18" spans="1:6" ht="17.100000000000001" customHeight="1">
      <c r="A18" s="19" t="s">
        <v>34</v>
      </c>
      <c r="B18" s="19"/>
      <c r="C18" s="20"/>
      <c r="E18" s="19"/>
      <c r="F18" s="31"/>
    </row>
    <row r="19" spans="1:6" ht="17.100000000000001" customHeight="1">
      <c r="A19" s="19" t="s">
        <v>36</v>
      </c>
      <c r="B19" s="19"/>
      <c r="C19" s="20"/>
      <c r="E19" s="19"/>
      <c r="F19" s="31"/>
    </row>
    <row r="20" spans="1:6" ht="17.100000000000001" customHeight="1">
      <c r="A20" s="19" t="s">
        <v>38</v>
      </c>
      <c r="B20" s="19"/>
      <c r="C20" s="20"/>
      <c r="E20" s="19"/>
      <c r="F20" s="31"/>
    </row>
    <row r="21" spans="1:6" ht="17.100000000000001" customHeight="1">
      <c r="A21" s="19" t="s">
        <v>40</v>
      </c>
      <c r="B21" s="19"/>
      <c r="C21" s="20"/>
      <c r="E21" s="19"/>
      <c r="F21" s="31"/>
    </row>
    <row r="22" spans="1:6" ht="17.100000000000001" customHeight="1">
      <c r="A22" s="19" t="s">
        <v>42</v>
      </c>
      <c r="B22" s="19"/>
      <c r="C22" s="20"/>
      <c r="E22" s="19"/>
      <c r="F22" s="31"/>
    </row>
    <row r="23" spans="1:6" ht="17.100000000000001" customHeight="1">
      <c r="A23" s="25" t="s">
        <v>44</v>
      </c>
      <c r="B23" s="19"/>
      <c r="C23" s="26">
        <v>21148262</v>
      </c>
      <c r="E23" s="25" t="s">
        <v>74</v>
      </c>
      <c r="F23" s="32">
        <f t="shared" ref="F23" si="2">F4+F7</f>
        <v>6000000</v>
      </c>
    </row>
    <row r="24" spans="1:6" ht="17.100000000000001" customHeight="1">
      <c r="A24" s="19" t="s">
        <v>46</v>
      </c>
      <c r="B24" s="19"/>
      <c r="C24" s="20"/>
      <c r="E24" s="19"/>
      <c r="F24" s="31"/>
    </row>
    <row r="25" spans="1:6" ht="17.100000000000001" customHeight="1">
      <c r="A25" s="19" t="s">
        <v>48</v>
      </c>
      <c r="B25" s="19"/>
      <c r="C25" s="20"/>
      <c r="E25" s="19"/>
      <c r="F25" s="31"/>
    </row>
    <row r="26" spans="1:6" ht="17.100000000000001" customHeight="1">
      <c r="A26" s="25" t="s">
        <v>50</v>
      </c>
      <c r="B26" s="19"/>
      <c r="C26" s="26">
        <v>21845649</v>
      </c>
      <c r="E26" s="25" t="s">
        <v>25</v>
      </c>
      <c r="F26" s="32">
        <f t="shared" ref="F26" si="3">F5</f>
        <v>8250000</v>
      </c>
    </row>
    <row r="27" spans="1:6" ht="17.100000000000001" customHeight="1">
      <c r="A27" s="19" t="s">
        <v>52</v>
      </c>
      <c r="B27" s="19"/>
      <c r="C27" s="20"/>
      <c r="E27" s="19"/>
      <c r="F27" s="31"/>
    </row>
    <row r="28" spans="1:6" ht="17.100000000000001" customHeight="1">
      <c r="A28" s="19" t="s">
        <v>54</v>
      </c>
      <c r="B28" s="19"/>
      <c r="C28" s="20"/>
      <c r="E28" s="19"/>
      <c r="F28" s="31"/>
    </row>
    <row r="29" spans="1:6" ht="17.100000000000001" customHeight="1">
      <c r="A29" s="19" t="s">
        <v>56</v>
      </c>
      <c r="B29" s="19"/>
      <c r="C29" s="20"/>
      <c r="E29" s="19"/>
      <c r="F29" s="31"/>
    </row>
    <row r="30" spans="1:6" ht="17.100000000000001" customHeight="1">
      <c r="A30" s="19" t="s">
        <v>58</v>
      </c>
      <c r="B30" s="19"/>
      <c r="C30" s="20"/>
      <c r="E30" s="19"/>
      <c r="F30" s="31"/>
    </row>
    <row r="31" spans="1:6" ht="17.100000000000001" customHeight="1">
      <c r="A31" s="19" t="s">
        <v>60</v>
      </c>
      <c r="B31" s="19"/>
      <c r="C31" s="20"/>
      <c r="E31" s="19"/>
      <c r="F31" s="31"/>
    </row>
    <row r="32" spans="1:6" ht="17.100000000000001" customHeight="1">
      <c r="A32" s="25" t="s">
        <v>62</v>
      </c>
      <c r="B32" s="19"/>
      <c r="C32" s="26">
        <v>24884107</v>
      </c>
      <c r="E32" s="25" t="s">
        <v>74</v>
      </c>
      <c r="F32" s="32">
        <f t="shared" ref="F32" si="4">F5+F8</f>
        <v>11400000</v>
      </c>
    </row>
    <row r="33" spans="1:6" ht="17.100000000000001" customHeight="1">
      <c r="A33" s="19" t="s">
        <v>64</v>
      </c>
      <c r="B33" s="19"/>
      <c r="C33" s="20"/>
      <c r="E33" s="19"/>
      <c r="F33" s="31"/>
    </row>
    <row r="34" spans="1:6" ht="17.100000000000001" customHeight="1">
      <c r="A34" s="19" t="s">
        <v>66</v>
      </c>
      <c r="B34" s="19"/>
      <c r="C34" s="20"/>
      <c r="E34" s="19"/>
      <c r="F34" s="31"/>
    </row>
    <row r="35" spans="1:6" ht="17.100000000000001" customHeight="1">
      <c r="A35" s="19" t="s">
        <v>68</v>
      </c>
      <c r="B35" s="19"/>
      <c r="C35" s="20"/>
      <c r="E35" s="19"/>
      <c r="F35" s="31"/>
    </row>
    <row r="36" spans="1:6" s="119" customFormat="1" ht="17.100000000000001" customHeight="1">
      <c r="A36" s="25" t="s">
        <v>70</v>
      </c>
      <c r="B36" s="33"/>
      <c r="C36" s="33"/>
      <c r="D36" s="33"/>
      <c r="E36" s="33"/>
      <c r="F36" s="34">
        <f>SUM(F10:F35)</f>
        <v>36650000</v>
      </c>
    </row>
    <row r="37" spans="1:6" ht="8.25" customHeight="1"/>
    <row r="38" spans="1:6" ht="43.5" customHeight="1">
      <c r="A38" s="147" t="s">
        <v>111</v>
      </c>
      <c r="B38" s="147"/>
      <c r="C38" s="147"/>
      <c r="D38" s="147"/>
      <c r="E38" s="147"/>
      <c r="F38" s="147"/>
    </row>
    <row r="39" spans="1:6">
      <c r="F39" s="120"/>
    </row>
  </sheetData>
  <mergeCells count="1">
    <mergeCell ref="A38:F38"/>
  </mergeCells>
  <pageMargins left="0.45" right="0.45" top="0.75" bottom="0.75" header="0.3" footer="0.3"/>
  <pageSetup scale="90" orientation="landscape" r:id="rId1"/>
  <headerFooter>
    <oddFooter>&amp;L&amp;9&amp;F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2020 1st qtr interim pmt</vt:lpstr>
      <vt:lpstr>2020</vt:lpstr>
      <vt:lpstr>General IP</vt:lpstr>
      <vt:lpstr>Small IP</vt:lpstr>
      <vt:lpstr>Mid IP</vt:lpstr>
      <vt:lpstr>Large IP</vt:lpstr>
      <vt:lpstr>General OP</vt:lpstr>
      <vt:lpstr>Mid OP</vt:lpstr>
      <vt:lpstr>'2020'!Print_Area</vt:lpstr>
      <vt:lpstr>'General IP'!Print_Area</vt:lpstr>
      <vt:lpstr>'General OP'!Print_Area</vt:lpstr>
      <vt:lpstr>'Large IP'!Print_Area</vt:lpstr>
      <vt:lpstr>'Mid IP'!Print_Area</vt:lpstr>
      <vt:lpstr>'Mid OP'!Print_Area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Godburn, Nicole</cp:lastModifiedBy>
  <cp:lastPrinted>2020-03-19T18:46:00Z</cp:lastPrinted>
  <dcterms:created xsi:type="dcterms:W3CDTF">2019-06-17T15:29:07Z</dcterms:created>
  <dcterms:modified xsi:type="dcterms:W3CDTF">2020-03-20T18:18:23Z</dcterms:modified>
</cp:coreProperties>
</file>