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16" yWindow="7032" windowWidth="17496" windowHeight="7788" tabRatio="790"/>
  </bookViews>
  <sheets>
    <sheet name="Hospital Specific Rev Neutral" sheetId="2" r:id="rId1"/>
    <sheet name="BH and Rehab payments" sheetId="3" r:id="rId2"/>
    <sheet name="DRG Revenue" sheetId="1" r:id="rId3"/>
    <sheet name="DRG Rate" sheetId="7" r:id="rId4"/>
    <sheet name="Final CMI Calculation" sheetId="9" r:id="rId5"/>
    <sheet name="Fiscal Impact" sheetId="8" r:id="rId6"/>
    <sheet name="Reconciliation Data" sheetId="5" r:id="rId7"/>
    <sheet name="Claims Data" sheetId="4" r:id="rId8"/>
  </sheets>
  <externalReferences>
    <externalReference r:id="rId9"/>
  </externalReferences>
  <definedNames>
    <definedName name="ProvNum">[1]Main!$A$4</definedName>
  </definedNames>
  <calcPr calcId="145621"/>
</workbook>
</file>

<file path=xl/calcChain.xml><?xml version="1.0" encoding="utf-8"?>
<calcChain xmlns="http://schemas.openxmlformats.org/spreadsheetml/2006/main">
  <c r="R39" i="8" l="1"/>
  <c r="O39" i="8"/>
  <c r="N39" i="8"/>
  <c r="L39" i="8"/>
  <c r="K39" i="8"/>
  <c r="J39" i="8"/>
  <c r="H39" i="8"/>
  <c r="G39" i="8"/>
  <c r="V39" i="9"/>
  <c r="U39" i="9"/>
  <c r="T39" i="9"/>
  <c r="R39" i="9"/>
  <c r="Q39" i="9"/>
  <c r="P39" i="9"/>
  <c r="N39" i="9"/>
  <c r="M39" i="9"/>
  <c r="L39" i="9"/>
  <c r="K39" i="9"/>
  <c r="J39" i="9"/>
  <c r="I39" i="9"/>
  <c r="H39" i="9"/>
  <c r="F39" i="9"/>
  <c r="E39" i="9"/>
  <c r="D39" i="9"/>
  <c r="H39" i="7"/>
  <c r="G39" i="7"/>
  <c r="F39" i="7"/>
  <c r="O39" i="1"/>
  <c r="N39" i="1"/>
  <c r="M39" i="1"/>
  <c r="L39" i="1"/>
  <c r="G39" i="1"/>
  <c r="F39" i="1"/>
  <c r="D39" i="1"/>
  <c r="Q39" i="1"/>
  <c r="U38" i="3"/>
  <c r="T38" i="3"/>
  <c r="S38" i="3"/>
  <c r="P38" i="3"/>
  <c r="O38" i="3"/>
  <c r="N38" i="3"/>
  <c r="M38" i="3"/>
  <c r="L38" i="3"/>
  <c r="K38" i="3"/>
  <c r="J38" i="3"/>
  <c r="G38" i="3"/>
  <c r="F38" i="3"/>
  <c r="E38" i="3"/>
  <c r="O38" i="2"/>
  <c r="N38" i="2"/>
  <c r="M38" i="2"/>
  <c r="E38" i="2"/>
  <c r="U36" i="8" l="1"/>
  <c r="U35" i="8"/>
  <c r="U34" i="8"/>
  <c r="U33" i="8"/>
  <c r="U32" i="8"/>
  <c r="U31" i="8"/>
  <c r="U30" i="8"/>
  <c r="U29" i="8"/>
  <c r="U28" i="8"/>
  <c r="U27" i="8"/>
  <c r="U26" i="8"/>
  <c r="U25" i="8"/>
  <c r="U24" i="8"/>
  <c r="U23" i="8"/>
  <c r="U22" i="8"/>
  <c r="U21" i="8"/>
  <c r="U20" i="8"/>
  <c r="U19" i="8"/>
  <c r="U18" i="8"/>
  <c r="U17" i="8"/>
  <c r="U16" i="8"/>
  <c r="U15" i="8"/>
  <c r="U14" i="8"/>
  <c r="U13" i="8"/>
  <c r="U12" i="8"/>
  <c r="U11" i="8"/>
  <c r="U10" i="8"/>
  <c r="U9" i="8"/>
  <c r="U8" i="8"/>
  <c r="U39" i="8" l="1"/>
  <c r="O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V32" i="9" l="1"/>
  <c r="V36" i="9"/>
  <c r="U36" i="9"/>
  <c r="U34" i="9"/>
  <c r="V34" i="9" s="1"/>
  <c r="U32" i="9"/>
  <c r="U30" i="9"/>
  <c r="V30" i="9" s="1"/>
  <c r="U28" i="9"/>
  <c r="V28" i="9" s="1"/>
  <c r="U26" i="9"/>
  <c r="V26" i="9" s="1"/>
  <c r="U24" i="9"/>
  <c r="V24" i="9" s="1"/>
  <c r="U22" i="9"/>
  <c r="V22" i="9" s="1"/>
  <c r="U20" i="9"/>
  <c r="V20" i="9" s="1"/>
  <c r="U18" i="9"/>
  <c r="V18" i="9" s="1"/>
  <c r="U16" i="9"/>
  <c r="V16" i="9" s="1"/>
  <c r="U14" i="9"/>
  <c r="V14" i="9" s="1"/>
  <c r="U12" i="9"/>
  <c r="V12" i="9" s="1"/>
  <c r="U10" i="9"/>
  <c r="V10" i="9" s="1"/>
  <c r="U8" i="9"/>
  <c r="T36" i="9"/>
  <c r="T35" i="9"/>
  <c r="T34" i="9"/>
  <c r="T33" i="9"/>
  <c r="T32" i="9"/>
  <c r="T31" i="9"/>
  <c r="T30" i="9"/>
  <c r="T29" i="9"/>
  <c r="T28" i="9"/>
  <c r="T27" i="9"/>
  <c r="T26" i="9"/>
  <c r="T25" i="9"/>
  <c r="T24" i="9"/>
  <c r="T23" i="9"/>
  <c r="T22" i="9"/>
  <c r="T21" i="9"/>
  <c r="T20" i="9"/>
  <c r="T19" i="9"/>
  <c r="T18" i="9"/>
  <c r="T17" i="9"/>
  <c r="T16" i="9"/>
  <c r="T15" i="9"/>
  <c r="T14" i="9"/>
  <c r="T13" i="9"/>
  <c r="T12" i="9"/>
  <c r="T11" i="9"/>
  <c r="T10" i="9"/>
  <c r="T9" i="9"/>
  <c r="T37" i="9" s="1"/>
  <c r="T8" i="9"/>
  <c r="N8" i="9"/>
  <c r="L36" i="9"/>
  <c r="M36" i="9" s="1"/>
  <c r="N36" i="9" s="1"/>
  <c r="L35" i="9"/>
  <c r="M35" i="9" s="1"/>
  <c r="N35" i="9" s="1"/>
  <c r="L34" i="9"/>
  <c r="M34" i="9" s="1"/>
  <c r="N34" i="9" s="1"/>
  <c r="L33" i="9"/>
  <c r="M33" i="9" s="1"/>
  <c r="N33" i="9" s="1"/>
  <c r="L32" i="9"/>
  <c r="M32" i="9" s="1"/>
  <c r="N32" i="9" s="1"/>
  <c r="L31" i="9"/>
  <c r="M31" i="9" s="1"/>
  <c r="N31" i="9" s="1"/>
  <c r="L30" i="9"/>
  <c r="M30" i="9" s="1"/>
  <c r="N30" i="9" s="1"/>
  <c r="L29" i="9"/>
  <c r="M29" i="9" s="1"/>
  <c r="N29" i="9" s="1"/>
  <c r="L28" i="9"/>
  <c r="M28" i="9" s="1"/>
  <c r="N28" i="9" s="1"/>
  <c r="L27" i="9"/>
  <c r="M27" i="9" s="1"/>
  <c r="N27" i="9" s="1"/>
  <c r="L26" i="9"/>
  <c r="M26" i="9" s="1"/>
  <c r="N26" i="9" s="1"/>
  <c r="L25" i="9"/>
  <c r="M25" i="9" s="1"/>
  <c r="N25" i="9" s="1"/>
  <c r="L24" i="9"/>
  <c r="M24" i="9" s="1"/>
  <c r="N24" i="9" s="1"/>
  <c r="L23" i="9"/>
  <c r="M23" i="9" s="1"/>
  <c r="N23" i="9" s="1"/>
  <c r="L22" i="9"/>
  <c r="M22" i="9" s="1"/>
  <c r="N22" i="9" s="1"/>
  <c r="L21" i="9"/>
  <c r="M21" i="9" s="1"/>
  <c r="N21" i="9" s="1"/>
  <c r="L20" i="9"/>
  <c r="M20" i="9" s="1"/>
  <c r="N20" i="9" s="1"/>
  <c r="L19" i="9"/>
  <c r="M19" i="9" s="1"/>
  <c r="N19" i="9" s="1"/>
  <c r="L18" i="9"/>
  <c r="M18" i="9" s="1"/>
  <c r="N18" i="9" s="1"/>
  <c r="L17" i="9"/>
  <c r="M17" i="9" s="1"/>
  <c r="N17" i="9" s="1"/>
  <c r="L16" i="9"/>
  <c r="M16" i="9" s="1"/>
  <c r="N16" i="9" s="1"/>
  <c r="L15" i="9"/>
  <c r="M15" i="9" s="1"/>
  <c r="N15" i="9" s="1"/>
  <c r="L14" i="9"/>
  <c r="M14" i="9" s="1"/>
  <c r="N14" i="9" s="1"/>
  <c r="L13" i="9"/>
  <c r="M13" i="9" s="1"/>
  <c r="N13" i="9" s="1"/>
  <c r="L12" i="9"/>
  <c r="M12" i="9" s="1"/>
  <c r="N12" i="9" s="1"/>
  <c r="L11" i="9"/>
  <c r="M11" i="9" s="1"/>
  <c r="N11" i="9" s="1"/>
  <c r="L10" i="9"/>
  <c r="M10" i="9" s="1"/>
  <c r="N10" i="9" s="1"/>
  <c r="L9" i="9"/>
  <c r="M9" i="9" s="1"/>
  <c r="N9" i="9" s="1"/>
  <c r="L8" i="9"/>
  <c r="M8" i="9" s="1"/>
  <c r="Q37" i="9"/>
  <c r="P37" i="9"/>
  <c r="J37" i="9"/>
  <c r="I37" i="9"/>
  <c r="H37" i="9"/>
  <c r="E37" i="9"/>
  <c r="D37" i="9"/>
  <c r="R36" i="9"/>
  <c r="K36" i="9"/>
  <c r="F36" i="9"/>
  <c r="R35" i="9"/>
  <c r="K35" i="9"/>
  <c r="F35" i="9"/>
  <c r="R34" i="9"/>
  <c r="K34" i="9"/>
  <c r="F34" i="9"/>
  <c r="R33" i="9"/>
  <c r="K33" i="9"/>
  <c r="F33" i="9"/>
  <c r="R32" i="9"/>
  <c r="K32" i="9"/>
  <c r="F32" i="9"/>
  <c r="R31" i="9"/>
  <c r="K31" i="9"/>
  <c r="F31" i="9"/>
  <c r="R30" i="9"/>
  <c r="K30" i="9"/>
  <c r="F30" i="9"/>
  <c r="R29" i="9"/>
  <c r="K29" i="9"/>
  <c r="F29" i="9"/>
  <c r="R28" i="9"/>
  <c r="K28" i="9"/>
  <c r="F28" i="9"/>
  <c r="R27" i="9"/>
  <c r="K27" i="9"/>
  <c r="F27" i="9"/>
  <c r="R26" i="9"/>
  <c r="K26" i="9"/>
  <c r="F26" i="9"/>
  <c r="R25" i="9"/>
  <c r="K25" i="9"/>
  <c r="F25" i="9"/>
  <c r="R24" i="9"/>
  <c r="K24" i="9"/>
  <c r="F24" i="9"/>
  <c r="R23" i="9"/>
  <c r="K23" i="9"/>
  <c r="F23" i="9"/>
  <c r="R22" i="9"/>
  <c r="K22" i="9"/>
  <c r="F22" i="9"/>
  <c r="R21" i="9"/>
  <c r="K21" i="9"/>
  <c r="F21" i="9"/>
  <c r="R20" i="9"/>
  <c r="K20" i="9"/>
  <c r="F20" i="9"/>
  <c r="R19" i="9"/>
  <c r="K19" i="9"/>
  <c r="F19" i="9"/>
  <c r="R18" i="9"/>
  <c r="K18" i="9"/>
  <c r="F18" i="9"/>
  <c r="R17" i="9"/>
  <c r="K17" i="9"/>
  <c r="F17" i="9"/>
  <c r="R16" i="9"/>
  <c r="K16" i="9"/>
  <c r="F16" i="9"/>
  <c r="R15" i="9"/>
  <c r="K15" i="9"/>
  <c r="F15" i="9"/>
  <c r="R14" i="9"/>
  <c r="K14" i="9"/>
  <c r="F14" i="9"/>
  <c r="R13" i="9"/>
  <c r="K13" i="9"/>
  <c r="F13" i="9"/>
  <c r="R12" i="9"/>
  <c r="K12" i="9"/>
  <c r="F12" i="9"/>
  <c r="R11" i="9"/>
  <c r="K11" i="9"/>
  <c r="F11" i="9"/>
  <c r="R10" i="9"/>
  <c r="K10" i="9"/>
  <c r="F10" i="9"/>
  <c r="R9" i="9"/>
  <c r="K9" i="9"/>
  <c r="F9" i="9"/>
  <c r="R8" i="9"/>
  <c r="K8" i="9"/>
  <c r="F8" i="9"/>
  <c r="U9" i="9" l="1"/>
  <c r="V9" i="9" s="1"/>
  <c r="U13" i="9"/>
  <c r="V13" i="9" s="1"/>
  <c r="U17" i="9"/>
  <c r="V17" i="9" s="1"/>
  <c r="U21" i="9"/>
  <c r="V21" i="9" s="1"/>
  <c r="U25" i="9"/>
  <c r="V25" i="9" s="1"/>
  <c r="U29" i="9"/>
  <c r="V29" i="9" s="1"/>
  <c r="U33" i="9"/>
  <c r="V33" i="9" s="1"/>
  <c r="V8" i="9"/>
  <c r="F37" i="9"/>
  <c r="U11" i="9"/>
  <c r="V11" i="9" s="1"/>
  <c r="U15" i="9"/>
  <c r="V15" i="9" s="1"/>
  <c r="U19" i="9"/>
  <c r="V19" i="9" s="1"/>
  <c r="U23" i="9"/>
  <c r="V23" i="9" s="1"/>
  <c r="U27" i="9"/>
  <c r="V27" i="9" s="1"/>
  <c r="U31" i="9"/>
  <c r="V31" i="9" s="1"/>
  <c r="U35" i="9"/>
  <c r="V35" i="9" s="1"/>
  <c r="R37" i="9"/>
  <c r="M37" i="9"/>
  <c r="N37" i="9" s="1"/>
  <c r="L37" i="9"/>
  <c r="K37" i="9"/>
  <c r="D6" i="5"/>
  <c r="U37" i="9" l="1"/>
  <c r="V37" i="9" s="1"/>
  <c r="U37" i="8"/>
  <c r="M35" i="5" l="1"/>
  <c r="D35" i="2" l="1"/>
  <c r="D34" i="2"/>
  <c r="D33" i="2"/>
  <c r="D32" i="2"/>
  <c r="D31" i="2"/>
  <c r="D30" i="2"/>
  <c r="D29" i="2"/>
  <c r="D28" i="2"/>
  <c r="D27" i="2"/>
  <c r="D26" i="2"/>
  <c r="D25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38" i="2" l="1"/>
  <c r="E35" i="2"/>
  <c r="D36" i="1" l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E36" i="1"/>
  <c r="E35" i="1"/>
  <c r="E34" i="1"/>
  <c r="E33" i="1"/>
  <c r="E32" i="1"/>
  <c r="E31" i="1"/>
  <c r="E30" i="1"/>
  <c r="E29" i="1"/>
  <c r="E28" i="1"/>
  <c r="E27" i="1"/>
  <c r="E26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S12" i="3"/>
  <c r="S11" i="3"/>
  <c r="S10" i="3"/>
  <c r="S9" i="3"/>
  <c r="S8" i="3"/>
  <c r="S7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D8" i="8" s="1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H36" i="7"/>
  <c r="R36" i="8" s="1"/>
  <c r="H22" i="7"/>
  <c r="R22" i="8" s="1"/>
  <c r="H21" i="7"/>
  <c r="R21" i="8" s="1"/>
  <c r="H20" i="7"/>
  <c r="R20" i="8" s="1"/>
  <c r="H9" i="7"/>
  <c r="R9" i="8" s="1"/>
  <c r="H8" i="7"/>
  <c r="R8" i="8" s="1"/>
  <c r="E39" i="1" l="1"/>
  <c r="H39" i="1" s="1"/>
  <c r="I39" i="1" s="1"/>
  <c r="H26" i="7"/>
  <c r="R26" i="8" s="1"/>
  <c r="H10" i="7"/>
  <c r="R10" i="8" s="1"/>
  <c r="H23" i="7"/>
  <c r="R23" i="8" s="1"/>
  <c r="H11" i="7"/>
  <c r="R11" i="8" s="1"/>
  <c r="H27" i="7"/>
  <c r="R27" i="8" s="1"/>
  <c r="H16" i="7"/>
  <c r="R16" i="8" s="1"/>
  <c r="H32" i="7"/>
  <c r="R32" i="8" s="1"/>
  <c r="H12" i="7"/>
  <c r="R12" i="8" s="1"/>
  <c r="H28" i="7"/>
  <c r="R28" i="8" s="1"/>
  <c r="G37" i="7"/>
  <c r="H24" i="7"/>
  <c r="R24" i="8" s="1"/>
  <c r="H33" i="7"/>
  <c r="R33" i="8" s="1"/>
  <c r="H18" i="7"/>
  <c r="R18" i="8" s="1"/>
  <c r="H15" i="7"/>
  <c r="R15" i="8" s="1"/>
  <c r="H31" i="7"/>
  <c r="R31" i="8" s="1"/>
  <c r="H17" i="7"/>
  <c r="R17" i="8" s="1"/>
  <c r="H13" i="7"/>
  <c r="R13" i="8" s="1"/>
  <c r="H29" i="7"/>
  <c r="R29" i="8" s="1"/>
  <c r="H34" i="7"/>
  <c r="R34" i="8" s="1"/>
  <c r="H14" i="7"/>
  <c r="R14" i="8" s="1"/>
  <c r="H25" i="7"/>
  <c r="H30" i="7"/>
  <c r="R30" i="8" s="1"/>
  <c r="F37" i="7"/>
  <c r="H19" i="7"/>
  <c r="R19" i="8" s="1"/>
  <c r="H35" i="7"/>
  <c r="R35" i="8" s="1"/>
  <c r="D34" i="8"/>
  <c r="D18" i="8"/>
  <c r="D39" i="8" s="1"/>
  <c r="D22" i="8"/>
  <c r="D10" i="8"/>
  <c r="D26" i="8"/>
  <c r="D14" i="8"/>
  <c r="D30" i="8"/>
  <c r="D11" i="8"/>
  <c r="D15" i="8"/>
  <c r="D23" i="8"/>
  <c r="D35" i="8"/>
  <c r="D12" i="8"/>
  <c r="D16" i="8"/>
  <c r="D20" i="8"/>
  <c r="D24" i="8"/>
  <c r="D28" i="8"/>
  <c r="D32" i="8"/>
  <c r="D36" i="8"/>
  <c r="J36" i="3"/>
  <c r="E36" i="3"/>
  <c r="D19" i="8"/>
  <c r="D27" i="8"/>
  <c r="D31" i="8"/>
  <c r="S36" i="3"/>
  <c r="D9" i="8"/>
  <c r="D13" i="8"/>
  <c r="D17" i="8"/>
  <c r="D21" i="8"/>
  <c r="D29" i="8"/>
  <c r="D33" i="8"/>
  <c r="Y4" i="4"/>
  <c r="Y5" i="4"/>
  <c r="Y6" i="4"/>
  <c r="Y7" i="4"/>
  <c r="Y8" i="4"/>
  <c r="Y9" i="4"/>
  <c r="Y10" i="4"/>
  <c r="Y11" i="4"/>
  <c r="Y12" i="4"/>
  <c r="Y13" i="4"/>
  <c r="Y14" i="4"/>
  <c r="Y15" i="4"/>
  <c r="Y16" i="4"/>
  <c r="Y17" i="4"/>
  <c r="Y18" i="4"/>
  <c r="Y19" i="4"/>
  <c r="Y21" i="4"/>
  <c r="Y22" i="4"/>
  <c r="Y23" i="4"/>
  <c r="Y24" i="4"/>
  <c r="Y25" i="4"/>
  <c r="Y26" i="4"/>
  <c r="Y27" i="4"/>
  <c r="Y28" i="4"/>
  <c r="Y29" i="4"/>
  <c r="Y30" i="4"/>
  <c r="Y31" i="4"/>
  <c r="Y3" i="4"/>
  <c r="M31" i="5"/>
  <c r="R25" i="8" l="1"/>
  <c r="H37" i="7"/>
  <c r="Y20" i="4"/>
  <c r="Z20" i="4" s="1"/>
  <c r="D24" i="2"/>
  <c r="E25" i="1"/>
  <c r="E37" i="1" s="1"/>
  <c r="D25" i="8"/>
  <c r="Z4" i="4"/>
  <c r="Z5" i="4"/>
  <c r="Z6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1" i="4"/>
  <c r="Z22" i="4"/>
  <c r="Z23" i="4"/>
  <c r="Z24" i="4"/>
  <c r="Z25" i="4"/>
  <c r="Z26" i="4"/>
  <c r="Z27" i="4"/>
  <c r="Z28" i="4"/>
  <c r="Z29" i="4"/>
  <c r="Z30" i="4"/>
  <c r="Z31" i="4"/>
  <c r="Z3" i="4"/>
  <c r="D36" i="2" l="1"/>
  <c r="D37" i="8"/>
  <c r="X4" i="4"/>
  <c r="AA4" i="4" s="1"/>
  <c r="X5" i="4"/>
  <c r="AA5" i="4" s="1"/>
  <c r="X6" i="4"/>
  <c r="AA6" i="4" s="1"/>
  <c r="X7" i="4"/>
  <c r="AA7" i="4" s="1"/>
  <c r="X8" i="4"/>
  <c r="AA8" i="4" s="1"/>
  <c r="X9" i="4"/>
  <c r="AA9" i="4" s="1"/>
  <c r="X10" i="4"/>
  <c r="AA10" i="4" s="1"/>
  <c r="X11" i="4"/>
  <c r="AA11" i="4" s="1"/>
  <c r="X12" i="4"/>
  <c r="AA12" i="4" s="1"/>
  <c r="X13" i="4"/>
  <c r="AA13" i="4" s="1"/>
  <c r="X14" i="4"/>
  <c r="AA14" i="4" s="1"/>
  <c r="X15" i="4"/>
  <c r="AA15" i="4" s="1"/>
  <c r="X16" i="4"/>
  <c r="AA16" i="4" s="1"/>
  <c r="X17" i="4"/>
  <c r="AA17" i="4" s="1"/>
  <c r="X18" i="4"/>
  <c r="AA18" i="4" s="1"/>
  <c r="X19" i="4"/>
  <c r="AA19" i="4" s="1"/>
  <c r="X20" i="4"/>
  <c r="AA20" i="4" s="1"/>
  <c r="X21" i="4"/>
  <c r="AA21" i="4" s="1"/>
  <c r="X22" i="4"/>
  <c r="AA22" i="4" s="1"/>
  <c r="X23" i="4"/>
  <c r="AA23" i="4" s="1"/>
  <c r="X24" i="4"/>
  <c r="AA24" i="4" s="1"/>
  <c r="X25" i="4"/>
  <c r="AA25" i="4" s="1"/>
  <c r="X26" i="4"/>
  <c r="AA26" i="4" s="1"/>
  <c r="X27" i="4"/>
  <c r="AA27" i="4" s="1"/>
  <c r="X28" i="4"/>
  <c r="AA28" i="4" s="1"/>
  <c r="X29" i="4"/>
  <c r="AA29" i="4" s="1"/>
  <c r="X30" i="4"/>
  <c r="AA30" i="4" s="1"/>
  <c r="X31" i="4"/>
  <c r="AA31" i="4" s="1"/>
  <c r="X3" i="4"/>
  <c r="AA3" i="4" s="1"/>
  <c r="M8" i="2" l="1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7" i="2"/>
  <c r="N8" i="2"/>
  <c r="O8" i="2" s="1"/>
  <c r="N9" i="2"/>
  <c r="O9" i="2" s="1"/>
  <c r="N10" i="2"/>
  <c r="O10" i="2" s="1"/>
  <c r="N11" i="2"/>
  <c r="O11" i="2" s="1"/>
  <c r="N12" i="2"/>
  <c r="O12" i="2" s="1"/>
  <c r="N13" i="2"/>
  <c r="O13" i="2" s="1"/>
  <c r="N14" i="2"/>
  <c r="O14" i="2" s="1"/>
  <c r="N15" i="2"/>
  <c r="O15" i="2" s="1"/>
  <c r="N16" i="2"/>
  <c r="O16" i="2" s="1"/>
  <c r="N17" i="2"/>
  <c r="O17" i="2" s="1"/>
  <c r="N18" i="2"/>
  <c r="O18" i="2" s="1"/>
  <c r="N19" i="2"/>
  <c r="O19" i="2" s="1"/>
  <c r="N20" i="2"/>
  <c r="O20" i="2" s="1"/>
  <c r="N21" i="2"/>
  <c r="O21" i="2" s="1"/>
  <c r="N22" i="2"/>
  <c r="O22" i="2" s="1"/>
  <c r="N23" i="2"/>
  <c r="O23" i="2" s="1"/>
  <c r="N24" i="2"/>
  <c r="O24" i="2" s="1"/>
  <c r="N25" i="2"/>
  <c r="O25" i="2" s="1"/>
  <c r="N26" i="2"/>
  <c r="O26" i="2" s="1"/>
  <c r="N27" i="2"/>
  <c r="O27" i="2" s="1"/>
  <c r="N28" i="2"/>
  <c r="O28" i="2" s="1"/>
  <c r="N29" i="2"/>
  <c r="O29" i="2" s="1"/>
  <c r="N30" i="2"/>
  <c r="O30" i="2" s="1"/>
  <c r="N31" i="2"/>
  <c r="O31" i="2" s="1"/>
  <c r="N32" i="2"/>
  <c r="O32" i="2" s="1"/>
  <c r="N33" i="2"/>
  <c r="O33" i="2" s="1"/>
  <c r="N34" i="2"/>
  <c r="O34" i="2" s="1"/>
  <c r="N35" i="2"/>
  <c r="O35" i="2" s="1"/>
  <c r="N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5" i="2"/>
  <c r="F26" i="2"/>
  <c r="F27" i="2"/>
  <c r="F28" i="2"/>
  <c r="F29" i="2"/>
  <c r="F30" i="2"/>
  <c r="F31" i="2"/>
  <c r="F32" i="2"/>
  <c r="F33" i="2"/>
  <c r="F34" i="2"/>
  <c r="F35" i="2"/>
  <c r="G35" i="2" s="1"/>
  <c r="F7" i="2"/>
  <c r="E8" i="2"/>
  <c r="G8" i="2" s="1"/>
  <c r="E9" i="2"/>
  <c r="G9" i="2" s="1"/>
  <c r="E10" i="2"/>
  <c r="G10" i="2" s="1"/>
  <c r="E11" i="2"/>
  <c r="G11" i="2" s="1"/>
  <c r="E12" i="2"/>
  <c r="G12" i="2" s="1"/>
  <c r="E13" i="2"/>
  <c r="G13" i="2" s="1"/>
  <c r="E14" i="2"/>
  <c r="G14" i="2" s="1"/>
  <c r="E15" i="2"/>
  <c r="G15" i="2" s="1"/>
  <c r="E16" i="2"/>
  <c r="G16" i="2" s="1"/>
  <c r="E17" i="2"/>
  <c r="G17" i="2" s="1"/>
  <c r="E18" i="2"/>
  <c r="G18" i="2" s="1"/>
  <c r="E19" i="2"/>
  <c r="G19" i="2" s="1"/>
  <c r="E20" i="2"/>
  <c r="G20" i="2" s="1"/>
  <c r="E21" i="2"/>
  <c r="G21" i="2" s="1"/>
  <c r="E22" i="2"/>
  <c r="G22" i="2" s="1"/>
  <c r="E23" i="2"/>
  <c r="G23" i="2" s="1"/>
  <c r="E25" i="2"/>
  <c r="E26" i="2"/>
  <c r="E27" i="2"/>
  <c r="E28" i="2"/>
  <c r="E29" i="2"/>
  <c r="E30" i="2"/>
  <c r="E31" i="2"/>
  <c r="E32" i="2"/>
  <c r="E33" i="2"/>
  <c r="E34" i="2"/>
  <c r="E7" i="2"/>
  <c r="G36" i="1"/>
  <c r="F36" i="1"/>
  <c r="G35" i="1"/>
  <c r="F35" i="1"/>
  <c r="G34" i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J31" i="5"/>
  <c r="I31" i="5"/>
  <c r="G31" i="5"/>
  <c r="F31" i="5"/>
  <c r="E31" i="5"/>
  <c r="F24" i="2" s="1"/>
  <c r="D31" i="5"/>
  <c r="E24" i="2" s="1"/>
  <c r="T35" i="3"/>
  <c r="N36" i="8" s="1"/>
  <c r="R35" i="3"/>
  <c r="T34" i="3"/>
  <c r="N35" i="8" s="1"/>
  <c r="R34" i="3"/>
  <c r="T33" i="3"/>
  <c r="N34" i="8" s="1"/>
  <c r="R33" i="3"/>
  <c r="T32" i="3"/>
  <c r="N33" i="8" s="1"/>
  <c r="R32" i="3"/>
  <c r="T31" i="3"/>
  <c r="N32" i="8" s="1"/>
  <c r="R31" i="3"/>
  <c r="T30" i="3"/>
  <c r="N31" i="8" s="1"/>
  <c r="R30" i="3"/>
  <c r="T29" i="3"/>
  <c r="N30" i="8" s="1"/>
  <c r="R29" i="3"/>
  <c r="T28" i="3"/>
  <c r="N29" i="8" s="1"/>
  <c r="R28" i="3"/>
  <c r="T27" i="3"/>
  <c r="N28" i="8" s="1"/>
  <c r="R27" i="3"/>
  <c r="T26" i="3"/>
  <c r="N27" i="8" s="1"/>
  <c r="R26" i="3"/>
  <c r="T25" i="3"/>
  <c r="N26" i="8" s="1"/>
  <c r="R25" i="3"/>
  <c r="T24" i="3"/>
  <c r="R24" i="3"/>
  <c r="T23" i="3"/>
  <c r="N24" i="8" s="1"/>
  <c r="R23" i="3"/>
  <c r="T22" i="3"/>
  <c r="N23" i="8" s="1"/>
  <c r="R22" i="3"/>
  <c r="T21" i="3"/>
  <c r="N22" i="8" s="1"/>
  <c r="R21" i="3"/>
  <c r="T20" i="3"/>
  <c r="N21" i="8" s="1"/>
  <c r="R20" i="3"/>
  <c r="T19" i="3"/>
  <c r="N20" i="8" s="1"/>
  <c r="R19" i="3"/>
  <c r="T18" i="3"/>
  <c r="N19" i="8" s="1"/>
  <c r="R18" i="3"/>
  <c r="T17" i="3"/>
  <c r="N18" i="8" s="1"/>
  <c r="R17" i="3"/>
  <c r="T16" i="3"/>
  <c r="N17" i="8" s="1"/>
  <c r="R16" i="3"/>
  <c r="T15" i="3"/>
  <c r="N16" i="8" s="1"/>
  <c r="R15" i="3"/>
  <c r="T14" i="3"/>
  <c r="N15" i="8" s="1"/>
  <c r="R14" i="3"/>
  <c r="T13" i="3"/>
  <c r="N14" i="8" s="1"/>
  <c r="R13" i="3"/>
  <c r="T12" i="3"/>
  <c r="N13" i="8" s="1"/>
  <c r="R12" i="3"/>
  <c r="T11" i="3"/>
  <c r="N12" i="8" s="1"/>
  <c r="R11" i="3"/>
  <c r="T10" i="3"/>
  <c r="N11" i="8" s="1"/>
  <c r="R10" i="3"/>
  <c r="T9" i="3"/>
  <c r="N10" i="8" s="1"/>
  <c r="R9" i="3"/>
  <c r="T8" i="3"/>
  <c r="N9" i="8" s="1"/>
  <c r="R8" i="3"/>
  <c r="T7" i="3"/>
  <c r="R7" i="3"/>
  <c r="N35" i="3"/>
  <c r="K36" i="8" s="1"/>
  <c r="N34" i="3"/>
  <c r="K35" i="8" s="1"/>
  <c r="N33" i="3"/>
  <c r="K34" i="8" s="1"/>
  <c r="N32" i="3"/>
  <c r="K33" i="8" s="1"/>
  <c r="N31" i="3"/>
  <c r="K32" i="8" s="1"/>
  <c r="N30" i="3"/>
  <c r="K31" i="8" s="1"/>
  <c r="N29" i="3"/>
  <c r="K30" i="8" s="1"/>
  <c r="N28" i="3"/>
  <c r="K29" i="8" s="1"/>
  <c r="N27" i="3"/>
  <c r="K28" i="8" s="1"/>
  <c r="N26" i="3"/>
  <c r="K27" i="8" s="1"/>
  <c r="N25" i="3"/>
  <c r="K26" i="8" s="1"/>
  <c r="N24" i="3"/>
  <c r="N23" i="3"/>
  <c r="K24" i="8" s="1"/>
  <c r="N22" i="3"/>
  <c r="K23" i="8" s="1"/>
  <c r="N21" i="3"/>
  <c r="K22" i="8" s="1"/>
  <c r="N20" i="3"/>
  <c r="K21" i="8" s="1"/>
  <c r="N19" i="3"/>
  <c r="K20" i="8" s="1"/>
  <c r="N18" i="3"/>
  <c r="K19" i="8" s="1"/>
  <c r="N17" i="3"/>
  <c r="K18" i="8" s="1"/>
  <c r="N16" i="3"/>
  <c r="K17" i="8" s="1"/>
  <c r="N15" i="3"/>
  <c r="K16" i="8" s="1"/>
  <c r="N14" i="3"/>
  <c r="K15" i="8" s="1"/>
  <c r="N13" i="3"/>
  <c r="K14" i="8" s="1"/>
  <c r="N12" i="3"/>
  <c r="K13" i="8" s="1"/>
  <c r="N11" i="3"/>
  <c r="K12" i="8" s="1"/>
  <c r="N10" i="3"/>
  <c r="K11" i="8" s="1"/>
  <c r="N9" i="3"/>
  <c r="K10" i="8" s="1"/>
  <c r="N8" i="3"/>
  <c r="K9" i="8" s="1"/>
  <c r="N7" i="3"/>
  <c r="K8" i="8" s="1"/>
  <c r="K35" i="3"/>
  <c r="J36" i="8" s="1"/>
  <c r="K34" i="3"/>
  <c r="J35" i="8" s="1"/>
  <c r="K33" i="3"/>
  <c r="J34" i="8" s="1"/>
  <c r="K32" i="3"/>
  <c r="J33" i="8" s="1"/>
  <c r="K31" i="3"/>
  <c r="J32" i="8" s="1"/>
  <c r="K30" i="3"/>
  <c r="J31" i="8" s="1"/>
  <c r="K29" i="3"/>
  <c r="J30" i="8" s="1"/>
  <c r="K28" i="3"/>
  <c r="J29" i="8" s="1"/>
  <c r="K27" i="3"/>
  <c r="J28" i="8" s="1"/>
  <c r="K26" i="3"/>
  <c r="J27" i="8" s="1"/>
  <c r="K25" i="3"/>
  <c r="J26" i="8" s="1"/>
  <c r="K24" i="3"/>
  <c r="K23" i="3"/>
  <c r="J24" i="8" s="1"/>
  <c r="K22" i="3"/>
  <c r="J23" i="8" s="1"/>
  <c r="K21" i="3"/>
  <c r="J22" i="8" s="1"/>
  <c r="K20" i="3"/>
  <c r="J21" i="8" s="1"/>
  <c r="K19" i="3"/>
  <c r="J20" i="8" s="1"/>
  <c r="K18" i="3"/>
  <c r="J19" i="8" s="1"/>
  <c r="K17" i="3"/>
  <c r="J18" i="8" s="1"/>
  <c r="K16" i="3"/>
  <c r="J17" i="8" s="1"/>
  <c r="K15" i="3"/>
  <c r="J16" i="8" s="1"/>
  <c r="K14" i="3"/>
  <c r="J15" i="8" s="1"/>
  <c r="K13" i="3"/>
  <c r="J14" i="8" s="1"/>
  <c r="K12" i="3"/>
  <c r="J13" i="8" s="1"/>
  <c r="K11" i="3"/>
  <c r="J12" i="8" s="1"/>
  <c r="K10" i="3"/>
  <c r="J11" i="8" s="1"/>
  <c r="K9" i="3"/>
  <c r="J10" i="8" s="1"/>
  <c r="K8" i="3"/>
  <c r="J9" i="8" s="1"/>
  <c r="K7" i="3"/>
  <c r="J8" i="8" s="1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F35" i="3"/>
  <c r="G36" i="8" s="1"/>
  <c r="F34" i="3"/>
  <c r="G35" i="8" s="1"/>
  <c r="F33" i="3"/>
  <c r="G34" i="8" s="1"/>
  <c r="F32" i="3"/>
  <c r="G33" i="8" s="1"/>
  <c r="F31" i="3"/>
  <c r="G32" i="8" s="1"/>
  <c r="F30" i="3"/>
  <c r="G31" i="8" s="1"/>
  <c r="F29" i="3"/>
  <c r="G30" i="8" s="1"/>
  <c r="F28" i="3"/>
  <c r="G29" i="8" s="1"/>
  <c r="F27" i="3"/>
  <c r="G28" i="8" s="1"/>
  <c r="F26" i="3"/>
  <c r="G27" i="8" s="1"/>
  <c r="F25" i="3"/>
  <c r="G26" i="8" s="1"/>
  <c r="F24" i="3"/>
  <c r="F23" i="3"/>
  <c r="G24" i="8" s="1"/>
  <c r="F22" i="3"/>
  <c r="G23" i="8" s="1"/>
  <c r="F21" i="3"/>
  <c r="G22" i="8" s="1"/>
  <c r="F20" i="3"/>
  <c r="G21" i="8" s="1"/>
  <c r="F19" i="3"/>
  <c r="G20" i="8" s="1"/>
  <c r="F18" i="3"/>
  <c r="G19" i="8" s="1"/>
  <c r="F17" i="3"/>
  <c r="G18" i="8" s="1"/>
  <c r="F16" i="3"/>
  <c r="G17" i="8" s="1"/>
  <c r="F15" i="3"/>
  <c r="G16" i="8" s="1"/>
  <c r="F14" i="3"/>
  <c r="G15" i="8" s="1"/>
  <c r="F13" i="3"/>
  <c r="G14" i="8" s="1"/>
  <c r="F12" i="3"/>
  <c r="G13" i="8" s="1"/>
  <c r="F11" i="3"/>
  <c r="G12" i="8" s="1"/>
  <c r="F10" i="3"/>
  <c r="G11" i="8" s="1"/>
  <c r="F9" i="3"/>
  <c r="G10" i="8" s="1"/>
  <c r="F8" i="3"/>
  <c r="G9" i="8" s="1"/>
  <c r="F7" i="3"/>
  <c r="G8" i="8" s="1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K35" i="5"/>
  <c r="H35" i="5"/>
  <c r="K30" i="5"/>
  <c r="K23" i="2" s="1"/>
  <c r="H30" i="5"/>
  <c r="H23" i="2" s="1"/>
  <c r="J23" i="2" s="1"/>
  <c r="K29" i="5"/>
  <c r="K25" i="2" s="1"/>
  <c r="H29" i="5"/>
  <c r="H25" i="2" s="1"/>
  <c r="J25" i="2" s="1"/>
  <c r="K28" i="5"/>
  <c r="K10" i="2" s="1"/>
  <c r="H28" i="5"/>
  <c r="H10" i="2" s="1"/>
  <c r="J10" i="2" s="1"/>
  <c r="K27" i="5"/>
  <c r="K33" i="2" s="1"/>
  <c r="H27" i="5"/>
  <c r="H33" i="2" s="1"/>
  <c r="J33" i="2" s="1"/>
  <c r="K26" i="5"/>
  <c r="K11" i="2" s="1"/>
  <c r="H26" i="5"/>
  <c r="H11" i="2" s="1"/>
  <c r="J11" i="2" s="1"/>
  <c r="K25" i="5"/>
  <c r="K28" i="2" s="1"/>
  <c r="H25" i="5"/>
  <c r="H28" i="2" s="1"/>
  <c r="J28" i="2" s="1"/>
  <c r="K34" i="5"/>
  <c r="H34" i="5"/>
  <c r="K24" i="5"/>
  <c r="K18" i="2" s="1"/>
  <c r="H24" i="5"/>
  <c r="H18" i="2" s="1"/>
  <c r="J18" i="2" s="1"/>
  <c r="K23" i="5"/>
  <c r="K7" i="2" s="1"/>
  <c r="H23" i="5"/>
  <c r="H7" i="2" s="1"/>
  <c r="J7" i="2" s="1"/>
  <c r="K22" i="5"/>
  <c r="K16" i="2" s="1"/>
  <c r="H22" i="5"/>
  <c r="H16" i="2" s="1"/>
  <c r="J16" i="2" s="1"/>
  <c r="K21" i="5"/>
  <c r="K32" i="2" s="1"/>
  <c r="H21" i="5"/>
  <c r="H32" i="2" s="1"/>
  <c r="J32" i="2" s="1"/>
  <c r="K20" i="5"/>
  <c r="K17" i="2" s="1"/>
  <c r="H20" i="5"/>
  <c r="H17" i="2" s="1"/>
  <c r="K19" i="5"/>
  <c r="K21" i="2" s="1"/>
  <c r="H19" i="5"/>
  <c r="H21" i="2" s="1"/>
  <c r="J21" i="2" s="1"/>
  <c r="K18" i="5"/>
  <c r="K19" i="2" s="1"/>
  <c r="H18" i="5"/>
  <c r="H19" i="2" s="1"/>
  <c r="J19" i="2" s="1"/>
  <c r="K17" i="5"/>
  <c r="K22" i="2" s="1"/>
  <c r="H17" i="5"/>
  <c r="H22" i="2" s="1"/>
  <c r="J22" i="2" s="1"/>
  <c r="K16" i="5"/>
  <c r="K27" i="2" s="1"/>
  <c r="H16" i="5"/>
  <c r="H27" i="2" s="1"/>
  <c r="J27" i="2" s="1"/>
  <c r="K15" i="5"/>
  <c r="K12" i="2" s="1"/>
  <c r="H15" i="5"/>
  <c r="H12" i="2" s="1"/>
  <c r="J12" i="2" s="1"/>
  <c r="K14" i="5"/>
  <c r="K13" i="2" s="1"/>
  <c r="H14" i="5"/>
  <c r="H13" i="2" s="1"/>
  <c r="J13" i="2" s="1"/>
  <c r="K13" i="5"/>
  <c r="K34" i="2" s="1"/>
  <c r="H13" i="5"/>
  <c r="H34" i="2" s="1"/>
  <c r="J34" i="2" s="1"/>
  <c r="K12" i="5"/>
  <c r="K26" i="2" s="1"/>
  <c r="H12" i="5"/>
  <c r="H26" i="2" s="1"/>
  <c r="J26" i="2" s="1"/>
  <c r="K11" i="5"/>
  <c r="K30" i="2" s="1"/>
  <c r="H11" i="5"/>
  <c r="H30" i="2" s="1"/>
  <c r="J30" i="2" s="1"/>
  <c r="K10" i="5"/>
  <c r="K20" i="2" s="1"/>
  <c r="H10" i="5"/>
  <c r="H20" i="2" s="1"/>
  <c r="J20" i="2" s="1"/>
  <c r="K9" i="5"/>
  <c r="K9" i="2" s="1"/>
  <c r="H9" i="5"/>
  <c r="H9" i="2" s="1"/>
  <c r="J9" i="2" s="1"/>
  <c r="K8" i="5"/>
  <c r="K8" i="2" s="1"/>
  <c r="H8" i="5"/>
  <c r="H8" i="2" s="1"/>
  <c r="J8" i="2" s="1"/>
  <c r="K7" i="5"/>
  <c r="K31" i="2" s="1"/>
  <c r="H7" i="5"/>
  <c r="H31" i="2" s="1"/>
  <c r="J31" i="2" s="1"/>
  <c r="K6" i="5"/>
  <c r="K35" i="2" s="1"/>
  <c r="H6" i="5"/>
  <c r="H35" i="2" s="1"/>
  <c r="J35" i="2" s="1"/>
  <c r="K5" i="5"/>
  <c r="K15" i="2" s="1"/>
  <c r="H5" i="5"/>
  <c r="H15" i="2" s="1"/>
  <c r="J15" i="2" s="1"/>
  <c r="K4" i="5"/>
  <c r="K29" i="2" s="1"/>
  <c r="H4" i="5"/>
  <c r="H29" i="2" s="1"/>
  <c r="J29" i="2" s="1"/>
  <c r="K3" i="5"/>
  <c r="K14" i="2" s="1"/>
  <c r="H3" i="5"/>
  <c r="H14" i="2" s="1"/>
  <c r="J14" i="2" s="1"/>
  <c r="L38" i="2" l="1"/>
  <c r="J17" i="2"/>
  <c r="J38" i="2" s="1"/>
  <c r="H38" i="2"/>
  <c r="K38" i="2"/>
  <c r="F38" i="2"/>
  <c r="P35" i="2"/>
  <c r="P8" i="2"/>
  <c r="P20" i="2"/>
  <c r="P13" i="2"/>
  <c r="P19" i="2"/>
  <c r="P16" i="2"/>
  <c r="P18" i="2"/>
  <c r="P14" i="2"/>
  <c r="P15" i="2"/>
  <c r="P9" i="2"/>
  <c r="P12" i="2"/>
  <c r="P22" i="2"/>
  <c r="P21" i="2"/>
  <c r="P11" i="2"/>
  <c r="P10" i="2"/>
  <c r="P23" i="2"/>
  <c r="G25" i="8"/>
  <c r="G37" i="8" s="1"/>
  <c r="K25" i="8"/>
  <c r="K37" i="8" s="1"/>
  <c r="T36" i="3"/>
  <c r="N8" i="8"/>
  <c r="J25" i="8"/>
  <c r="J37" i="8" s="1"/>
  <c r="N25" i="8"/>
  <c r="H9" i="1"/>
  <c r="H11" i="1"/>
  <c r="H13" i="1"/>
  <c r="H15" i="1"/>
  <c r="H17" i="1"/>
  <c r="H19" i="1"/>
  <c r="H21" i="1"/>
  <c r="H23" i="1"/>
  <c r="H25" i="1"/>
  <c r="H27" i="1"/>
  <c r="H29" i="1"/>
  <c r="H31" i="1"/>
  <c r="H33" i="1"/>
  <c r="H35" i="1"/>
  <c r="K36" i="3"/>
  <c r="N36" i="3"/>
  <c r="F36" i="3"/>
  <c r="H8" i="1"/>
  <c r="J8" i="7" s="1"/>
  <c r="Q8" i="8" s="1"/>
  <c r="H10" i="1"/>
  <c r="H12" i="1"/>
  <c r="H14" i="1"/>
  <c r="H16" i="1"/>
  <c r="H18" i="1"/>
  <c r="H20" i="1"/>
  <c r="H22" i="1"/>
  <c r="H24" i="1"/>
  <c r="H26" i="1"/>
  <c r="H28" i="1"/>
  <c r="H30" i="1"/>
  <c r="H32" i="1"/>
  <c r="H34" i="1"/>
  <c r="H36" i="1"/>
  <c r="G34" i="2"/>
  <c r="P34" i="2" s="1"/>
  <c r="G30" i="2"/>
  <c r="P30" i="2" s="1"/>
  <c r="G26" i="2"/>
  <c r="P26" i="2" s="1"/>
  <c r="M36" i="2"/>
  <c r="O7" i="2"/>
  <c r="O36" i="2" s="1"/>
  <c r="N36" i="2"/>
  <c r="G7" i="2"/>
  <c r="P7" i="2" s="1"/>
  <c r="E36" i="2"/>
  <c r="G31" i="2"/>
  <c r="G38" i="2" s="1"/>
  <c r="G27" i="2"/>
  <c r="P27" i="2" s="1"/>
  <c r="F36" i="2"/>
  <c r="L36" i="2"/>
  <c r="G33" i="2"/>
  <c r="P33" i="2" s="1"/>
  <c r="G29" i="2"/>
  <c r="P29" i="2" s="1"/>
  <c r="G25" i="2"/>
  <c r="P25" i="2" s="1"/>
  <c r="G32" i="2"/>
  <c r="P32" i="2" s="1"/>
  <c r="G28" i="2"/>
  <c r="P28" i="2" s="1"/>
  <c r="G24" i="2"/>
  <c r="G37" i="1"/>
  <c r="D37" i="1"/>
  <c r="F37" i="1"/>
  <c r="H31" i="5"/>
  <c r="H24" i="2" s="1"/>
  <c r="K31" i="5"/>
  <c r="K24" i="2" s="1"/>
  <c r="M35" i="3"/>
  <c r="O35" i="3" s="1"/>
  <c r="M34" i="3"/>
  <c r="O34" i="3" s="1"/>
  <c r="M33" i="3"/>
  <c r="O33" i="3" s="1"/>
  <c r="M32" i="3"/>
  <c r="O32" i="3" s="1"/>
  <c r="M31" i="3"/>
  <c r="O31" i="3" s="1"/>
  <c r="M30" i="3"/>
  <c r="O30" i="3" s="1"/>
  <c r="M29" i="3"/>
  <c r="O29" i="3" s="1"/>
  <c r="M28" i="3"/>
  <c r="O28" i="3" s="1"/>
  <c r="M27" i="3"/>
  <c r="O27" i="3" s="1"/>
  <c r="M26" i="3"/>
  <c r="O26" i="3" s="1"/>
  <c r="M25" i="3"/>
  <c r="O25" i="3" s="1"/>
  <c r="M24" i="3"/>
  <c r="O24" i="3" s="1"/>
  <c r="M23" i="3"/>
  <c r="O23" i="3" s="1"/>
  <c r="M22" i="3"/>
  <c r="O22" i="3" s="1"/>
  <c r="M21" i="3"/>
  <c r="O21" i="3" s="1"/>
  <c r="M20" i="3"/>
  <c r="O20" i="3" s="1"/>
  <c r="M19" i="3"/>
  <c r="O19" i="3" s="1"/>
  <c r="M18" i="3"/>
  <c r="O18" i="3" s="1"/>
  <c r="M17" i="3"/>
  <c r="O17" i="3" s="1"/>
  <c r="M16" i="3"/>
  <c r="O16" i="3" s="1"/>
  <c r="M15" i="3"/>
  <c r="O15" i="3" s="1"/>
  <c r="M14" i="3"/>
  <c r="O14" i="3" s="1"/>
  <c r="M13" i="3"/>
  <c r="O13" i="3" s="1"/>
  <c r="M12" i="3"/>
  <c r="O12" i="3" s="1"/>
  <c r="M11" i="3"/>
  <c r="O11" i="3" s="1"/>
  <c r="M10" i="3"/>
  <c r="O10" i="3" s="1"/>
  <c r="M9" i="3"/>
  <c r="O9" i="3" s="1"/>
  <c r="M8" i="3"/>
  <c r="O8" i="3" s="1"/>
  <c r="M7" i="3"/>
  <c r="P17" i="2" l="1"/>
  <c r="P31" i="2"/>
  <c r="E32" i="8" s="1"/>
  <c r="P38" i="2"/>
  <c r="E29" i="8"/>
  <c r="K29" i="1"/>
  <c r="E35" i="8"/>
  <c r="K35" i="1"/>
  <c r="E33" i="8"/>
  <c r="K33" i="1"/>
  <c r="E26" i="8"/>
  <c r="K26" i="1"/>
  <c r="E30" i="8"/>
  <c r="K30" i="1"/>
  <c r="E28" i="8"/>
  <c r="K28" i="1"/>
  <c r="E31" i="8"/>
  <c r="K31" i="1"/>
  <c r="N37" i="8"/>
  <c r="E24" i="8"/>
  <c r="K24" i="1"/>
  <c r="K8" i="1"/>
  <c r="E8" i="8"/>
  <c r="E13" i="8"/>
  <c r="K13" i="1"/>
  <c r="K32" i="1"/>
  <c r="E19" i="8"/>
  <c r="K19" i="1"/>
  <c r="E9" i="8"/>
  <c r="K9" i="1"/>
  <c r="K36" i="2"/>
  <c r="E11" i="8"/>
  <c r="K11" i="1"/>
  <c r="E16" i="8"/>
  <c r="K16" i="1"/>
  <c r="E17" i="8"/>
  <c r="K17" i="1"/>
  <c r="E14" i="8"/>
  <c r="K14" i="1"/>
  <c r="E36" i="8"/>
  <c r="K36" i="1"/>
  <c r="H36" i="2"/>
  <c r="J24" i="2"/>
  <c r="E12" i="8"/>
  <c r="K12" i="1"/>
  <c r="E22" i="8"/>
  <c r="K22" i="1"/>
  <c r="E15" i="8"/>
  <c r="K15" i="1"/>
  <c r="E34" i="8"/>
  <c r="K34" i="1"/>
  <c r="E18" i="8"/>
  <c r="K18" i="1"/>
  <c r="E27" i="8"/>
  <c r="K27" i="1"/>
  <c r="E23" i="8"/>
  <c r="K23" i="1"/>
  <c r="E10" i="8"/>
  <c r="K10" i="1"/>
  <c r="E20" i="8"/>
  <c r="K20" i="1"/>
  <c r="E21" i="8"/>
  <c r="K21" i="1"/>
  <c r="I32" i="1"/>
  <c r="J32" i="7"/>
  <c r="Q32" i="8" s="1"/>
  <c r="I24" i="1"/>
  <c r="J24" i="7"/>
  <c r="Q24" i="8" s="1"/>
  <c r="I16" i="1"/>
  <c r="J16" i="7"/>
  <c r="Q16" i="8" s="1"/>
  <c r="I35" i="1"/>
  <c r="J35" i="7"/>
  <c r="Q35" i="8" s="1"/>
  <c r="I27" i="1"/>
  <c r="J27" i="7"/>
  <c r="Q27" i="8" s="1"/>
  <c r="I19" i="1"/>
  <c r="J19" i="7"/>
  <c r="Q19" i="8" s="1"/>
  <c r="I11" i="1"/>
  <c r="J11" i="7"/>
  <c r="Q11" i="8" s="1"/>
  <c r="I30" i="1"/>
  <c r="J30" i="7"/>
  <c r="Q30" i="8" s="1"/>
  <c r="I22" i="1"/>
  <c r="J22" i="7"/>
  <c r="Q22" i="8" s="1"/>
  <c r="I14" i="1"/>
  <c r="J14" i="7"/>
  <c r="Q14" i="8" s="1"/>
  <c r="I33" i="1"/>
  <c r="J33" i="7"/>
  <c r="Q33" i="8" s="1"/>
  <c r="I25" i="1"/>
  <c r="J25" i="7"/>
  <c r="Q25" i="8" s="1"/>
  <c r="I17" i="1"/>
  <c r="J17" i="7"/>
  <c r="Q17" i="8" s="1"/>
  <c r="I9" i="1"/>
  <c r="J9" i="7"/>
  <c r="Q9" i="8" s="1"/>
  <c r="I36" i="1"/>
  <c r="J36" i="7"/>
  <c r="Q36" i="8" s="1"/>
  <c r="I28" i="1"/>
  <c r="J28" i="7"/>
  <c r="Q28" i="8" s="1"/>
  <c r="I20" i="1"/>
  <c r="J20" i="7"/>
  <c r="Q20" i="8" s="1"/>
  <c r="I12" i="1"/>
  <c r="J12" i="7"/>
  <c r="Q12" i="8" s="1"/>
  <c r="I31" i="1"/>
  <c r="J31" i="7"/>
  <c r="Q31" i="8" s="1"/>
  <c r="I23" i="1"/>
  <c r="J23" i="7"/>
  <c r="Q23" i="8" s="1"/>
  <c r="I15" i="1"/>
  <c r="J15" i="7"/>
  <c r="Q15" i="8" s="1"/>
  <c r="I34" i="1"/>
  <c r="J34" i="7"/>
  <c r="Q34" i="8" s="1"/>
  <c r="I26" i="1"/>
  <c r="J26" i="7"/>
  <c r="Q26" i="8" s="1"/>
  <c r="I18" i="1"/>
  <c r="J18" i="7"/>
  <c r="I10" i="1"/>
  <c r="J10" i="7"/>
  <c r="Q10" i="8" s="1"/>
  <c r="I29" i="1"/>
  <c r="J29" i="7"/>
  <c r="Q29" i="8" s="1"/>
  <c r="I21" i="1"/>
  <c r="J21" i="7"/>
  <c r="Q21" i="8" s="1"/>
  <c r="I13" i="1"/>
  <c r="J13" i="7"/>
  <c r="Q13" i="8" s="1"/>
  <c r="I8" i="1"/>
  <c r="H37" i="1"/>
  <c r="O7" i="3"/>
  <c r="O36" i="3" s="1"/>
  <c r="G36" i="2"/>
  <c r="L23" i="3"/>
  <c r="L7" i="3"/>
  <c r="L35" i="3"/>
  <c r="L31" i="3"/>
  <c r="L29" i="3"/>
  <c r="L27" i="3"/>
  <c r="L25" i="3"/>
  <c r="L21" i="3"/>
  <c r="L19" i="3"/>
  <c r="L17" i="3"/>
  <c r="L15" i="3"/>
  <c r="L13" i="3"/>
  <c r="L11" i="3"/>
  <c r="L9" i="3"/>
  <c r="G28" i="3"/>
  <c r="G24" i="3"/>
  <c r="G20" i="3"/>
  <c r="G12" i="3"/>
  <c r="G8" i="3"/>
  <c r="G35" i="3"/>
  <c r="G31" i="3"/>
  <c r="G27" i="3"/>
  <c r="G23" i="3"/>
  <c r="G19" i="3"/>
  <c r="G15" i="3"/>
  <c r="G11" i="3"/>
  <c r="G7" i="3"/>
  <c r="G32" i="3"/>
  <c r="G16" i="3"/>
  <c r="G34" i="3"/>
  <c r="G30" i="3"/>
  <c r="G26" i="3"/>
  <c r="G22" i="3"/>
  <c r="G18" i="3"/>
  <c r="G14" i="3"/>
  <c r="G10" i="3"/>
  <c r="L33" i="3"/>
  <c r="L32" i="3"/>
  <c r="L28" i="3"/>
  <c r="L24" i="3"/>
  <c r="L22" i="3"/>
  <c r="L20" i="3"/>
  <c r="L18" i="3"/>
  <c r="L16" i="3"/>
  <c r="L14" i="3"/>
  <c r="L12" i="3"/>
  <c r="L10" i="3"/>
  <c r="L8" i="3"/>
  <c r="L34" i="3"/>
  <c r="L30" i="3"/>
  <c r="L26" i="3"/>
  <c r="G33" i="3"/>
  <c r="G29" i="3"/>
  <c r="G25" i="3"/>
  <c r="G21" i="3"/>
  <c r="G17" i="3"/>
  <c r="G13" i="3"/>
  <c r="G9" i="3"/>
  <c r="U35" i="3"/>
  <c r="U31" i="3"/>
  <c r="U27" i="3"/>
  <c r="U23" i="3"/>
  <c r="U19" i="3"/>
  <c r="U15" i="3"/>
  <c r="U11" i="3"/>
  <c r="U7" i="3"/>
  <c r="U34" i="3"/>
  <c r="U30" i="3"/>
  <c r="U26" i="3"/>
  <c r="U22" i="3"/>
  <c r="U18" i="3"/>
  <c r="U14" i="3"/>
  <c r="U33" i="3"/>
  <c r="U29" i="3"/>
  <c r="U25" i="3"/>
  <c r="U21" i="3"/>
  <c r="U17" i="3"/>
  <c r="U13" i="3"/>
  <c r="U32" i="3"/>
  <c r="U28" i="3"/>
  <c r="U24" i="3"/>
  <c r="U20" i="3"/>
  <c r="U16" i="3"/>
  <c r="U8" i="3"/>
  <c r="U10" i="3"/>
  <c r="U12" i="3"/>
  <c r="U9" i="3"/>
  <c r="E39" i="8" l="1"/>
  <c r="K39" i="1"/>
  <c r="P39" i="1" s="1"/>
  <c r="R39" i="1" s="1"/>
  <c r="T39" i="1" s="1"/>
  <c r="Q18" i="8"/>
  <c r="Q39" i="8" s="1"/>
  <c r="J39" i="7"/>
  <c r="P24" i="2"/>
  <c r="J36" i="2"/>
  <c r="Q37" i="8"/>
  <c r="J37" i="7"/>
  <c r="I37" i="1"/>
  <c r="G36" i="3"/>
  <c r="U36" i="3"/>
  <c r="L36" i="3"/>
  <c r="P36" i="2"/>
  <c r="O9" i="8"/>
  <c r="N9" i="1"/>
  <c r="O29" i="8"/>
  <c r="N29" i="1"/>
  <c r="O22" i="8"/>
  <c r="N22" i="1"/>
  <c r="O15" i="8"/>
  <c r="N15" i="1"/>
  <c r="O31" i="8"/>
  <c r="N31" i="1"/>
  <c r="O16" i="8"/>
  <c r="N16" i="1"/>
  <c r="O32" i="8"/>
  <c r="N32" i="1"/>
  <c r="H18" i="8"/>
  <c r="L18" i="1"/>
  <c r="H34" i="8"/>
  <c r="L34" i="1"/>
  <c r="L11" i="1"/>
  <c r="H11" i="8"/>
  <c r="L27" i="1"/>
  <c r="H27" i="8"/>
  <c r="H33" i="8"/>
  <c r="L33" i="1"/>
  <c r="H20" i="8"/>
  <c r="L20" i="1"/>
  <c r="H36" i="8"/>
  <c r="L36" i="1"/>
  <c r="H25" i="8"/>
  <c r="L25" i="1"/>
  <c r="O10" i="8"/>
  <c r="N10" i="1"/>
  <c r="O17" i="8"/>
  <c r="N17" i="1"/>
  <c r="O33" i="8"/>
  <c r="N33" i="1"/>
  <c r="O26" i="8"/>
  <c r="N26" i="1"/>
  <c r="O19" i="8"/>
  <c r="N19" i="1"/>
  <c r="O35" i="8"/>
  <c r="N35" i="1"/>
  <c r="O20" i="8"/>
  <c r="N20" i="1"/>
  <c r="O36" i="8"/>
  <c r="N36" i="1"/>
  <c r="H22" i="8"/>
  <c r="L22" i="1"/>
  <c r="L15" i="1"/>
  <c r="H15" i="8"/>
  <c r="L31" i="1"/>
  <c r="H31" i="8"/>
  <c r="H8" i="8"/>
  <c r="L8" i="1"/>
  <c r="H24" i="8"/>
  <c r="L24" i="1"/>
  <c r="H9" i="8"/>
  <c r="L9" i="1"/>
  <c r="H29" i="8"/>
  <c r="L29" i="1"/>
  <c r="O13" i="8"/>
  <c r="N13" i="1"/>
  <c r="O21" i="8"/>
  <c r="N21" i="1"/>
  <c r="O14" i="8"/>
  <c r="N14" i="1"/>
  <c r="O30" i="8"/>
  <c r="N30" i="1"/>
  <c r="O23" i="8"/>
  <c r="N23" i="1"/>
  <c r="O8" i="8"/>
  <c r="N8" i="1"/>
  <c r="O24" i="8"/>
  <c r="N24" i="1"/>
  <c r="H10" i="8"/>
  <c r="L10" i="1"/>
  <c r="H26" i="8"/>
  <c r="L26" i="1"/>
  <c r="L19" i="1"/>
  <c r="H19" i="8"/>
  <c r="L35" i="1"/>
  <c r="H35" i="8"/>
  <c r="H12" i="8"/>
  <c r="L12" i="1"/>
  <c r="H28" i="8"/>
  <c r="L28" i="1"/>
  <c r="H13" i="8"/>
  <c r="L13" i="1"/>
  <c r="O11" i="8"/>
  <c r="N11" i="1"/>
  <c r="O25" i="8"/>
  <c r="N25" i="1"/>
  <c r="O18" i="8"/>
  <c r="N18" i="1"/>
  <c r="O34" i="8"/>
  <c r="N34" i="1"/>
  <c r="O27" i="8"/>
  <c r="N27" i="1"/>
  <c r="O12" i="8"/>
  <c r="N12" i="1"/>
  <c r="O28" i="8"/>
  <c r="N28" i="1"/>
  <c r="H14" i="8"/>
  <c r="L14" i="1"/>
  <c r="H30" i="8"/>
  <c r="L30" i="1"/>
  <c r="L23" i="1"/>
  <c r="H23" i="8"/>
  <c r="H17" i="8"/>
  <c r="L17" i="1"/>
  <c r="H16" i="8"/>
  <c r="L16" i="1"/>
  <c r="H32" i="8"/>
  <c r="L32" i="1"/>
  <c r="H21" i="8"/>
  <c r="L21" i="1"/>
  <c r="P17" i="3"/>
  <c r="P20" i="3"/>
  <c r="P32" i="3"/>
  <c r="P27" i="3"/>
  <c r="P9" i="3"/>
  <c r="P7" i="3"/>
  <c r="P30" i="3"/>
  <c r="P12" i="3"/>
  <c r="P8" i="3"/>
  <c r="P28" i="3"/>
  <c r="P18" i="3"/>
  <c r="P26" i="3"/>
  <c r="P14" i="3"/>
  <c r="P13" i="3"/>
  <c r="P23" i="3"/>
  <c r="P24" i="3"/>
  <c r="P35" i="3"/>
  <c r="P19" i="3"/>
  <c r="P11" i="3"/>
  <c r="P22" i="3"/>
  <c r="P25" i="3"/>
  <c r="P29" i="3"/>
  <c r="P31" i="3"/>
  <c r="P15" i="3"/>
  <c r="P16" i="3"/>
  <c r="P33" i="3"/>
  <c r="P34" i="3"/>
  <c r="P10" i="3"/>
  <c r="P21" i="3"/>
  <c r="E25" i="8" l="1"/>
  <c r="E37" i="8" s="1"/>
  <c r="K25" i="1"/>
  <c r="K37" i="1" s="1"/>
  <c r="P36" i="3"/>
  <c r="L37" i="1"/>
  <c r="O37" i="8"/>
  <c r="H37" i="8"/>
  <c r="M11" i="1"/>
  <c r="P11" i="1" s="1"/>
  <c r="L11" i="8"/>
  <c r="M16" i="1"/>
  <c r="P16" i="1" s="1"/>
  <c r="L16" i="8"/>
  <c r="L23" i="8"/>
  <c r="M23" i="1"/>
  <c r="P23" i="1" s="1"/>
  <c r="L25" i="8"/>
  <c r="M25" i="1"/>
  <c r="L27" i="8"/>
  <c r="M27" i="1"/>
  <c r="P27" i="1" s="1"/>
  <c r="M10" i="1"/>
  <c r="P10" i="1" s="1"/>
  <c r="L10" i="8"/>
  <c r="M18" i="1"/>
  <c r="P18" i="1" s="1"/>
  <c r="L18" i="8"/>
  <c r="L35" i="8"/>
  <c r="M35" i="1"/>
  <c r="M32" i="1"/>
  <c r="P32" i="1" s="1"/>
  <c r="L32" i="8"/>
  <c r="M12" i="1"/>
  <c r="P12" i="1" s="1"/>
  <c r="L12" i="8"/>
  <c r="M24" i="1"/>
  <c r="P24" i="1" s="1"/>
  <c r="L24" i="8"/>
  <c r="L19" i="8"/>
  <c r="M19" i="1"/>
  <c r="P19" i="1" s="1"/>
  <c r="M13" i="1"/>
  <c r="P13" i="1" s="1"/>
  <c r="L13" i="8"/>
  <c r="M28" i="1"/>
  <c r="P28" i="1" s="1"/>
  <c r="L28" i="8"/>
  <c r="M34" i="1"/>
  <c r="P34" i="1" s="1"/>
  <c r="L34" i="8"/>
  <c r="M30" i="1"/>
  <c r="P30" i="1" s="1"/>
  <c r="L30" i="8"/>
  <c r="M20" i="1"/>
  <c r="P20" i="1" s="1"/>
  <c r="L20" i="8"/>
  <c r="M14" i="1"/>
  <c r="P14" i="1" s="1"/>
  <c r="L14" i="8"/>
  <c r="L29" i="8"/>
  <c r="M29" i="1"/>
  <c r="P29" i="1" s="1"/>
  <c r="L31" i="8"/>
  <c r="M31" i="1"/>
  <c r="P31" i="1" s="1"/>
  <c r="L33" i="8"/>
  <c r="M33" i="1"/>
  <c r="P33" i="1" s="1"/>
  <c r="M22" i="1"/>
  <c r="P22" i="1" s="1"/>
  <c r="L22" i="8"/>
  <c r="L17" i="8"/>
  <c r="M17" i="1"/>
  <c r="P17" i="1" s="1"/>
  <c r="M26" i="1"/>
  <c r="P26" i="1" s="1"/>
  <c r="L26" i="8"/>
  <c r="M36" i="1"/>
  <c r="L36" i="8"/>
  <c r="L15" i="8"/>
  <c r="M15" i="1"/>
  <c r="P15" i="1" s="1"/>
  <c r="L9" i="8"/>
  <c r="M9" i="1"/>
  <c r="P9" i="1" s="1"/>
  <c r="L8" i="8"/>
  <c r="M8" i="1"/>
  <c r="P8" i="1" s="1"/>
  <c r="L21" i="8"/>
  <c r="M21" i="1"/>
  <c r="P21" i="1" s="1"/>
  <c r="P25" i="1" l="1"/>
  <c r="R34" i="1"/>
  <c r="R18" i="1"/>
  <c r="X18" i="8" s="1"/>
  <c r="P36" i="1"/>
  <c r="R36" i="1" s="1"/>
  <c r="X36" i="8" s="1"/>
  <c r="P35" i="1"/>
  <c r="R35" i="1" s="1"/>
  <c r="X35" i="8" s="1"/>
  <c r="L37" i="8"/>
  <c r="M37" i="1"/>
  <c r="R32" i="1"/>
  <c r="X32" i="8" s="1"/>
  <c r="R13" i="1"/>
  <c r="X13" i="8" s="1"/>
  <c r="R26" i="1"/>
  <c r="X26" i="8" s="1"/>
  <c r="R22" i="1"/>
  <c r="X22" i="8" s="1"/>
  <c r="R25" i="1"/>
  <c r="X25" i="8" s="1"/>
  <c r="R30" i="1"/>
  <c r="X30" i="8" s="1"/>
  <c r="R23" i="1"/>
  <c r="X23" i="8" s="1"/>
  <c r="R19" i="1"/>
  <c r="X19" i="8" s="1"/>
  <c r="R20" i="1"/>
  <c r="X20" i="8" s="1"/>
  <c r="R33" i="1"/>
  <c r="X33" i="8" s="1"/>
  <c r="R14" i="1"/>
  <c r="X14" i="8" s="1"/>
  <c r="R11" i="1"/>
  <c r="X11" i="8" s="1"/>
  <c r="R28" i="1"/>
  <c r="X28" i="8" s="1"/>
  <c r="R15" i="1"/>
  <c r="X15" i="8" s="1"/>
  <c r="R29" i="1"/>
  <c r="X29" i="8" s="1"/>
  <c r="R9" i="1"/>
  <c r="X9" i="8" s="1"/>
  <c r="R16" i="1"/>
  <c r="X16" i="8" s="1"/>
  <c r="R12" i="1"/>
  <c r="X12" i="8" s="1"/>
  <c r="R31" i="1"/>
  <c r="X31" i="8" s="1"/>
  <c r="R27" i="1"/>
  <c r="X27" i="8" s="1"/>
  <c r="R24" i="1"/>
  <c r="X24" i="8" s="1"/>
  <c r="R21" i="1"/>
  <c r="X21" i="8" s="1"/>
  <c r="R10" i="1"/>
  <c r="X10" i="8" s="1"/>
  <c r="R8" i="1"/>
  <c r="X8" i="8" s="1"/>
  <c r="R17" i="1"/>
  <c r="X17" i="8" s="1"/>
  <c r="N37" i="1"/>
  <c r="X39" i="8" l="1"/>
  <c r="T18" i="1"/>
  <c r="D18" i="7" s="1"/>
  <c r="T34" i="1"/>
  <c r="D34" i="7" s="1"/>
  <c r="X34" i="8"/>
  <c r="T36" i="1"/>
  <c r="D36" i="7" s="1"/>
  <c r="T35" i="1"/>
  <c r="D35" i="7" s="1"/>
  <c r="K35" i="7" s="1"/>
  <c r="S35" i="8" s="1"/>
  <c r="T35" i="8" s="1"/>
  <c r="V35" i="8" s="1"/>
  <c r="Y35" i="8" s="1"/>
  <c r="AB30" i="4"/>
  <c r="AC30" i="4" s="1"/>
  <c r="AE30" i="4" s="1"/>
  <c r="AB29" i="4"/>
  <c r="AC29" i="4" s="1"/>
  <c r="AE29" i="4" s="1"/>
  <c r="AB13" i="4"/>
  <c r="AC13" i="4" s="1"/>
  <c r="AE13" i="4" s="1"/>
  <c r="AB31" i="4"/>
  <c r="AC31" i="4" s="1"/>
  <c r="AE31" i="4" s="1"/>
  <c r="T24" i="1"/>
  <c r="T28" i="1"/>
  <c r="T27" i="1"/>
  <c r="T11" i="1"/>
  <c r="T19" i="1"/>
  <c r="T22" i="1"/>
  <c r="T10" i="1"/>
  <c r="T29" i="1"/>
  <c r="T23" i="1"/>
  <c r="T26" i="1"/>
  <c r="T17" i="1"/>
  <c r="T16" i="1"/>
  <c r="T20" i="1"/>
  <c r="T25" i="1"/>
  <c r="T32" i="1"/>
  <c r="T9" i="1"/>
  <c r="T31" i="1"/>
  <c r="T14" i="1"/>
  <c r="T21" i="1"/>
  <c r="T12" i="1"/>
  <c r="T15" i="1"/>
  <c r="T33" i="1"/>
  <c r="T30" i="1"/>
  <c r="T13" i="1"/>
  <c r="P37" i="1"/>
  <c r="T8" i="1"/>
  <c r="D8" i="7" s="1"/>
  <c r="R37" i="1"/>
  <c r="K8" i="7" l="1"/>
  <c r="S8" i="8" s="1"/>
  <c r="K36" i="7"/>
  <c r="S36" i="8" s="1"/>
  <c r="T36" i="8" s="1"/>
  <c r="V36" i="8" s="1"/>
  <c r="Y36" i="8" s="1"/>
  <c r="K34" i="7"/>
  <c r="S34" i="8" s="1"/>
  <c r="T34" i="8" s="1"/>
  <c r="V34" i="8" s="1"/>
  <c r="Y34" i="8" s="1"/>
  <c r="K18" i="7"/>
  <c r="S18" i="8" s="1"/>
  <c r="T18" i="8" s="1"/>
  <c r="V18" i="8" s="1"/>
  <c r="Y18" i="8" s="1"/>
  <c r="AB8" i="4"/>
  <c r="AC8" i="4" s="1"/>
  <c r="D13" i="7"/>
  <c r="K13" i="7" s="1"/>
  <c r="S13" i="8" s="1"/>
  <c r="T13" i="8" s="1"/>
  <c r="V13" i="8" s="1"/>
  <c r="Y13" i="8" s="1"/>
  <c r="AB28" i="4"/>
  <c r="AC28" i="4" s="1"/>
  <c r="AE28" i="4" s="1"/>
  <c r="D33" i="7"/>
  <c r="AB7" i="4"/>
  <c r="AC7" i="4" s="1"/>
  <c r="D12" i="7"/>
  <c r="K12" i="7" s="1"/>
  <c r="S12" i="8" s="1"/>
  <c r="T12" i="8" s="1"/>
  <c r="V12" i="8" s="1"/>
  <c r="Y12" i="8" s="1"/>
  <c r="AB9" i="4"/>
  <c r="AC9" i="4" s="1"/>
  <c r="AE9" i="4" s="1"/>
  <c r="D14" i="7"/>
  <c r="AB4" i="4"/>
  <c r="AC4" i="4" s="1"/>
  <c r="D9" i="7"/>
  <c r="K9" i="7" s="1"/>
  <c r="S9" i="8" s="1"/>
  <c r="T9" i="8" s="1"/>
  <c r="V9" i="8" s="1"/>
  <c r="Y9" i="8" s="1"/>
  <c r="AB20" i="4"/>
  <c r="AC20" i="4" s="1"/>
  <c r="AE20" i="4" s="1"/>
  <c r="D25" i="7"/>
  <c r="AB11" i="4"/>
  <c r="AC11" i="4" s="1"/>
  <c r="AE11" i="4" s="1"/>
  <c r="D16" i="7"/>
  <c r="K16" i="7" s="1"/>
  <c r="S16" i="8" s="1"/>
  <c r="T16" i="8" s="1"/>
  <c r="V16" i="8" s="1"/>
  <c r="Y16" i="8" s="1"/>
  <c r="AB21" i="4"/>
  <c r="AC21" i="4" s="1"/>
  <c r="AE21" i="4" s="1"/>
  <c r="D26" i="7"/>
  <c r="AB24" i="4"/>
  <c r="AC24" i="4" s="1"/>
  <c r="D29" i="7"/>
  <c r="K29" i="7" s="1"/>
  <c r="S29" i="8" s="1"/>
  <c r="T29" i="8" s="1"/>
  <c r="V29" i="8" s="1"/>
  <c r="Y29" i="8" s="1"/>
  <c r="AB17" i="4"/>
  <c r="AC17" i="4" s="1"/>
  <c r="AE17" i="4" s="1"/>
  <c r="D22" i="7"/>
  <c r="AB6" i="4"/>
  <c r="AC6" i="4" s="1"/>
  <c r="AE6" i="4" s="1"/>
  <c r="D11" i="7"/>
  <c r="K11" i="7" s="1"/>
  <c r="S11" i="8" s="1"/>
  <c r="T11" i="8" s="1"/>
  <c r="V11" i="8" s="1"/>
  <c r="Y11" i="8" s="1"/>
  <c r="AB23" i="4"/>
  <c r="AC23" i="4" s="1"/>
  <c r="AE23" i="4" s="1"/>
  <c r="D28" i="7"/>
  <c r="AB25" i="4"/>
  <c r="AC25" i="4" s="1"/>
  <c r="AE25" i="4" s="1"/>
  <c r="D30" i="7"/>
  <c r="K30" i="7" s="1"/>
  <c r="S30" i="8" s="1"/>
  <c r="T30" i="8" s="1"/>
  <c r="V30" i="8" s="1"/>
  <c r="Y30" i="8" s="1"/>
  <c r="AB10" i="4"/>
  <c r="AC10" i="4" s="1"/>
  <c r="AE10" i="4" s="1"/>
  <c r="D15" i="7"/>
  <c r="AB16" i="4"/>
  <c r="AC16" i="4" s="1"/>
  <c r="AE16" i="4" s="1"/>
  <c r="D21" i="7"/>
  <c r="K21" i="7" s="1"/>
  <c r="S21" i="8" s="1"/>
  <c r="T21" i="8" s="1"/>
  <c r="V21" i="8" s="1"/>
  <c r="Y21" i="8" s="1"/>
  <c r="AB26" i="4"/>
  <c r="AC26" i="4" s="1"/>
  <c r="AE26" i="4" s="1"/>
  <c r="D31" i="7"/>
  <c r="AB27" i="4"/>
  <c r="AC27" i="4" s="1"/>
  <c r="AE27" i="4" s="1"/>
  <c r="D32" i="7"/>
  <c r="K32" i="7" s="1"/>
  <c r="S32" i="8" s="1"/>
  <c r="T32" i="8" s="1"/>
  <c r="V32" i="8" s="1"/>
  <c r="Y32" i="8" s="1"/>
  <c r="AB15" i="4"/>
  <c r="AC15" i="4" s="1"/>
  <c r="AE15" i="4" s="1"/>
  <c r="D20" i="7"/>
  <c r="AB12" i="4"/>
  <c r="AC12" i="4" s="1"/>
  <c r="AE12" i="4" s="1"/>
  <c r="D17" i="7"/>
  <c r="K17" i="7" s="1"/>
  <c r="S17" i="8" s="1"/>
  <c r="T17" i="8" s="1"/>
  <c r="V17" i="8" s="1"/>
  <c r="Y17" i="8" s="1"/>
  <c r="AB18" i="4"/>
  <c r="AC18" i="4" s="1"/>
  <c r="AE18" i="4" s="1"/>
  <c r="D23" i="7"/>
  <c r="AB5" i="4"/>
  <c r="AC5" i="4" s="1"/>
  <c r="AE5" i="4" s="1"/>
  <c r="D10" i="7"/>
  <c r="K10" i="7" s="1"/>
  <c r="S10" i="8" s="1"/>
  <c r="T10" i="8" s="1"/>
  <c r="V10" i="8" s="1"/>
  <c r="Y10" i="8" s="1"/>
  <c r="AB14" i="4"/>
  <c r="AC14" i="4" s="1"/>
  <c r="AE14" i="4" s="1"/>
  <c r="D19" i="7"/>
  <c r="K19" i="7" s="1"/>
  <c r="S19" i="8" s="1"/>
  <c r="T19" i="8" s="1"/>
  <c r="V19" i="8" s="1"/>
  <c r="Y19" i="8" s="1"/>
  <c r="AB22" i="4"/>
  <c r="AC22" i="4" s="1"/>
  <c r="AE22" i="4" s="1"/>
  <c r="D27" i="7"/>
  <c r="K27" i="7" s="1"/>
  <c r="S27" i="8" s="1"/>
  <c r="T27" i="8" s="1"/>
  <c r="V27" i="8" s="1"/>
  <c r="Y27" i="8" s="1"/>
  <c r="AB19" i="4"/>
  <c r="AC19" i="4" s="1"/>
  <c r="AE19" i="4" s="1"/>
  <c r="D24" i="7"/>
  <c r="X37" i="8"/>
  <c r="AB3" i="4"/>
  <c r="AE7" i="4"/>
  <c r="AE8" i="4"/>
  <c r="AE24" i="4"/>
  <c r="AE4" i="4"/>
  <c r="T37" i="1"/>
  <c r="D39" i="7" l="1"/>
  <c r="K39" i="7" s="1"/>
  <c r="S39" i="8" s="1"/>
  <c r="T39" i="8" s="1"/>
  <c r="V39" i="8" s="1"/>
  <c r="Y39" i="8" s="1"/>
  <c r="K31" i="7"/>
  <c r="S31" i="8" s="1"/>
  <c r="T31" i="8" s="1"/>
  <c r="V31" i="8" s="1"/>
  <c r="Y31" i="8" s="1"/>
  <c r="K28" i="7"/>
  <c r="S28" i="8" s="1"/>
  <c r="T28" i="8" s="1"/>
  <c r="V28" i="8" s="1"/>
  <c r="Y28" i="8" s="1"/>
  <c r="K26" i="7"/>
  <c r="S26" i="8" s="1"/>
  <c r="T26" i="8" s="1"/>
  <c r="V26" i="8" s="1"/>
  <c r="Y26" i="8" s="1"/>
  <c r="K33" i="7"/>
  <c r="S33" i="8" s="1"/>
  <c r="T33" i="8" s="1"/>
  <c r="V33" i="8" s="1"/>
  <c r="Y33" i="8" s="1"/>
  <c r="K24" i="7"/>
  <c r="S24" i="8" s="1"/>
  <c r="T24" i="8" s="1"/>
  <c r="V24" i="8" s="1"/>
  <c r="Y24" i="8" s="1"/>
  <c r="K23" i="7"/>
  <c r="S23" i="8" s="1"/>
  <c r="T23" i="8" s="1"/>
  <c r="V23" i="8" s="1"/>
  <c r="Y23" i="8" s="1"/>
  <c r="K20" i="7"/>
  <c r="S20" i="8" s="1"/>
  <c r="T20" i="8" s="1"/>
  <c r="V20" i="8" s="1"/>
  <c r="Y20" i="8" s="1"/>
  <c r="K15" i="7"/>
  <c r="S15" i="8" s="1"/>
  <c r="T15" i="8" s="1"/>
  <c r="V15" i="8" s="1"/>
  <c r="Y15" i="8" s="1"/>
  <c r="K22" i="7"/>
  <c r="S22" i="8" s="1"/>
  <c r="T22" i="8" s="1"/>
  <c r="V22" i="8" s="1"/>
  <c r="Y22" i="8" s="1"/>
  <c r="K25" i="7"/>
  <c r="S25" i="8" s="1"/>
  <c r="T25" i="8" s="1"/>
  <c r="V25" i="8" s="1"/>
  <c r="Y25" i="8" s="1"/>
  <c r="K14" i="7"/>
  <c r="S14" i="8" s="1"/>
  <c r="T14" i="8" s="1"/>
  <c r="V14" i="8" s="1"/>
  <c r="Y14" i="8" s="1"/>
  <c r="D37" i="7"/>
  <c r="K37" i="7" s="1"/>
  <c r="AC3" i="4"/>
  <c r="T8" i="8" l="1"/>
  <c r="AE3" i="4"/>
  <c r="V8" i="8" l="1"/>
  <c r="Y8" i="8" s="1"/>
  <c r="T37" i="8"/>
  <c r="V37" i="8" s="1"/>
  <c r="Y37" i="8" l="1"/>
</calcChain>
</file>

<file path=xl/sharedStrings.xml><?xml version="1.0" encoding="utf-8"?>
<sst xmlns="http://schemas.openxmlformats.org/spreadsheetml/2006/main" count="987" uniqueCount="276">
  <si>
    <t>Medicare Number</t>
  </si>
  <si>
    <t>Medicaid Number</t>
  </si>
  <si>
    <t>Hospital</t>
  </si>
  <si>
    <t>DRG</t>
  </si>
  <si>
    <t>Rehab</t>
  </si>
  <si>
    <t>Discharges</t>
  </si>
  <si>
    <t>Hospital Specific Revenue Neutral Target Payments</t>
  </si>
  <si>
    <t>Adult Behavior Health Payments</t>
  </si>
  <si>
    <t>Child Behavior Health Payments</t>
  </si>
  <si>
    <t>Rehab Payments</t>
  </si>
  <si>
    <t>004041836</t>
  </si>
  <si>
    <t>070002</t>
  </si>
  <si>
    <t>004041729</t>
  </si>
  <si>
    <t>Saint Francis Hospital</t>
  </si>
  <si>
    <t>070003</t>
  </si>
  <si>
    <t>004041638</t>
  </si>
  <si>
    <t>Day Kimball Hospital</t>
  </si>
  <si>
    <t>070004</t>
  </si>
  <si>
    <t>004221800</t>
  </si>
  <si>
    <t>Sharon Hospital</t>
  </si>
  <si>
    <t>070005</t>
  </si>
  <si>
    <t>004041653</t>
  </si>
  <si>
    <t>Waterbury Hospital</t>
  </si>
  <si>
    <t>070006</t>
  </si>
  <si>
    <t>004041661</t>
  </si>
  <si>
    <t>Stamford Hospital</t>
  </si>
  <si>
    <t>070007</t>
  </si>
  <si>
    <t>004041679</t>
  </si>
  <si>
    <t>Lawrence &amp; Memorial Hospital</t>
  </si>
  <si>
    <t>070008</t>
  </si>
  <si>
    <t>004041687</t>
  </si>
  <si>
    <t>Johnson Memorial Hospital</t>
  </si>
  <si>
    <t>070010</t>
  </si>
  <si>
    <t>004041703</t>
  </si>
  <si>
    <t>Bridgeport Hospital</t>
  </si>
  <si>
    <t>070011</t>
  </si>
  <si>
    <t>004041711</t>
  </si>
  <si>
    <t>Charlotte Hungerford Hospital</t>
  </si>
  <si>
    <t>070012</t>
  </si>
  <si>
    <t>Rockville General Hospital</t>
  </si>
  <si>
    <t>070015</t>
  </si>
  <si>
    <t>004041935</t>
  </si>
  <si>
    <t>New Milford Hospital</t>
  </si>
  <si>
    <t>070016</t>
  </si>
  <si>
    <t>004041760</t>
  </si>
  <si>
    <t>Saint Mary's Hospital</t>
  </si>
  <si>
    <t>070017</t>
  </si>
  <si>
    <t>004041778</t>
  </si>
  <si>
    <t>Midstate Medical Center</t>
  </si>
  <si>
    <t>070018</t>
  </si>
  <si>
    <t>004041786</t>
  </si>
  <si>
    <t>Greenwich Hospital</t>
  </si>
  <si>
    <t>070019</t>
  </si>
  <si>
    <t>004041794</t>
  </si>
  <si>
    <t>Milford Hospital</t>
  </si>
  <si>
    <t>070020</t>
  </si>
  <si>
    <t>004041810</t>
  </si>
  <si>
    <t>Middlesex Hospital</t>
  </si>
  <si>
    <t>070021</t>
  </si>
  <si>
    <t>004041828</t>
  </si>
  <si>
    <t>Windham Community Memorial Hospital</t>
  </si>
  <si>
    <t>070022</t>
  </si>
  <si>
    <t>Yale-New Haven Hospital</t>
  </si>
  <si>
    <t>070024</t>
  </si>
  <si>
    <t>004041851</t>
  </si>
  <si>
    <t>William W. Backus Hospital</t>
  </si>
  <si>
    <t>070025</t>
  </si>
  <si>
    <t>004041869</t>
  </si>
  <si>
    <t>Hartford Hospital</t>
  </si>
  <si>
    <t>070027</t>
  </si>
  <si>
    <t>004041885</t>
  </si>
  <si>
    <t>Manchester Memorial Hospital</t>
  </si>
  <si>
    <t>070028</t>
  </si>
  <si>
    <t>004041893</t>
  </si>
  <si>
    <t>Saint Vincent's Medical Center</t>
  </si>
  <si>
    <t>070029</t>
  </si>
  <si>
    <t>004041901</t>
  </si>
  <si>
    <t>Bristol Hospital</t>
  </si>
  <si>
    <t>070031</t>
  </si>
  <si>
    <t>004041927</t>
  </si>
  <si>
    <t>Griffin Hospital</t>
  </si>
  <si>
    <t>070033</t>
  </si>
  <si>
    <t>Danbury Hospital</t>
  </si>
  <si>
    <t>070034</t>
  </si>
  <si>
    <t>004041943</t>
  </si>
  <si>
    <t>Norwalk Hospital</t>
  </si>
  <si>
    <t>070035</t>
  </si>
  <si>
    <t>004041950</t>
  </si>
  <si>
    <t>Hospital of Central Connecticut</t>
  </si>
  <si>
    <t>070036</t>
  </si>
  <si>
    <t>004041968</t>
  </si>
  <si>
    <t>John Dempsey Hospital</t>
  </si>
  <si>
    <t>073300</t>
  </si>
  <si>
    <t>004159960</t>
  </si>
  <si>
    <t>Connecticut Children's Medical Center</t>
  </si>
  <si>
    <t>Target Amount</t>
  </si>
  <si>
    <t>IP Operating Costs (excluding capital, provider-based physicians and medical education)</t>
  </si>
  <si>
    <t>Heart &amp; Liver Transplants</t>
  </si>
  <si>
    <t>Burn Units</t>
  </si>
  <si>
    <t>Medicaid Allowed Payment per child BH claims paid but not included in reconciliation</t>
  </si>
  <si>
    <t>Hospital based physician portion of child BH payment of $22.66 per child BH day</t>
  </si>
  <si>
    <t>prov_no</t>
  </si>
  <si>
    <t>cb_mk_prov</t>
  </si>
  <si>
    <t>new_name</t>
  </si>
  <si>
    <t>bh_rates</t>
  </si>
  <si>
    <t>days</t>
  </si>
  <si>
    <t>Adult</t>
  </si>
  <si>
    <t>Child</t>
  </si>
  <si>
    <t>Allowed</t>
  </si>
  <si>
    <t>Days</t>
  </si>
  <si>
    <t>Dci Days</t>
  </si>
  <si>
    <t>004041620</t>
  </si>
  <si>
    <t>IP Operating Costs</t>
  </si>
  <si>
    <t>Capital Related Costs</t>
  </si>
  <si>
    <t>Heart and Liver Transplants</t>
  </si>
  <si>
    <t>Burn</t>
  </si>
  <si>
    <t>Pg7_L42</t>
  </si>
  <si>
    <t>Pg7_L39</t>
  </si>
  <si>
    <t>Pg7_L35</t>
  </si>
  <si>
    <t>Pg7_L36</t>
  </si>
  <si>
    <t>P8_CRS_L2a</t>
  </si>
  <si>
    <t>P8_CRS_L2b</t>
  </si>
  <si>
    <t>P8_CRS_L2c</t>
  </si>
  <si>
    <t>CTCCMC</t>
  </si>
  <si>
    <t xml:space="preserve">Danbury </t>
  </si>
  <si>
    <t>Essent Healthcare of CT, Inc. d/b/a Sharon Hospital</t>
  </si>
  <si>
    <t>GRIFFIN HOSPITAL</t>
  </si>
  <si>
    <t>Lawrence + Memorial Hospital</t>
  </si>
  <si>
    <t>MidState Medical Center</t>
  </si>
  <si>
    <t>Milford Hospital, Inc.</t>
  </si>
  <si>
    <t>Saint Francis Hospital and Medical Center</t>
  </si>
  <si>
    <t>Saint Raphael Campus of Yale-New Haven Hospital</t>
  </si>
  <si>
    <t>St. Vincent's Medical Center</t>
  </si>
  <si>
    <t>The Hospital of Central Connecticut</t>
  </si>
  <si>
    <t>The Waterbury Hospital</t>
  </si>
  <si>
    <t>THE WILLIAM W. BACKUS HOSPITAL</t>
  </si>
  <si>
    <t>Windham Hospital</t>
  </si>
  <si>
    <t>004041752</t>
  </si>
  <si>
    <t>004041612</t>
  </si>
  <si>
    <t>Yale-New Haven Hospital (Combined)</t>
  </si>
  <si>
    <t>Child Behavior Days</t>
  </si>
  <si>
    <t>APR-DRG Version 31</t>
  </si>
  <si>
    <t>DCI Reserve Percentage</t>
  </si>
  <si>
    <t>Weights</t>
  </si>
  <si>
    <t>CMI</t>
  </si>
  <si>
    <t>Outlier Free DRG Rate</t>
  </si>
  <si>
    <t>DRG Rev Neutral Target</t>
  </si>
  <si>
    <t>Discount</t>
  </si>
  <si>
    <t>CMI - Claim set</t>
  </si>
  <si>
    <t>Reconciliation</t>
  </si>
  <si>
    <t>DRG Discharges</t>
  </si>
  <si>
    <t>*Reconciliation Discharges come from the CT reconciliation files for 1/1/2012 to 9/30/12</t>
  </si>
  <si>
    <t>***CCMC Reconciliaiton discharges are from the claim set only.</t>
  </si>
  <si>
    <t>**Reconciliation DRG Discharges are discharges from the reconciliations minus discharges from the claim set for psych and rehab.</t>
  </si>
  <si>
    <t>Total Discharges</t>
  </si>
  <si>
    <t>Estimated Outlier Payments</t>
  </si>
  <si>
    <t>Inlier Discharges</t>
  </si>
  <si>
    <t>Inlier CMI</t>
  </si>
  <si>
    <t>Transfer Discharges</t>
  </si>
  <si>
    <t>Transfer CMI</t>
  </si>
  <si>
    <t>Outlier Discharges</t>
  </si>
  <si>
    <t>Outlier CMI</t>
  </si>
  <si>
    <t>Total CMI</t>
  </si>
  <si>
    <t>Inlier Payments</t>
  </si>
  <si>
    <t>Outlier Payments</t>
  </si>
  <si>
    <t>Revenue Neutral Payments</t>
  </si>
  <si>
    <t>Total Payments</t>
  </si>
  <si>
    <t>2012 Reconciliation</t>
  </si>
  <si>
    <t>Claim Dates from 1/1/2012 to 9/30/2012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</si>
  <si>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</si>
  <si>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</si>
  <si>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</si>
  <si>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</si>
  <si>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</si>
  <si>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</si>
  <si>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</si>
  <si>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</si>
  <si>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</si>
  <si>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</si>
  <si>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</si>
  <si>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</si>
  <si>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</si>
  <si>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</si>
  <si>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</si>
  <si>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</si>
  <si>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</si>
  <si>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</si>
  <si>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</si>
  <si>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g = f * d</t>
  </si>
  <si>
    <t>k = h * j</t>
  </si>
  <si>
    <t>l = h * .85</t>
  </si>
  <si>
    <t>n = l * m</t>
  </si>
  <si>
    <t>o = k + n</t>
  </si>
  <si>
    <t>s = p * r</t>
  </si>
  <si>
    <t>h = e - f - g</t>
  </si>
  <si>
    <t>s = r / q</t>
  </si>
  <si>
    <t>Period</t>
  </si>
  <si>
    <t>2012 Reconciliation (9 months)</t>
  </si>
  <si>
    <t>Adult Behavioral Health</t>
  </si>
  <si>
    <t>Per Diem Rate</t>
  </si>
  <si>
    <t>Child Behavioral Health</t>
  </si>
  <si>
    <t>Per Diem Rate for Discharge Delay Days</t>
  </si>
  <si>
    <t>Discharge Delay Total Payments</t>
  </si>
  <si>
    <t>Total Estimated Payments</t>
  </si>
  <si>
    <t>Rehabilitation</t>
  </si>
  <si>
    <t>Rehabilitation Payments</t>
  </si>
  <si>
    <t>Revenue Neutral Target Payments</t>
  </si>
  <si>
    <t>DCI Reserve</t>
  </si>
  <si>
    <t>Revenue Neutral Target less Behavioral Health and Rehabilitation</t>
  </si>
  <si>
    <t>i = h + g + f + d</t>
  </si>
  <si>
    <t>Discharges Per Reconciliation</t>
  </si>
  <si>
    <t>2012 Reconciliation Target Amount</t>
  </si>
  <si>
    <t>Lower of 2012 Reconciliation Target or IP Operating Costs</t>
  </si>
  <si>
    <t>g = lower of e or f</t>
  </si>
  <si>
    <t>Behavioral Health and Rehabilitation Payments</t>
  </si>
  <si>
    <t>Adult BH Discharges per Claim Set</t>
  </si>
  <si>
    <t>Adult BH Days Per Claim Set</t>
  </si>
  <si>
    <t>Child BH Discharges Per Claim Set</t>
  </si>
  <si>
    <t>Child BH Days Per Claim Set</t>
  </si>
  <si>
    <t>Discharge Delay Days Per Claim Set</t>
  </si>
  <si>
    <t>Rehab Discharges Per Claim Set</t>
  </si>
  <si>
    <t>Rehab Days Per Claim Set</t>
  </si>
  <si>
    <t>APR-DRG Revenue Neutral Target</t>
  </si>
  <si>
    <t>Child Behavioral Health Per Claim Set</t>
  </si>
  <si>
    <t>Reconciliation Discharges (APR-DRG, Adult BH, Rehab)</t>
  </si>
  <si>
    <t>Adult Behavioral Health Per Claim Set</t>
  </si>
  <si>
    <t>Rehabilitation Per Claim Set</t>
  </si>
  <si>
    <t>APR-DRG</t>
  </si>
  <si>
    <t>Total Revenue Neutral Target Payments</t>
  </si>
  <si>
    <t>APR-DRG Rate Determination</t>
  </si>
  <si>
    <t>Inlier APR-DRG Weight</t>
  </si>
  <si>
    <t>Prorated Transfer APR-DRG Weight</t>
  </si>
  <si>
    <t>Outlier APR-DRG Weight</t>
  </si>
  <si>
    <t>Total APR-DRG Discharges</t>
  </si>
  <si>
    <t>Total APR-DRG Weight</t>
  </si>
  <si>
    <t>APR-DRG Discharges Per Reconciliation</t>
  </si>
  <si>
    <t>Payments</t>
  </si>
  <si>
    <t>Adult BH Payments</t>
  </si>
  <si>
    <t>Child BH Payments</t>
  </si>
  <si>
    <t>Total APR-DRG Payments</t>
  </si>
  <si>
    <t>Case Mix Index Calculation</t>
  </si>
  <si>
    <t>Difference</t>
  </si>
  <si>
    <t>Adjusted CMI</t>
  </si>
  <si>
    <t>Adjusted Weight</t>
  </si>
  <si>
    <t>Total APR-DRG Discharges per Claim Set</t>
  </si>
  <si>
    <t>APR-DRG Rate</t>
  </si>
  <si>
    <t>f = e / d</t>
  </si>
  <si>
    <t>j = i / g</t>
  </si>
  <si>
    <t>k = h - i</t>
  </si>
  <si>
    <t>l = e - k</t>
  </si>
  <si>
    <t>m = l / (d + g)</t>
  </si>
  <si>
    <t>p = o / n</t>
  </si>
  <si>
    <t>Final Discharges</t>
  </si>
  <si>
    <t>Total Weight</t>
  </si>
  <si>
    <t>q = n + d</t>
  </si>
  <si>
    <t>r = o + l</t>
  </si>
  <si>
    <t>Total Transfer DRG Weight before Adjustment</t>
  </si>
  <si>
    <t>Inflation</t>
  </si>
  <si>
    <t>Inflated Capital Related Costs</t>
  </si>
  <si>
    <t>o = n * 22.66</t>
  </si>
  <si>
    <t>p = g + j+ k + l + m - o</t>
  </si>
  <si>
    <t>Adult BH Days</t>
  </si>
  <si>
    <t>Child BH Days</t>
  </si>
  <si>
    <t>Rehab Days</t>
  </si>
  <si>
    <t>Child BH Discharge Delay Days</t>
  </si>
  <si>
    <t>p = m * n * o</t>
  </si>
  <si>
    <t>t = g + j + l + r + s</t>
  </si>
  <si>
    <t>Connecticut Department of Social Services - Division of Health Services</t>
  </si>
  <si>
    <t>Fiscal Impact</t>
  </si>
  <si>
    <t>o = j - k - l - m - n</t>
  </si>
  <si>
    <t>q = o * p</t>
  </si>
  <si>
    <t>r = o - q</t>
  </si>
  <si>
    <t>Danbury and New Milford Combined</t>
  </si>
  <si>
    <t>rehab_rate</t>
  </si>
  <si>
    <t>g = f / e</t>
  </si>
  <si>
    <t>i = d / (h * 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</si>
</sst>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??_);_(@_)"/>
    <numFmt numFmtId="165" formatCode="_(* #,##0.0000_);_(* \(#,##0.0000\);_(* &quot;-&quot;???_);_(@_)"/>
    <numFmt numFmtId="166" formatCode="_(* #,##0.00_);_(* \(#,##0.00\);_(* &quot;-&quot;???_);_(@_)"/>
    <numFmt numFmtId="167" formatCode="0.00_);\(0.00\)"/>
    <numFmt numFmtId="168" formatCode="0.0000"/>
    <numFmt numFmtId="169" formatCode="_(* #,##0.00_);_(* \(#,##0.00\);_(* &quot;-&quot;_);_(@_)"/>
    <numFmt numFmtId="170" formatCode="_(* #,##0.0000_);_(* \(#,##0.000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28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8" xfId="0" applyBorder="1"/>
    <xf numFmtId="0" fontId="0" fillId="0" borderId="9" xfId="0" applyBorder="1"/>
    <xf numFmtId="43" fontId="0" fillId="0" borderId="0" xfId="0" applyNumberFormat="1"/>
    <xf numFmtId="0" fontId="0" fillId="0" borderId="0" xfId="0" quotePrefix="1" applyBorder="1"/>
    <xf numFmtId="0" fontId="0" fillId="0" borderId="0" xfId="0" applyAlignment="1">
      <alignment wrapText="1"/>
    </xf>
    <xf numFmtId="0" fontId="0" fillId="0" borderId="0" xfId="0" quotePrefix="1"/>
    <xf numFmtId="0" fontId="0" fillId="0" borderId="0" xfId="0" applyFill="1"/>
    <xf numFmtId="0" fontId="0" fillId="0" borderId="0" xfId="0" applyFill="1" applyBorder="1"/>
    <xf numFmtId="0" fontId="1" fillId="0" borderId="2" xfId="0" applyFont="1" applyBorder="1"/>
    <xf numFmtId="0" fontId="1" fillId="0" borderId="4" xfId="0" applyFont="1" applyBorder="1"/>
    <xf numFmtId="0" fontId="0" fillId="0" borderId="0" xfId="0" applyNumberFormat="1"/>
    <xf numFmtId="0" fontId="1" fillId="0" borderId="0" xfId="0" applyFont="1" applyBorder="1" applyAlignment="1">
      <alignment horizontal="center"/>
    </xf>
    <xf numFmtId="0" fontId="0" fillId="0" borderId="1" xfId="0" applyFill="1" applyBorder="1"/>
    <xf numFmtId="164" fontId="0" fillId="0" borderId="0" xfId="0" applyNumberForma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 applyBorder="1"/>
    <xf numFmtId="41" fontId="0" fillId="0" borderId="0" xfId="0" applyNumberFormat="1" applyBorder="1"/>
    <xf numFmtId="41" fontId="0" fillId="0" borderId="9" xfId="0" applyNumberFormat="1" applyBorder="1"/>
    <xf numFmtId="41" fontId="0" fillId="0" borderId="1" xfId="0" applyNumberFormat="1" applyBorder="1"/>
    <xf numFmtId="41" fontId="0" fillId="0" borderId="8" xfId="0" applyNumberFormat="1" applyBorder="1"/>
    <xf numFmtId="0" fontId="1" fillId="0" borderId="0" xfId="0" applyFont="1"/>
    <xf numFmtId="0" fontId="0" fillId="0" borderId="0" xfId="0" applyBorder="1" applyAlignment="1">
      <alignment horizontal="center"/>
    </xf>
    <xf numFmtId="164" fontId="0" fillId="0" borderId="9" xfId="0" applyNumberFormat="1" applyBorder="1"/>
    <xf numFmtId="0" fontId="2" fillId="0" borderId="0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41" fontId="1" fillId="0" borderId="0" xfId="0" applyNumberFormat="1" applyFont="1"/>
    <xf numFmtId="0" fontId="2" fillId="0" borderId="1" xfId="0" applyFont="1" applyFill="1" applyBorder="1" applyAlignment="1">
      <alignment horizontal="center" wrapText="1"/>
    </xf>
    <xf numFmtId="0" fontId="2" fillId="0" borderId="11" xfId="0" applyFont="1" applyFill="1" applyBorder="1" applyAlignment="1">
      <alignment horizontal="center" wrapText="1"/>
    </xf>
    <xf numFmtId="42" fontId="0" fillId="0" borderId="0" xfId="0" applyNumberFormat="1" applyBorder="1"/>
    <xf numFmtId="42" fontId="0" fillId="0" borderId="9" xfId="0" applyNumberFormat="1" applyBorder="1"/>
    <xf numFmtId="42" fontId="1" fillId="0" borderId="0" xfId="0" applyNumberFormat="1" applyFont="1"/>
    <xf numFmtId="42" fontId="0" fillId="0" borderId="7" xfId="0" applyNumberFormat="1" applyBorder="1"/>
    <xf numFmtId="42" fontId="0" fillId="0" borderId="10" xfId="0" applyNumberFormat="1" applyBorder="1"/>
    <xf numFmtId="42" fontId="0" fillId="0" borderId="1" xfId="0" applyNumberFormat="1" applyBorder="1"/>
    <xf numFmtId="42" fontId="0" fillId="0" borderId="8" xfId="0" applyNumberFormat="1" applyBorder="1"/>
    <xf numFmtId="0" fontId="2" fillId="0" borderId="13" xfId="0" applyFont="1" applyFill="1" applyBorder="1" applyAlignment="1">
      <alignment horizontal="center" wrapText="1"/>
    </xf>
    <xf numFmtId="42" fontId="0" fillId="0" borderId="11" xfId="0" applyNumberFormat="1" applyBorder="1"/>
    <xf numFmtId="42" fontId="0" fillId="0" borderId="12" xfId="0" applyNumberFormat="1" applyBorder="1"/>
    <xf numFmtId="42" fontId="0" fillId="0" borderId="8" xfId="0" applyNumberFormat="1" applyFill="1" applyBorder="1"/>
    <xf numFmtId="42" fontId="0" fillId="0" borderId="9" xfId="0" applyNumberFormat="1" applyFill="1" applyBorder="1"/>
    <xf numFmtId="42" fontId="0" fillId="0" borderId="10" xfId="0" applyNumberFormat="1" applyFill="1" applyBorder="1"/>
    <xf numFmtId="37" fontId="0" fillId="0" borderId="0" xfId="0" applyNumberFormat="1" applyBorder="1"/>
    <xf numFmtId="37" fontId="0" fillId="0" borderId="9" xfId="0" applyNumberFormat="1" applyBorder="1"/>
    <xf numFmtId="37" fontId="0" fillId="0" borderId="1" xfId="0" applyNumberFormat="1" applyBorder="1"/>
    <xf numFmtId="37" fontId="0" fillId="0" borderId="7" xfId="0" applyNumberFormat="1" applyBorder="1"/>
    <xf numFmtId="37" fontId="0" fillId="0" borderId="8" xfId="0" applyNumberFormat="1" applyBorder="1"/>
    <xf numFmtId="37" fontId="0" fillId="0" borderId="10" xfId="0" applyNumberFormat="1" applyBorder="1"/>
    <xf numFmtId="37" fontId="1" fillId="0" borderId="0" xfId="0" applyNumberFormat="1" applyFont="1"/>
    <xf numFmtId="43" fontId="0" fillId="0" borderId="0" xfId="0" applyNumberFormat="1" applyBorder="1"/>
    <xf numFmtId="43" fontId="0" fillId="0" borderId="9" xfId="0" applyNumberFormat="1" applyBorder="1"/>
    <xf numFmtId="165" fontId="0" fillId="0" borderId="7" xfId="0" applyNumberFormat="1" applyBorder="1"/>
    <xf numFmtId="165" fontId="0" fillId="0" borderId="10" xfId="0" applyNumberFormat="1" applyBorder="1"/>
    <xf numFmtId="165" fontId="1" fillId="0" borderId="0" xfId="0" applyNumberFormat="1" applyFont="1"/>
    <xf numFmtId="166" fontId="0" fillId="0" borderId="0" xfId="0" applyNumberFormat="1" applyBorder="1"/>
    <xf numFmtId="166" fontId="0" fillId="0" borderId="9" xfId="0" applyNumberFormat="1" applyBorder="1"/>
    <xf numFmtId="166" fontId="1" fillId="0" borderId="0" xfId="0" applyNumberFormat="1" applyFont="1"/>
    <xf numFmtId="167" fontId="0" fillId="0" borderId="0" xfId="0" applyNumberFormat="1" applyBorder="1"/>
    <xf numFmtId="167" fontId="0" fillId="0" borderId="9" xfId="0" applyNumberFormat="1" applyBorder="1"/>
    <xf numFmtId="167" fontId="1" fillId="0" borderId="0" xfId="0" applyNumberFormat="1" applyFont="1"/>
    <xf numFmtId="168" fontId="0" fillId="0" borderId="7" xfId="0" applyNumberFormat="1" applyBorder="1"/>
    <xf numFmtId="168" fontId="0" fillId="0" borderId="10" xfId="0" applyNumberFormat="1" applyBorder="1"/>
    <xf numFmtId="168" fontId="1" fillId="0" borderId="0" xfId="0" applyNumberFormat="1" applyFont="1"/>
    <xf numFmtId="37" fontId="0" fillId="0" borderId="1" xfId="0" applyNumberFormat="1" applyFont="1" applyFill="1" applyBorder="1" applyAlignment="1">
      <alignment wrapText="1"/>
    </xf>
    <xf numFmtId="37" fontId="0" fillId="0" borderId="8" xfId="0" applyNumberFormat="1" applyFont="1" applyFill="1" applyBorder="1" applyAlignment="1">
      <alignment wrapText="1"/>
    </xf>
    <xf numFmtId="37" fontId="1" fillId="0" borderId="0" xfId="0" applyNumberFormat="1" applyFont="1" applyAlignment="1"/>
    <xf numFmtId="0" fontId="1" fillId="0" borderId="9" xfId="0" applyFont="1" applyBorder="1" applyAlignment="1"/>
    <xf numFmtId="165" fontId="0" fillId="0" borderId="0" xfId="0" applyNumberFormat="1" applyBorder="1"/>
    <xf numFmtId="165" fontId="0" fillId="0" borderId="9" xfId="0" applyNumberFormat="1" applyBorder="1"/>
    <xf numFmtId="164" fontId="0" fillId="0" borderId="0" xfId="0" applyNumberFormat="1"/>
    <xf numFmtId="164" fontId="0" fillId="0" borderId="10" xfId="0" applyNumberFormat="1" applyBorder="1"/>
    <xf numFmtId="164" fontId="1" fillId="0" borderId="0" xfId="0" applyNumberFormat="1" applyFont="1"/>
    <xf numFmtId="44" fontId="0" fillId="0" borderId="7" xfId="1" applyFont="1" applyBorder="1"/>
    <xf numFmtId="44" fontId="0" fillId="0" borderId="10" xfId="1" applyFont="1" applyBorder="1"/>
    <xf numFmtId="44" fontId="0" fillId="0" borderId="0" xfId="0" applyNumberFormat="1"/>
    <xf numFmtId="43" fontId="1" fillId="0" borderId="0" xfId="0" applyNumberFormat="1" applyFont="1"/>
    <xf numFmtId="37" fontId="0" fillId="0" borderId="0" xfId="0" applyNumberFormat="1"/>
    <xf numFmtId="0" fontId="2" fillId="0" borderId="0" xfId="0" applyFont="1" applyAlignment="1">
      <alignment horizontal="center"/>
    </xf>
    <xf numFmtId="10" fontId="0" fillId="0" borderId="0" xfId="0" applyNumberFormat="1" applyBorder="1"/>
    <xf numFmtId="10" fontId="0" fillId="0" borderId="9" xfId="0" applyNumberFormat="1" applyBorder="1"/>
    <xf numFmtId="10" fontId="0" fillId="0" borderId="9" xfId="0" applyNumberFormat="1" applyFill="1" applyBorder="1"/>
    <xf numFmtId="0" fontId="4" fillId="0" borderId="0" xfId="0" applyFont="1"/>
    <xf numFmtId="0" fontId="5" fillId="0" borderId="0" xfId="0" applyFont="1"/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0" fillId="0" borderId="2" xfId="0" applyBorder="1"/>
    <xf numFmtId="0" fontId="0" fillId="0" borderId="3" xfId="0" quotePrefix="1" applyBorder="1"/>
    <xf numFmtId="0" fontId="0" fillId="0" borderId="3" xfId="0" applyBorder="1"/>
    <xf numFmtId="0" fontId="0" fillId="0" borderId="0" xfId="0" applyBorder="1"/>
    <xf numFmtId="0" fontId="1" fillId="2" borderId="14" xfId="0" applyFont="1" applyFill="1" applyBorder="1" applyAlignment="1">
      <alignment horizontal="center" wrapText="1"/>
    </xf>
    <xf numFmtId="41" fontId="0" fillId="0" borderId="3" xfId="0" applyNumberFormat="1" applyBorder="1"/>
    <xf numFmtId="42" fontId="0" fillId="0" borderId="3" xfId="0" applyNumberFormat="1" applyBorder="1"/>
    <xf numFmtId="10" fontId="0" fillId="0" borderId="3" xfId="0" applyNumberFormat="1" applyBorder="1"/>
    <xf numFmtId="37" fontId="0" fillId="0" borderId="3" xfId="0" applyNumberFormat="1" applyBorder="1"/>
    <xf numFmtId="42" fontId="0" fillId="0" borderId="4" xfId="0" applyNumberFormat="1" applyBorder="1"/>
    <xf numFmtId="42" fontId="0" fillId="0" borderId="14" xfId="0" applyNumberFormat="1" applyBorder="1"/>
    <xf numFmtId="42" fontId="0" fillId="0" borderId="2" xfId="0" applyNumberFormat="1" applyBorder="1"/>
    <xf numFmtId="37" fontId="0" fillId="0" borderId="2" xfId="0" applyNumberFormat="1" applyBorder="1"/>
    <xf numFmtId="37" fontId="0" fillId="0" borderId="4" xfId="0" applyNumberFormat="1" applyBorder="1"/>
    <xf numFmtId="169" fontId="0" fillId="0" borderId="3" xfId="0" applyNumberFormat="1" applyBorder="1"/>
    <xf numFmtId="165" fontId="0" fillId="0" borderId="4" xfId="0" applyNumberFormat="1" applyBorder="1"/>
    <xf numFmtId="44" fontId="0" fillId="0" borderId="4" xfId="1" applyFont="1" applyBorder="1"/>
    <xf numFmtId="39" fontId="0" fillId="0" borderId="3" xfId="0" applyNumberFormat="1" applyBorder="1"/>
    <xf numFmtId="165" fontId="0" fillId="0" borderId="3" xfId="0" applyNumberFormat="1" applyBorder="1"/>
    <xf numFmtId="43" fontId="0" fillId="0" borderId="3" xfId="0" applyNumberFormat="1" applyBorder="1"/>
    <xf numFmtId="164" fontId="0" fillId="0" borderId="3" xfId="0" applyNumberFormat="1" applyBorder="1"/>
    <xf numFmtId="168" fontId="0" fillId="0" borderId="4" xfId="0" applyNumberFormat="1" applyBorder="1"/>
    <xf numFmtId="164" fontId="0" fillId="0" borderId="4" xfId="0" applyNumberFormat="1" applyBorder="1"/>
    <xf numFmtId="170" fontId="0" fillId="0" borderId="3" xfId="0" applyNumberFormat="1" applyBorder="1"/>
    <xf numFmtId="44" fontId="0" fillId="0" borderId="0" xfId="0" applyNumberFormat="1" applyBorder="1"/>
    <xf numFmtId="44" fontId="0" fillId="0" borderId="9" xfId="0" applyNumberFormat="1" applyBorder="1"/>
    <xf numFmtId="44" fontId="0" fillId="0" borderId="3" xfId="0" applyNumberFormat="1" applyBorder="1"/>
    <xf numFmtId="44" fontId="1" fillId="0" borderId="0" xfId="1" applyFont="1"/>
    <xf numFmtId="0" fontId="1" fillId="0" borderId="5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venue%20Neutral%20Rate%20Calculation_11_19_14_Scot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CI Reserve Recovery"/>
      <sheetName val="Hospital Specific Rev Neutral"/>
      <sheetName val="BH and Rehab payments"/>
      <sheetName val="DRG Revenue"/>
      <sheetName val="DRG Rate"/>
      <sheetName val="Final CMI Calculation"/>
      <sheetName val="Fiscal Impact"/>
    </sheetNames>
    <sheetDataSet>
      <sheetData sheetId="0">
        <row r="4">
          <cell r="A4" t="str">
            <v>070022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38"/>
  <sheetViews>
    <sheetView tabSelected="1" topLeftCell="H1" zoomScaleNormal="100" workbookViewId="0">
      <selection activeCell="Q22" sqref="Q22"/>
    </sheetView>
  </sheetViews>
  <sheetFormatPr defaultRowHeight="14.4" x14ac:dyDescent="0.3"/>
  <cols>
    <col min="2" max="2" width="10.6640625" customWidth="1"/>
    <col min="3" max="3" width="40.109375" bestFit="1" customWidth="1"/>
    <col min="4" max="4" width="15" style="19" customWidth="1"/>
    <col min="5" max="5" width="14.33203125" bestFit="1" customWidth="1"/>
    <col min="6" max="6" width="18.33203125" bestFit="1" customWidth="1"/>
    <col min="7" max="7" width="17.5546875" customWidth="1"/>
    <col min="8" max="8" width="14.109375" bestFit="1" customWidth="1"/>
    <col min="9" max="9" width="8.5546875" style="19" bestFit="1" customWidth="1"/>
    <col min="10" max="10" width="14.109375" style="19" customWidth="1"/>
    <col min="11" max="11" width="11.44140625" customWidth="1"/>
    <col min="13" max="13" width="22.44140625" customWidth="1"/>
    <col min="14" max="14" width="13.88671875" customWidth="1"/>
    <col min="15" max="15" width="22.33203125" customWidth="1"/>
    <col min="16" max="16" width="20.5546875" customWidth="1"/>
  </cols>
  <sheetData>
    <row r="1" spans="1:18" s="19" customFormat="1" ht="18" x14ac:dyDescent="0.25">
      <c r="A1" s="86" t="s">
        <v>267</v>
      </c>
    </row>
    <row r="2" spans="1:18" s="19" customFormat="1" ht="18" x14ac:dyDescent="0.25">
      <c r="A2" s="86" t="s">
        <v>6</v>
      </c>
    </row>
    <row r="3" spans="1:18" s="19" customFormat="1" ht="15.75" x14ac:dyDescent="0.25">
      <c r="A3" s="87" t="s">
        <v>197</v>
      </c>
    </row>
    <row r="4" spans="1:18" s="19" customFormat="1" ht="15" x14ac:dyDescent="0.25"/>
    <row r="5" spans="1:18" s="19" customFormat="1" ht="75" x14ac:dyDescent="0.25">
      <c r="A5" s="88" t="s">
        <v>0</v>
      </c>
      <c r="B5" s="89" t="s">
        <v>1</v>
      </c>
      <c r="C5" s="89" t="s">
        <v>2</v>
      </c>
      <c r="D5" s="89" t="s">
        <v>210</v>
      </c>
      <c r="E5" s="89" t="s">
        <v>211</v>
      </c>
      <c r="F5" s="89" t="s">
        <v>96</v>
      </c>
      <c r="G5" s="89" t="s">
        <v>212</v>
      </c>
      <c r="H5" s="89" t="s">
        <v>113</v>
      </c>
      <c r="I5" s="89" t="s">
        <v>257</v>
      </c>
      <c r="J5" s="89" t="s">
        <v>258</v>
      </c>
      <c r="K5" s="89" t="s">
        <v>97</v>
      </c>
      <c r="L5" s="89" t="s">
        <v>98</v>
      </c>
      <c r="M5" s="89" t="s">
        <v>99</v>
      </c>
      <c r="N5" s="89" t="s">
        <v>140</v>
      </c>
      <c r="O5" s="89" t="s">
        <v>100</v>
      </c>
      <c r="P5" s="90" t="s">
        <v>228</v>
      </c>
    </row>
    <row r="6" spans="1:18" s="19" customFormat="1" ht="15" x14ac:dyDescent="0.25">
      <c r="A6" s="30" t="s">
        <v>169</v>
      </c>
      <c r="B6" s="28" t="s">
        <v>170</v>
      </c>
      <c r="C6" s="28" t="s">
        <v>171</v>
      </c>
      <c r="D6" s="28" t="s">
        <v>172</v>
      </c>
      <c r="E6" s="28" t="s">
        <v>173</v>
      </c>
      <c r="F6" s="28" t="s">
        <v>174</v>
      </c>
      <c r="G6" s="28" t="s">
        <v>213</v>
      </c>
      <c r="H6" s="28" t="s">
        <v>176</v>
      </c>
      <c r="I6" s="28" t="s">
        <v>177</v>
      </c>
      <c r="J6" s="28" t="s">
        <v>178</v>
      </c>
      <c r="K6" s="28" t="s">
        <v>179</v>
      </c>
      <c r="L6" s="28" t="s">
        <v>180</v>
      </c>
      <c r="M6" s="28" t="s">
        <v>181</v>
      </c>
      <c r="N6" s="28" t="s">
        <v>182</v>
      </c>
      <c r="O6" s="28" t="s">
        <v>259</v>
      </c>
      <c r="P6" s="29" t="s">
        <v>260</v>
      </c>
    </row>
    <row r="7" spans="1:18" ht="15" x14ac:dyDescent="0.25">
      <c r="A7" s="1" t="s">
        <v>11</v>
      </c>
      <c r="B7" s="2" t="s">
        <v>111</v>
      </c>
      <c r="C7" s="2" t="s">
        <v>13</v>
      </c>
      <c r="D7" s="21">
        <f>VLOOKUP(A7,'Reconciliation Data'!$A$3:$M$31,13,FALSE)</f>
        <v>5744</v>
      </c>
      <c r="E7" s="34">
        <f>VLOOKUP(A7,'Reconciliation Data'!$A$3:$D$31,4,FALSE)</f>
        <v>36027574</v>
      </c>
      <c r="F7" s="34">
        <f>VLOOKUP(A7,'Reconciliation Data'!$A$3:$E$31,5,FALSE)</f>
        <v>52492918</v>
      </c>
      <c r="G7" s="34">
        <f>IF(E7&lt;F7,E7,F7)</f>
        <v>36027574</v>
      </c>
      <c r="H7" s="34">
        <f>VLOOKUP(A7,'Reconciliation Data'!$A$3:$H$31,8,FALSE)</f>
        <v>3227921</v>
      </c>
      <c r="I7" s="83">
        <v>0.17760000000000001</v>
      </c>
      <c r="J7" s="34">
        <f>H7*(1+I7)</f>
        <v>3801199.7695999998</v>
      </c>
      <c r="K7" s="47">
        <f>VLOOKUP(A7,'Reconciliation Data'!$A$3:$K$31,11,FALSE)</f>
        <v>0</v>
      </c>
      <c r="L7" s="47">
        <f>VLOOKUP(A7,'Reconciliation Data'!$A$3:$L$31,12,FALSE)</f>
        <v>0</v>
      </c>
      <c r="M7" s="34">
        <f>VLOOKUP(A7,'Claims Data'!$A$3:$J$31,10,FALSE)</f>
        <v>1821181.94</v>
      </c>
      <c r="N7" s="47">
        <f>VLOOKUP(A7,'Claims Data'!$A$3:$L$31,12,FALSE)</f>
        <v>2351</v>
      </c>
      <c r="O7" s="34">
        <f>N7*22.66</f>
        <v>53273.66</v>
      </c>
      <c r="P7" s="37">
        <f>G7+J7+K7+L7+M7-O7</f>
        <v>41596682.049599998</v>
      </c>
    </row>
    <row r="8" spans="1:18" ht="15" x14ac:dyDescent="0.25">
      <c r="A8" s="1" t="s">
        <v>14</v>
      </c>
      <c r="B8" s="2" t="s">
        <v>15</v>
      </c>
      <c r="C8" s="2" t="s">
        <v>16</v>
      </c>
      <c r="D8" s="21">
        <f>VLOOKUP(A8,'Reconciliation Data'!$A$3:$M$31,13,FALSE)</f>
        <v>1068</v>
      </c>
      <c r="E8" s="34">
        <f>VLOOKUP(A8,'Reconciliation Data'!$A$3:$D$31,4,FALSE)</f>
        <v>4129849</v>
      </c>
      <c r="F8" s="34">
        <f>VLOOKUP(A8,'Reconciliation Data'!$A$3:$E$31,5,FALSE)</f>
        <v>5762800</v>
      </c>
      <c r="G8" s="34">
        <f t="shared" ref="G8:G35" si="0">IF(E8&lt;F8,E8,F8)</f>
        <v>4129849</v>
      </c>
      <c r="H8" s="34">
        <f>VLOOKUP(A8,'Reconciliation Data'!$A$3:$H$31,8,FALSE)</f>
        <v>333145</v>
      </c>
      <c r="I8" s="83">
        <v>0.17760000000000001</v>
      </c>
      <c r="J8" s="34">
        <f t="shared" ref="J8:J35" si="1">H8*(1+I8)</f>
        <v>392311.55199999997</v>
      </c>
      <c r="K8" s="47">
        <f>VLOOKUP(A8,'Reconciliation Data'!$A$3:$K$31,11,FALSE)</f>
        <v>0</v>
      </c>
      <c r="L8" s="47">
        <f>VLOOKUP(A8,'Reconciliation Data'!$A$3:$L$31,12,FALSE)</f>
        <v>0</v>
      </c>
      <c r="M8" s="34">
        <f>VLOOKUP(A8,'Claims Data'!$A$3:$J$31,10,FALSE)</f>
        <v>13723.6</v>
      </c>
      <c r="N8" s="47">
        <f>VLOOKUP(A8,'Claims Data'!$A$3:$L$31,12,FALSE)</f>
        <v>24</v>
      </c>
      <c r="O8" s="34">
        <f t="shared" ref="O8:O35" si="2">N8*22.66</f>
        <v>543.84</v>
      </c>
      <c r="P8" s="37">
        <f t="shared" ref="P8:P35" si="3">G8+J8+K8+L8+M8-O8</f>
        <v>4535340.3119999999</v>
      </c>
      <c r="R8" s="19"/>
    </row>
    <row r="9" spans="1:18" ht="15" x14ac:dyDescent="0.25">
      <c r="A9" s="1" t="s">
        <v>17</v>
      </c>
      <c r="B9" s="2" t="s">
        <v>18</v>
      </c>
      <c r="C9" s="2" t="s">
        <v>19</v>
      </c>
      <c r="D9" s="21">
        <f>VLOOKUP(A9,'Reconciliation Data'!$A$3:$M$31,13,FALSE)</f>
        <v>135</v>
      </c>
      <c r="E9" s="34">
        <f>VLOOKUP(A9,'Reconciliation Data'!$A$3:$D$31,4,FALSE)</f>
        <v>465363</v>
      </c>
      <c r="F9" s="34">
        <f>VLOOKUP(A9,'Reconciliation Data'!$A$3:$E$31,5,FALSE)</f>
        <v>893958</v>
      </c>
      <c r="G9" s="34">
        <f t="shared" si="0"/>
        <v>465363</v>
      </c>
      <c r="H9" s="34">
        <f>VLOOKUP(A9,'Reconciliation Data'!$A$3:$H$31,8,FALSE)</f>
        <v>84332</v>
      </c>
      <c r="I9" s="83">
        <v>0.17760000000000001</v>
      </c>
      <c r="J9" s="34">
        <f t="shared" si="1"/>
        <v>99309.363199999993</v>
      </c>
      <c r="K9" s="47">
        <f>VLOOKUP(A9,'Reconciliation Data'!$A$3:$K$31,11,FALSE)</f>
        <v>0</v>
      </c>
      <c r="L9" s="47">
        <f>VLOOKUP(A9,'Reconciliation Data'!$A$3:$L$31,12,FALSE)</f>
        <v>0</v>
      </c>
      <c r="M9" s="34">
        <f>VLOOKUP(A9,'Claims Data'!$A$3:$J$31,10,FALSE)</f>
        <v>0</v>
      </c>
      <c r="N9" s="47">
        <f>VLOOKUP(A9,'Claims Data'!$A$3:$L$31,12,FALSE)</f>
        <v>0</v>
      </c>
      <c r="O9" s="34">
        <f t="shared" si="2"/>
        <v>0</v>
      </c>
      <c r="P9" s="37">
        <f t="shared" si="3"/>
        <v>564672.36320000002</v>
      </c>
      <c r="R9" s="19"/>
    </row>
    <row r="10" spans="1:18" ht="15" x14ac:dyDescent="0.25">
      <c r="A10" s="1" t="s">
        <v>20</v>
      </c>
      <c r="B10" s="2" t="s">
        <v>21</v>
      </c>
      <c r="C10" s="2" t="s">
        <v>22</v>
      </c>
      <c r="D10" s="21">
        <f>VLOOKUP(A10,'Reconciliation Data'!$A$3:$M$31,13,FALSE)</f>
        <v>2445</v>
      </c>
      <c r="E10" s="34">
        <f>VLOOKUP(A10,'Reconciliation Data'!$A$3:$D$31,4,FALSE)</f>
        <v>11902309</v>
      </c>
      <c r="F10" s="34">
        <f>VLOOKUP(A10,'Reconciliation Data'!$A$3:$E$31,5,FALSE)</f>
        <v>17208446</v>
      </c>
      <c r="G10" s="34">
        <f t="shared" si="0"/>
        <v>11902309</v>
      </c>
      <c r="H10" s="34">
        <f>VLOOKUP(A10,'Reconciliation Data'!$A$3:$H$31,8,FALSE)</f>
        <v>910620</v>
      </c>
      <c r="I10" s="83">
        <v>0.17760000000000001</v>
      </c>
      <c r="J10" s="34">
        <f t="shared" si="1"/>
        <v>1072346.112</v>
      </c>
      <c r="K10" s="47">
        <f>VLOOKUP(A10,'Reconciliation Data'!$A$3:$K$31,11,FALSE)</f>
        <v>0</v>
      </c>
      <c r="L10" s="47">
        <f>VLOOKUP(A10,'Reconciliation Data'!$A$3:$L$31,12,FALSE)</f>
        <v>0</v>
      </c>
      <c r="M10" s="34">
        <f>VLOOKUP(A10,'Claims Data'!$A$3:$J$31,10,FALSE)</f>
        <v>457181.8</v>
      </c>
      <c r="N10" s="47">
        <f>VLOOKUP(A10,'Claims Data'!$A$3:$L$31,12,FALSE)</f>
        <v>524</v>
      </c>
      <c r="O10" s="34">
        <f t="shared" si="2"/>
        <v>11873.84</v>
      </c>
      <c r="P10" s="37">
        <f t="shared" si="3"/>
        <v>13419963.072000001</v>
      </c>
      <c r="R10" s="19"/>
    </row>
    <row r="11" spans="1:18" ht="15" x14ac:dyDescent="0.25">
      <c r="A11" s="3" t="s">
        <v>23</v>
      </c>
      <c r="B11" s="4" t="s">
        <v>24</v>
      </c>
      <c r="C11" s="4" t="s">
        <v>25</v>
      </c>
      <c r="D11" s="22">
        <f>VLOOKUP(A11,'Reconciliation Data'!$A$3:$M$31,13,FALSE)</f>
        <v>2429</v>
      </c>
      <c r="E11" s="35">
        <f>VLOOKUP(A11,'Reconciliation Data'!$A$3:$D$31,4,FALSE)</f>
        <v>11097907</v>
      </c>
      <c r="F11" s="35">
        <f>VLOOKUP(A11,'Reconciliation Data'!$A$3:$E$31,5,FALSE)</f>
        <v>21435964</v>
      </c>
      <c r="G11" s="35">
        <f t="shared" si="0"/>
        <v>11097907</v>
      </c>
      <c r="H11" s="35">
        <f>VLOOKUP(A11,'Reconciliation Data'!$A$3:$H$31,8,FALSE)</f>
        <v>1977138</v>
      </c>
      <c r="I11" s="84">
        <v>0.17760000000000001</v>
      </c>
      <c r="J11" s="35">
        <f t="shared" si="1"/>
        <v>2328277.7088000001</v>
      </c>
      <c r="K11" s="48">
        <f>VLOOKUP(A11,'Reconciliation Data'!$A$3:$K$31,11,FALSE)</f>
        <v>0</v>
      </c>
      <c r="L11" s="48">
        <f>VLOOKUP(A11,'Reconciliation Data'!$A$3:$L$31,12,FALSE)</f>
        <v>0</v>
      </c>
      <c r="M11" s="35">
        <f>VLOOKUP(A11,'Claims Data'!$A$3:$J$31,10,FALSE)</f>
        <v>51547.98</v>
      </c>
      <c r="N11" s="48">
        <f>VLOOKUP(A11,'Claims Data'!$A$3:$L$31,12,FALSE)</f>
        <v>68</v>
      </c>
      <c r="O11" s="35">
        <f t="shared" si="2"/>
        <v>1540.88</v>
      </c>
      <c r="P11" s="38">
        <f t="shared" si="3"/>
        <v>13476191.808799999</v>
      </c>
      <c r="R11" s="19"/>
    </row>
    <row r="12" spans="1:18" ht="15" x14ac:dyDescent="0.25">
      <c r="A12" s="1" t="s">
        <v>26</v>
      </c>
      <c r="B12" s="2" t="s">
        <v>27</v>
      </c>
      <c r="C12" s="2" t="s">
        <v>28</v>
      </c>
      <c r="D12" s="21">
        <f>VLOOKUP(A12,'Reconciliation Data'!$A$3:$M$31,13,FALSE)</f>
        <v>2342</v>
      </c>
      <c r="E12" s="34">
        <f>VLOOKUP(A12,'Reconciliation Data'!$A$3:$D$31,4,FALSE)</f>
        <v>10587995</v>
      </c>
      <c r="F12" s="34">
        <f>VLOOKUP(A12,'Reconciliation Data'!$A$3:$E$31,5,FALSE)</f>
        <v>21980616.449999999</v>
      </c>
      <c r="G12" s="34">
        <f t="shared" si="0"/>
        <v>10587995</v>
      </c>
      <c r="H12" s="34">
        <f>VLOOKUP(A12,'Reconciliation Data'!$A$3:$H$31,8,FALSE)</f>
        <v>1391437</v>
      </c>
      <c r="I12" s="83">
        <v>0.17760000000000001</v>
      </c>
      <c r="J12" s="34">
        <f t="shared" si="1"/>
        <v>1638556.2112</v>
      </c>
      <c r="K12" s="47">
        <f>VLOOKUP(A12,'Reconciliation Data'!$A$3:$K$31,11,FALSE)</f>
        <v>0</v>
      </c>
      <c r="L12" s="47">
        <f>VLOOKUP(A12,'Reconciliation Data'!$A$3:$L$31,12,FALSE)</f>
        <v>0</v>
      </c>
      <c r="M12" s="34">
        <f>VLOOKUP(A12,'Claims Data'!$A$3:$J$31,10,FALSE)</f>
        <v>25103.52</v>
      </c>
      <c r="N12" s="47">
        <f>VLOOKUP(A12,'Claims Data'!$A$3:$L$31,12,FALSE)</f>
        <v>36</v>
      </c>
      <c r="O12" s="34">
        <f t="shared" si="2"/>
        <v>815.76</v>
      </c>
      <c r="P12" s="37">
        <f t="shared" si="3"/>
        <v>12250838.9712</v>
      </c>
      <c r="R12" s="19"/>
    </row>
    <row r="13" spans="1:18" ht="15" x14ac:dyDescent="0.25">
      <c r="A13" s="1" t="s">
        <v>29</v>
      </c>
      <c r="B13" s="2" t="s">
        <v>30</v>
      </c>
      <c r="C13" s="2" t="s">
        <v>31</v>
      </c>
      <c r="D13" s="21">
        <f>VLOOKUP(A13,'Reconciliation Data'!$A$3:$M$31,13,FALSE)</f>
        <v>461</v>
      </c>
      <c r="E13" s="34">
        <f>VLOOKUP(A13,'Reconciliation Data'!$A$3:$D$31,4,FALSE)</f>
        <v>1486822</v>
      </c>
      <c r="F13" s="34">
        <f>VLOOKUP(A13,'Reconciliation Data'!$A$3:$E$31,5,FALSE)</f>
        <v>3863461</v>
      </c>
      <c r="G13" s="34">
        <f t="shared" si="0"/>
        <v>1486822</v>
      </c>
      <c r="H13" s="34">
        <f>VLOOKUP(A13,'Reconciliation Data'!$A$3:$H$31,8,FALSE)</f>
        <v>356660</v>
      </c>
      <c r="I13" s="83">
        <v>0.17760000000000001</v>
      </c>
      <c r="J13" s="34">
        <f t="shared" si="1"/>
        <v>420002.81599999999</v>
      </c>
      <c r="K13" s="47">
        <f>VLOOKUP(A13,'Reconciliation Data'!$A$3:$K$31,11,FALSE)</f>
        <v>0</v>
      </c>
      <c r="L13" s="47">
        <f>VLOOKUP(A13,'Reconciliation Data'!$A$3:$L$31,12,FALSE)</f>
        <v>0</v>
      </c>
      <c r="M13" s="34">
        <f>VLOOKUP(A13,'Claims Data'!$A$3:$J$31,10,FALSE)</f>
        <v>6894.09</v>
      </c>
      <c r="N13" s="47">
        <f>VLOOKUP(A13,'Claims Data'!$A$3:$L$31,12,FALSE)</f>
        <v>9</v>
      </c>
      <c r="O13" s="34">
        <f t="shared" si="2"/>
        <v>203.94</v>
      </c>
      <c r="P13" s="37">
        <f t="shared" si="3"/>
        <v>1913514.9660000002</v>
      </c>
      <c r="R13" s="19"/>
    </row>
    <row r="14" spans="1:18" ht="15" x14ac:dyDescent="0.25">
      <c r="A14" s="1" t="s">
        <v>32</v>
      </c>
      <c r="B14" s="2" t="s">
        <v>33</v>
      </c>
      <c r="C14" s="2" t="s">
        <v>34</v>
      </c>
      <c r="D14" s="21">
        <f>VLOOKUP(A14,'Reconciliation Data'!$A$3:$M$31,13,FALSE)</f>
        <v>4321</v>
      </c>
      <c r="E14" s="34">
        <f>VLOOKUP(A14,'Reconciliation Data'!$A$3:$D$31,4,FALSE)</f>
        <v>26207772</v>
      </c>
      <c r="F14" s="34">
        <f>VLOOKUP(A14,'Reconciliation Data'!$A$3:$E$31,5,FALSE)</f>
        <v>33919892</v>
      </c>
      <c r="G14" s="34">
        <f t="shared" si="0"/>
        <v>26207772</v>
      </c>
      <c r="H14" s="34">
        <f>VLOOKUP(A14,'Reconciliation Data'!$A$3:$H$31,8,FALSE)</f>
        <v>3495781</v>
      </c>
      <c r="I14" s="83">
        <v>0.17760000000000001</v>
      </c>
      <c r="J14" s="34">
        <f t="shared" si="1"/>
        <v>4116631.7056</v>
      </c>
      <c r="K14" s="47">
        <f>VLOOKUP(A14,'Reconciliation Data'!$A$3:$K$31,11,FALSE)</f>
        <v>0</v>
      </c>
      <c r="L14" s="47">
        <f>VLOOKUP(A14,'Reconciliation Data'!$A$3:$L$31,12,FALSE)</f>
        <v>136377.1305</v>
      </c>
      <c r="M14" s="34">
        <f>VLOOKUP(A14,'Claims Data'!$A$3:$J$31,10,FALSE)</f>
        <v>3826.7</v>
      </c>
      <c r="N14" s="47">
        <f>VLOOKUP(A14,'Claims Data'!$A$3:$L$31,12,FALSE)</f>
        <v>5</v>
      </c>
      <c r="O14" s="34">
        <f t="shared" si="2"/>
        <v>113.3</v>
      </c>
      <c r="P14" s="37">
        <f t="shared" si="3"/>
        <v>30464494.236099999</v>
      </c>
      <c r="R14" s="19"/>
    </row>
    <row r="15" spans="1:18" ht="15" x14ac:dyDescent="0.25">
      <c r="A15" s="1" t="s">
        <v>35</v>
      </c>
      <c r="B15" s="2" t="s">
        <v>36</v>
      </c>
      <c r="C15" s="2" t="s">
        <v>37</v>
      </c>
      <c r="D15" s="21">
        <f>VLOOKUP(A15,'Reconciliation Data'!$A$3:$M$31,13,FALSE)</f>
        <v>836</v>
      </c>
      <c r="E15" s="34">
        <f>VLOOKUP(A15,'Reconciliation Data'!$A$3:$D$31,4,FALSE)</f>
        <v>3427876</v>
      </c>
      <c r="F15" s="34">
        <f>VLOOKUP(A15,'Reconciliation Data'!$A$3:$E$31,5,FALSE)</f>
        <v>4930772</v>
      </c>
      <c r="G15" s="34">
        <f t="shared" si="0"/>
        <v>3427876</v>
      </c>
      <c r="H15" s="34">
        <f>VLOOKUP(A15,'Reconciliation Data'!$A$3:$H$31,8,FALSE)</f>
        <v>422082</v>
      </c>
      <c r="I15" s="83">
        <v>0.17760000000000001</v>
      </c>
      <c r="J15" s="34">
        <f t="shared" si="1"/>
        <v>497043.76319999999</v>
      </c>
      <c r="K15" s="47">
        <f>VLOOKUP(A15,'Reconciliation Data'!$A$3:$K$31,11,FALSE)</f>
        <v>0</v>
      </c>
      <c r="L15" s="47">
        <f>VLOOKUP(A15,'Reconciliation Data'!$A$3:$L$31,12,FALSE)</f>
        <v>0</v>
      </c>
      <c r="M15" s="34">
        <f>VLOOKUP(A15,'Claims Data'!$A$3:$J$31,10,FALSE)</f>
        <v>18058.8</v>
      </c>
      <c r="N15" s="47">
        <f>VLOOKUP(A15,'Claims Data'!$A$3:$L$31,12,FALSE)</f>
        <v>24</v>
      </c>
      <c r="O15" s="34">
        <f t="shared" si="2"/>
        <v>543.84</v>
      </c>
      <c r="P15" s="37">
        <f t="shared" si="3"/>
        <v>3942434.7231999999</v>
      </c>
      <c r="R15" s="19"/>
    </row>
    <row r="16" spans="1:18" ht="15" x14ac:dyDescent="0.25">
      <c r="A16" s="3" t="s">
        <v>38</v>
      </c>
      <c r="B16" s="4" t="s">
        <v>12</v>
      </c>
      <c r="C16" s="4" t="s">
        <v>39</v>
      </c>
      <c r="D16" s="22">
        <f>VLOOKUP(A16,'Reconciliation Data'!$A$3:$M$31,13,FALSE)</f>
        <v>199</v>
      </c>
      <c r="E16" s="35">
        <f>VLOOKUP(A16,'Reconciliation Data'!$A$3:$D$31,4,FALSE)</f>
        <v>732137</v>
      </c>
      <c r="F16" s="35">
        <f>VLOOKUP(A16,'Reconciliation Data'!$A$3:$E$31,5,FALSE)</f>
        <v>1880028</v>
      </c>
      <c r="G16" s="35">
        <f t="shared" si="0"/>
        <v>732137</v>
      </c>
      <c r="H16" s="35">
        <f>VLOOKUP(A16,'Reconciliation Data'!$A$3:$H$31,8,FALSE)</f>
        <v>234040</v>
      </c>
      <c r="I16" s="84">
        <v>0.17760000000000001</v>
      </c>
      <c r="J16" s="35">
        <f t="shared" si="1"/>
        <v>275605.50400000002</v>
      </c>
      <c r="K16" s="48">
        <f>VLOOKUP(A16,'Reconciliation Data'!$A$3:$K$31,11,FALSE)</f>
        <v>0</v>
      </c>
      <c r="L16" s="48">
        <f>VLOOKUP(A16,'Reconciliation Data'!$A$3:$L$31,12,FALSE)</f>
        <v>0</v>
      </c>
      <c r="M16" s="35">
        <f>VLOOKUP(A16,'Claims Data'!$A$3:$J$31,10,FALSE)</f>
        <v>0</v>
      </c>
      <c r="N16" s="48">
        <f>VLOOKUP(A16,'Claims Data'!$A$3:$L$31,12,FALSE)</f>
        <v>0</v>
      </c>
      <c r="O16" s="35">
        <f t="shared" si="2"/>
        <v>0</v>
      </c>
      <c r="P16" s="38">
        <f t="shared" si="3"/>
        <v>1007742.504</v>
      </c>
      <c r="R16" s="19"/>
    </row>
    <row r="17" spans="1:18" ht="15" x14ac:dyDescent="0.25">
      <c r="A17" s="1" t="s">
        <v>40</v>
      </c>
      <c r="B17" s="2" t="s">
        <v>137</v>
      </c>
      <c r="C17" s="2" t="s">
        <v>42</v>
      </c>
      <c r="D17" s="21">
        <f>VLOOKUP(A17,'Reconciliation Data'!$A$3:$M$31,13,FALSE)</f>
        <v>227</v>
      </c>
      <c r="E17" s="34">
        <f>VLOOKUP(A17,'Reconciliation Data'!$A$3:$D$31,4,FALSE)</f>
        <v>1356409</v>
      </c>
      <c r="F17" s="34">
        <f>VLOOKUP(A17,'Reconciliation Data'!$A$3:$E$31,5,FALSE)</f>
        <v>2304122</v>
      </c>
      <c r="G17" s="34">
        <f t="shared" si="0"/>
        <v>1356409</v>
      </c>
      <c r="H17" s="34">
        <f>VLOOKUP(A17,'Reconciliation Data'!$A$3:$H$31,8,FALSE)</f>
        <v>174538</v>
      </c>
      <c r="I17" s="83">
        <v>0.17760000000000001</v>
      </c>
      <c r="J17" s="34">
        <f t="shared" si="1"/>
        <v>205535.94879999998</v>
      </c>
      <c r="K17" s="47">
        <f>VLOOKUP(A17,'Reconciliation Data'!$A$3:$K$31,11,FALSE)</f>
        <v>0</v>
      </c>
      <c r="L17" s="47">
        <f>VLOOKUP(A17,'Reconciliation Data'!$A$3:$L$31,12,FALSE)</f>
        <v>0</v>
      </c>
      <c r="M17" s="34">
        <f>VLOOKUP(A17,'Claims Data'!$A$3:$J$31,10,FALSE)</f>
        <v>0</v>
      </c>
      <c r="N17" s="47">
        <f>VLOOKUP(A17,'Claims Data'!$A$3:$L$31,12,FALSE)</f>
        <v>0</v>
      </c>
      <c r="O17" s="34">
        <f t="shared" si="2"/>
        <v>0</v>
      </c>
      <c r="P17" s="37">
        <f t="shared" si="3"/>
        <v>1561944.9487999999</v>
      </c>
      <c r="R17" s="19"/>
    </row>
    <row r="18" spans="1:18" ht="15" x14ac:dyDescent="0.25">
      <c r="A18" s="1" t="s">
        <v>43</v>
      </c>
      <c r="B18" s="2" t="s">
        <v>44</v>
      </c>
      <c r="C18" s="2" t="s">
        <v>45</v>
      </c>
      <c r="D18" s="21">
        <f>VLOOKUP(A18,'Reconciliation Data'!$A$3:$M$31,13,FALSE)</f>
        <v>2451</v>
      </c>
      <c r="E18" s="34">
        <f>VLOOKUP(A18,'Reconciliation Data'!$A$3:$D$31,4,FALSE)</f>
        <v>12382795</v>
      </c>
      <c r="F18" s="34">
        <f>VLOOKUP(A18,'Reconciliation Data'!$A$3:$E$31,5,FALSE)</f>
        <v>14160120</v>
      </c>
      <c r="G18" s="34">
        <f t="shared" si="0"/>
        <v>12382795</v>
      </c>
      <c r="H18" s="34">
        <f>VLOOKUP(A18,'Reconciliation Data'!$A$3:$H$31,8,FALSE)</f>
        <v>902111</v>
      </c>
      <c r="I18" s="83">
        <v>0.17760000000000001</v>
      </c>
      <c r="J18" s="34">
        <f t="shared" si="1"/>
        <v>1062325.9136000001</v>
      </c>
      <c r="K18" s="47">
        <f>VLOOKUP(A18,'Reconciliation Data'!$A$3:$K$31,11,FALSE)</f>
        <v>0</v>
      </c>
      <c r="L18" s="47">
        <f>VLOOKUP(A18,'Reconciliation Data'!$A$3:$L$31,12,FALSE)</f>
        <v>0</v>
      </c>
      <c r="M18" s="34">
        <f>VLOOKUP(A18,'Claims Data'!$A$3:$J$31,10,FALSE)</f>
        <v>21449.3</v>
      </c>
      <c r="N18" s="47">
        <f>VLOOKUP(A18,'Claims Data'!$A$3:$L$31,12,FALSE)</f>
        <v>32</v>
      </c>
      <c r="O18" s="34">
        <f t="shared" si="2"/>
        <v>725.12</v>
      </c>
      <c r="P18" s="37">
        <f t="shared" si="3"/>
        <v>13465845.093600001</v>
      </c>
      <c r="R18" s="19"/>
    </row>
    <row r="19" spans="1:18" ht="15" x14ac:dyDescent="0.25">
      <c r="A19" s="1" t="s">
        <v>46</v>
      </c>
      <c r="B19" s="2" t="s">
        <v>47</v>
      </c>
      <c r="C19" s="2" t="s">
        <v>48</v>
      </c>
      <c r="D19" s="21">
        <f>VLOOKUP(A19,'Reconciliation Data'!$A$3:$M$31,13,FALSE)</f>
        <v>1714</v>
      </c>
      <c r="E19" s="34">
        <f>VLOOKUP(A19,'Reconciliation Data'!$A$3:$D$31,4,FALSE)</f>
        <v>6685886</v>
      </c>
      <c r="F19" s="34">
        <f>VLOOKUP(A19,'Reconciliation Data'!$A$3:$E$31,5,FALSE)</f>
        <v>12138572</v>
      </c>
      <c r="G19" s="34">
        <f t="shared" si="0"/>
        <v>6685886</v>
      </c>
      <c r="H19" s="34">
        <f>VLOOKUP(A19,'Reconciliation Data'!$A$3:$H$31,8,FALSE)</f>
        <v>1085337</v>
      </c>
      <c r="I19" s="83">
        <v>0.17760000000000001</v>
      </c>
      <c r="J19" s="34">
        <f t="shared" si="1"/>
        <v>1278092.8511999999</v>
      </c>
      <c r="K19" s="47">
        <f>VLOOKUP(A19,'Reconciliation Data'!$A$3:$K$31,11,FALSE)</f>
        <v>0</v>
      </c>
      <c r="L19" s="47">
        <f>VLOOKUP(A19,'Reconciliation Data'!$A$3:$L$31,12,FALSE)</f>
        <v>0</v>
      </c>
      <c r="M19" s="34">
        <f>VLOOKUP(A19,'Claims Data'!$A$3:$J$31,10,FALSE)</f>
        <v>3310.96</v>
      </c>
      <c r="N19" s="47">
        <f>VLOOKUP(A19,'Claims Data'!$A$3:$L$31,12,FALSE)</f>
        <v>4</v>
      </c>
      <c r="O19" s="34">
        <f t="shared" si="2"/>
        <v>90.64</v>
      </c>
      <c r="P19" s="37">
        <f t="shared" si="3"/>
        <v>7967199.1711999997</v>
      </c>
      <c r="R19" s="19"/>
    </row>
    <row r="20" spans="1:18" ht="15" x14ac:dyDescent="0.25">
      <c r="A20" s="1" t="s">
        <v>49</v>
      </c>
      <c r="B20" s="2" t="s">
        <v>50</v>
      </c>
      <c r="C20" s="2" t="s">
        <v>51</v>
      </c>
      <c r="D20" s="21">
        <f>VLOOKUP(A20,'Reconciliation Data'!$A$3:$M$31,13,FALSE)</f>
        <v>371</v>
      </c>
      <c r="E20" s="34">
        <f>VLOOKUP(A20,'Reconciliation Data'!$A$3:$D$31,4,FALSE)</f>
        <v>2179313</v>
      </c>
      <c r="F20" s="34">
        <f>VLOOKUP(A20,'Reconciliation Data'!$A$3:$E$31,5,FALSE)</f>
        <v>3307030</v>
      </c>
      <c r="G20" s="34">
        <f t="shared" si="0"/>
        <v>2179313</v>
      </c>
      <c r="H20" s="34">
        <f>VLOOKUP(A20,'Reconciliation Data'!$A$3:$H$31,8,FALSE)</f>
        <v>259517</v>
      </c>
      <c r="I20" s="83">
        <v>0.17760000000000001</v>
      </c>
      <c r="J20" s="34">
        <f t="shared" si="1"/>
        <v>305607.21919999999</v>
      </c>
      <c r="K20" s="47">
        <f>VLOOKUP(A20,'Reconciliation Data'!$A$3:$K$31,11,FALSE)</f>
        <v>0</v>
      </c>
      <c r="L20" s="47">
        <f>VLOOKUP(A20,'Reconciliation Data'!$A$3:$L$31,12,FALSE)</f>
        <v>0</v>
      </c>
      <c r="M20" s="34">
        <f>VLOOKUP(A20,'Claims Data'!$A$3:$J$31,10,FALSE)</f>
        <v>0</v>
      </c>
      <c r="N20" s="47">
        <f>VLOOKUP(A20,'Claims Data'!$A$3:$L$31,12,FALSE)</f>
        <v>0</v>
      </c>
      <c r="O20" s="34">
        <f t="shared" si="2"/>
        <v>0</v>
      </c>
      <c r="P20" s="37">
        <f t="shared" si="3"/>
        <v>2484920.2192000002</v>
      </c>
      <c r="R20" s="19"/>
    </row>
    <row r="21" spans="1:18" ht="15" x14ac:dyDescent="0.25">
      <c r="A21" s="3" t="s">
        <v>52</v>
      </c>
      <c r="B21" s="4" t="s">
        <v>53</v>
      </c>
      <c r="C21" s="4" t="s">
        <v>54</v>
      </c>
      <c r="D21" s="22">
        <f>VLOOKUP(A21,'Reconciliation Data'!$A$3:$M$31,13,FALSE)</f>
        <v>219</v>
      </c>
      <c r="E21" s="35">
        <f>VLOOKUP(A21,'Reconciliation Data'!$A$3:$D$31,4,FALSE)</f>
        <v>837198</v>
      </c>
      <c r="F21" s="35">
        <f>VLOOKUP(A21,'Reconciliation Data'!$A$3:$E$31,5,FALSE)</f>
        <v>2042700</v>
      </c>
      <c r="G21" s="35">
        <f t="shared" si="0"/>
        <v>837198</v>
      </c>
      <c r="H21" s="35">
        <f>VLOOKUP(A21,'Reconciliation Data'!$A$3:$H$31,8,FALSE)</f>
        <v>75748</v>
      </c>
      <c r="I21" s="84">
        <v>0.17760000000000001</v>
      </c>
      <c r="J21" s="35">
        <f t="shared" si="1"/>
        <v>89200.844799999992</v>
      </c>
      <c r="K21" s="48">
        <f>VLOOKUP(A21,'Reconciliation Data'!$A$3:$K$31,11,FALSE)</f>
        <v>0</v>
      </c>
      <c r="L21" s="48">
        <f>VLOOKUP(A21,'Reconciliation Data'!$A$3:$L$31,12,FALSE)</f>
        <v>0</v>
      </c>
      <c r="M21" s="35">
        <f>VLOOKUP(A21,'Claims Data'!$A$3:$J$31,10,FALSE)</f>
        <v>0</v>
      </c>
      <c r="N21" s="48">
        <f>VLOOKUP(A21,'Claims Data'!$A$3:$L$31,12,FALSE)</f>
        <v>0</v>
      </c>
      <c r="O21" s="35">
        <f t="shared" si="2"/>
        <v>0</v>
      </c>
      <c r="P21" s="38">
        <f t="shared" si="3"/>
        <v>926398.84479999996</v>
      </c>
      <c r="R21" s="19"/>
    </row>
    <row r="22" spans="1:18" ht="15" x14ac:dyDescent="0.25">
      <c r="A22" s="1" t="s">
        <v>55</v>
      </c>
      <c r="B22" s="2" t="s">
        <v>56</v>
      </c>
      <c r="C22" s="2" t="s">
        <v>57</v>
      </c>
      <c r="D22" s="21">
        <f>VLOOKUP(A22,'Reconciliation Data'!$A$3:$M$31,13,FALSE)</f>
        <v>1794</v>
      </c>
      <c r="E22" s="34">
        <f>VLOOKUP(A22,'Reconciliation Data'!$A$3:$D$31,4,FALSE)</f>
        <v>8156224</v>
      </c>
      <c r="F22" s="34">
        <f>VLOOKUP(A22,'Reconciliation Data'!$A$3:$E$31,5,FALSE)</f>
        <v>13008192</v>
      </c>
      <c r="G22" s="34">
        <f t="shared" si="0"/>
        <v>8156224</v>
      </c>
      <c r="H22" s="34">
        <f>VLOOKUP(A22,'Reconciliation Data'!$A$3:$H$31,8,FALSE)</f>
        <v>1217727</v>
      </c>
      <c r="I22" s="83">
        <v>0.17760000000000001</v>
      </c>
      <c r="J22" s="34">
        <f t="shared" si="1"/>
        <v>1433995.3152000001</v>
      </c>
      <c r="K22" s="47">
        <f>VLOOKUP(A22,'Reconciliation Data'!$A$3:$K$31,11,FALSE)</f>
        <v>0</v>
      </c>
      <c r="L22" s="47">
        <f>VLOOKUP(A22,'Reconciliation Data'!$A$3:$L$31,12,FALSE)</f>
        <v>0</v>
      </c>
      <c r="M22" s="34">
        <f>VLOOKUP(A22,'Claims Data'!$A$3:$J$31,10,FALSE)</f>
        <v>8543.3700000000008</v>
      </c>
      <c r="N22" s="47">
        <f>VLOOKUP(A22,'Claims Data'!$A$3:$L$31,12,FALSE)</f>
        <v>11</v>
      </c>
      <c r="O22" s="34">
        <f t="shared" si="2"/>
        <v>249.26</v>
      </c>
      <c r="P22" s="37">
        <f t="shared" si="3"/>
        <v>9598513.4252000004</v>
      </c>
      <c r="R22" s="19"/>
    </row>
    <row r="23" spans="1:18" ht="15" x14ac:dyDescent="0.25">
      <c r="A23" s="1" t="s">
        <v>58</v>
      </c>
      <c r="B23" s="2" t="s">
        <v>59</v>
      </c>
      <c r="C23" s="2" t="s">
        <v>60</v>
      </c>
      <c r="D23" s="21">
        <f>VLOOKUP(A23,'Reconciliation Data'!$A$3:$M$31,13,FALSE)</f>
        <v>737</v>
      </c>
      <c r="E23" s="34">
        <f>VLOOKUP(A23,'Reconciliation Data'!$A$3:$D$31,4,FALSE)</f>
        <v>2821442</v>
      </c>
      <c r="F23" s="34">
        <f>VLOOKUP(A23,'Reconciliation Data'!$A$3:$E$31,5,FALSE)</f>
        <v>4605713</v>
      </c>
      <c r="G23" s="34">
        <f t="shared" si="0"/>
        <v>2821442</v>
      </c>
      <c r="H23" s="34">
        <f>VLOOKUP(A23,'Reconciliation Data'!$A$3:$H$31,8,FALSE)</f>
        <v>405456</v>
      </c>
      <c r="I23" s="83">
        <v>0.17760000000000001</v>
      </c>
      <c r="J23" s="34">
        <f t="shared" si="1"/>
        <v>477464.98560000001</v>
      </c>
      <c r="K23" s="47">
        <f>VLOOKUP(A23,'Reconciliation Data'!$A$3:$K$31,11,FALSE)</f>
        <v>0</v>
      </c>
      <c r="L23" s="47">
        <f>VLOOKUP(A23,'Reconciliation Data'!$A$3:$L$31,12,FALSE)</f>
        <v>0</v>
      </c>
      <c r="M23" s="34">
        <f>VLOOKUP(A23,'Claims Data'!$A$3:$J$31,10,FALSE)</f>
        <v>0</v>
      </c>
      <c r="N23" s="47">
        <f>VLOOKUP(A23,'Claims Data'!$A$3:$L$31,12,FALSE)</f>
        <v>0</v>
      </c>
      <c r="O23" s="34">
        <f t="shared" si="2"/>
        <v>0</v>
      </c>
      <c r="P23" s="37">
        <f t="shared" si="3"/>
        <v>3298906.9856000002</v>
      </c>
      <c r="R23" s="19"/>
    </row>
    <row r="24" spans="1:18" ht="15" x14ac:dyDescent="0.25">
      <c r="A24" s="1" t="s">
        <v>61</v>
      </c>
      <c r="B24" s="2" t="s">
        <v>10</v>
      </c>
      <c r="C24" s="2" t="s">
        <v>62</v>
      </c>
      <c r="D24" s="21">
        <f>VLOOKUP(A24,'Reconciliation Data'!$A$3:$M$31,13,FALSE)</f>
        <v>15306</v>
      </c>
      <c r="E24" s="34">
        <f>VLOOKUP(A24,'Reconciliation Data'!$A$3:$D$31,4,FALSE)</f>
        <v>102014711.09</v>
      </c>
      <c r="F24" s="34">
        <f>VLOOKUP(A24,'Reconciliation Data'!$A$3:$E$31,5,FALSE)</f>
        <v>193058650</v>
      </c>
      <c r="G24" s="34">
        <f t="shared" si="0"/>
        <v>102014711.09</v>
      </c>
      <c r="H24" s="34">
        <f>VLOOKUP(A24,'Reconciliation Data'!$A$3:$H$31,8,FALSE)</f>
        <v>10951448</v>
      </c>
      <c r="I24" s="83">
        <v>0.17760000000000001</v>
      </c>
      <c r="J24" s="34">
        <f t="shared" si="1"/>
        <v>12896425.164799999</v>
      </c>
      <c r="K24" s="47">
        <f>VLOOKUP(A24,'Reconciliation Data'!$A$3:$K$31,11,FALSE)</f>
        <v>131590.22</v>
      </c>
      <c r="L24" s="47">
        <f>VLOOKUP(A24,'Reconciliation Data'!$A$3:$L$31,12,FALSE)</f>
        <v>0</v>
      </c>
      <c r="M24" s="34">
        <f>VLOOKUP(A24,'Claims Data'!$A$3:$J$31,10,FALSE)</f>
        <v>5618055.5099999998</v>
      </c>
      <c r="N24" s="47">
        <f>VLOOKUP(A24,'Claims Data'!$A$3:$L$31,12,FALSE)</f>
        <v>5910</v>
      </c>
      <c r="O24" s="34">
        <f t="shared" si="2"/>
        <v>133920.6</v>
      </c>
      <c r="P24" s="37">
        <f t="shared" si="3"/>
        <v>120526861.38480002</v>
      </c>
      <c r="R24" s="19"/>
    </row>
    <row r="25" spans="1:18" ht="15" x14ac:dyDescent="0.25">
      <c r="A25" s="1" t="s">
        <v>63</v>
      </c>
      <c r="B25" s="2" t="s">
        <v>64</v>
      </c>
      <c r="C25" s="2" t="s">
        <v>65</v>
      </c>
      <c r="D25" s="21">
        <f>VLOOKUP(A25,'Reconciliation Data'!$A$3:$M$31,13,FALSE)</f>
        <v>1753</v>
      </c>
      <c r="E25" s="34">
        <f>VLOOKUP(A25,'Reconciliation Data'!$A$3:$D$31,4,FALSE)</f>
        <v>7364756</v>
      </c>
      <c r="F25" s="34">
        <f>VLOOKUP(A25,'Reconciliation Data'!$A$3:$E$31,5,FALSE)</f>
        <v>13680286</v>
      </c>
      <c r="G25" s="34">
        <f t="shared" si="0"/>
        <v>7364756</v>
      </c>
      <c r="H25" s="34">
        <f>VLOOKUP(A25,'Reconciliation Data'!$A$3:$H$31,8,FALSE)</f>
        <v>967718</v>
      </c>
      <c r="I25" s="83">
        <v>0.17760000000000001</v>
      </c>
      <c r="J25" s="34">
        <f t="shared" si="1"/>
        <v>1139584.7168000001</v>
      </c>
      <c r="K25" s="47">
        <f>VLOOKUP(A25,'Reconciliation Data'!$A$3:$K$31,11,FALSE)</f>
        <v>0</v>
      </c>
      <c r="L25" s="47">
        <f>VLOOKUP(A25,'Reconciliation Data'!$A$3:$L$31,12,FALSE)</f>
        <v>0</v>
      </c>
      <c r="M25" s="34">
        <f>VLOOKUP(A25,'Claims Data'!$A$3:$J$31,10,FALSE)</f>
        <v>15588.94</v>
      </c>
      <c r="N25" s="47">
        <f>VLOOKUP(A25,'Claims Data'!$A$3:$L$31,12,FALSE)</f>
        <v>23</v>
      </c>
      <c r="O25" s="34">
        <f t="shared" si="2"/>
        <v>521.17999999999995</v>
      </c>
      <c r="P25" s="37">
        <f t="shared" si="3"/>
        <v>8519408.4768000003</v>
      </c>
      <c r="R25" s="19"/>
    </row>
    <row r="26" spans="1:18" ht="15" x14ac:dyDescent="0.25">
      <c r="A26" s="3" t="s">
        <v>66</v>
      </c>
      <c r="B26" s="4" t="s">
        <v>67</v>
      </c>
      <c r="C26" s="4" t="s">
        <v>68</v>
      </c>
      <c r="D26" s="22">
        <f>VLOOKUP(A26,'Reconciliation Data'!$A$3:$M$31,13,FALSE)</f>
        <v>6186</v>
      </c>
      <c r="E26" s="35">
        <f>VLOOKUP(A26,'Reconciliation Data'!$A$3:$D$31,4,FALSE)</f>
        <v>41409146</v>
      </c>
      <c r="F26" s="35">
        <f>VLOOKUP(A26,'Reconciliation Data'!$A$3:$E$31,5,FALSE)</f>
        <v>57597407</v>
      </c>
      <c r="G26" s="35">
        <f t="shared" si="0"/>
        <v>41409146</v>
      </c>
      <c r="H26" s="35">
        <f>VLOOKUP(A26,'Reconciliation Data'!$A$3:$H$31,8,FALSE)</f>
        <v>3602835</v>
      </c>
      <c r="I26" s="84">
        <v>0.17760000000000001</v>
      </c>
      <c r="J26" s="35">
        <f t="shared" si="1"/>
        <v>4242698.4960000003</v>
      </c>
      <c r="K26" s="48">
        <f>VLOOKUP(A26,'Reconciliation Data'!$A$3:$K$31,11,FALSE)</f>
        <v>361157.81410999998</v>
      </c>
      <c r="L26" s="48">
        <f>VLOOKUP(A26,'Reconciliation Data'!$A$3:$L$31,12,FALSE)</f>
        <v>0</v>
      </c>
      <c r="M26" s="35">
        <f>VLOOKUP(A26,'Claims Data'!$A$3:$J$31,10,FALSE)</f>
        <v>2821379.25</v>
      </c>
      <c r="N26" s="48">
        <f>VLOOKUP(A26,'Claims Data'!$A$3:$L$31,12,FALSE)</f>
        <v>2981</v>
      </c>
      <c r="O26" s="35">
        <f t="shared" si="2"/>
        <v>67549.460000000006</v>
      </c>
      <c r="P26" s="38">
        <f t="shared" si="3"/>
        <v>48766832.100110002</v>
      </c>
      <c r="R26" s="19"/>
    </row>
    <row r="27" spans="1:18" ht="15" x14ac:dyDescent="0.25">
      <c r="A27" s="1" t="s">
        <v>69</v>
      </c>
      <c r="B27" s="2" t="s">
        <v>70</v>
      </c>
      <c r="C27" s="2" t="s">
        <v>71</v>
      </c>
      <c r="D27" s="21">
        <f>VLOOKUP(A27,'Reconciliation Data'!$A$3:$M$31,13,FALSE)</f>
        <v>1458</v>
      </c>
      <c r="E27" s="34">
        <f>VLOOKUP(A27,'Reconciliation Data'!$A$3:$D$31,4,FALSE)</f>
        <v>7060613</v>
      </c>
      <c r="F27" s="34">
        <f>VLOOKUP(A27,'Reconciliation Data'!$A$3:$E$31,5,FALSE)</f>
        <v>7864831</v>
      </c>
      <c r="G27" s="34">
        <f t="shared" si="0"/>
        <v>7060613</v>
      </c>
      <c r="H27" s="34">
        <f>VLOOKUP(A27,'Reconciliation Data'!$A$3:$H$31,8,FALSE)</f>
        <v>841063</v>
      </c>
      <c r="I27" s="83">
        <v>0.17760000000000001</v>
      </c>
      <c r="J27" s="34">
        <f t="shared" si="1"/>
        <v>990435.78879999998</v>
      </c>
      <c r="K27" s="47">
        <f>VLOOKUP(A27,'Reconciliation Data'!$A$3:$K$31,11,FALSE)</f>
        <v>0</v>
      </c>
      <c r="L27" s="47">
        <f>VLOOKUP(A27,'Reconciliation Data'!$A$3:$L$31,12,FALSE)</f>
        <v>0</v>
      </c>
      <c r="M27" s="34">
        <f>VLOOKUP(A27,'Claims Data'!$A$3:$J$31,10,FALSE)</f>
        <v>416341.52</v>
      </c>
      <c r="N27" s="47">
        <f>VLOOKUP(A27,'Claims Data'!$A$3:$L$31,12,FALSE)</f>
        <v>576</v>
      </c>
      <c r="O27" s="34">
        <f t="shared" si="2"/>
        <v>13052.16</v>
      </c>
      <c r="P27" s="37">
        <f t="shared" si="3"/>
        <v>8454338.1488000005</v>
      </c>
      <c r="R27" s="19"/>
    </row>
    <row r="28" spans="1:18" ht="15" x14ac:dyDescent="0.25">
      <c r="A28" s="1" t="s">
        <v>72</v>
      </c>
      <c r="B28" s="2" t="s">
        <v>73</v>
      </c>
      <c r="C28" s="2" t="s">
        <v>74</v>
      </c>
      <c r="D28" s="21">
        <f>VLOOKUP(A28,'Reconciliation Data'!$A$3:$M$31,13,FALSE)</f>
        <v>3501</v>
      </c>
      <c r="E28" s="34">
        <f>VLOOKUP(A28,'Reconciliation Data'!$A$3:$D$31,4,FALSE)</f>
        <v>18171135</v>
      </c>
      <c r="F28" s="34">
        <f>VLOOKUP(A28,'Reconciliation Data'!$A$3:$E$31,5,FALSE)</f>
        <v>21872487</v>
      </c>
      <c r="G28" s="34">
        <f t="shared" si="0"/>
        <v>18171135</v>
      </c>
      <c r="H28" s="34">
        <f>VLOOKUP(A28,'Reconciliation Data'!$A$3:$H$31,8,FALSE)</f>
        <v>2236291</v>
      </c>
      <c r="I28" s="83">
        <v>0.17760000000000001</v>
      </c>
      <c r="J28" s="34">
        <f t="shared" si="1"/>
        <v>2633456.2815999999</v>
      </c>
      <c r="K28" s="47">
        <f>VLOOKUP(A28,'Reconciliation Data'!$A$3:$K$31,11,FALSE)</f>
        <v>0</v>
      </c>
      <c r="L28" s="47">
        <f>VLOOKUP(A28,'Reconciliation Data'!$A$3:$L$31,12,FALSE)</f>
        <v>0</v>
      </c>
      <c r="M28" s="34">
        <f>VLOOKUP(A28,'Claims Data'!$A$3:$J$31,10,FALSE)</f>
        <v>2101085.9</v>
      </c>
      <c r="N28" s="47">
        <f>VLOOKUP(A28,'Claims Data'!$A$3:$L$31,12,FALSE)</f>
        <v>2510</v>
      </c>
      <c r="O28" s="34">
        <f t="shared" si="2"/>
        <v>56876.6</v>
      </c>
      <c r="P28" s="37">
        <f t="shared" si="3"/>
        <v>22848800.581599995</v>
      </c>
      <c r="R28" s="19"/>
    </row>
    <row r="29" spans="1:18" ht="15" x14ac:dyDescent="0.25">
      <c r="A29" s="1" t="s">
        <v>75</v>
      </c>
      <c r="B29" s="2" t="s">
        <v>76</v>
      </c>
      <c r="C29" s="2" t="s">
        <v>77</v>
      </c>
      <c r="D29" s="21">
        <f>VLOOKUP(A29,'Reconciliation Data'!$A$3:$M$31,13,FALSE)</f>
        <v>1198</v>
      </c>
      <c r="E29" s="34">
        <f>VLOOKUP(A29,'Reconciliation Data'!$A$3:$D$31,4,FALSE)</f>
        <v>4301287</v>
      </c>
      <c r="F29" s="34">
        <f>VLOOKUP(A29,'Reconciliation Data'!$A$3:$E$31,5,FALSE)</f>
        <v>7437523</v>
      </c>
      <c r="G29" s="34">
        <f t="shared" si="0"/>
        <v>4301287</v>
      </c>
      <c r="H29" s="34">
        <f>VLOOKUP(A29,'Reconciliation Data'!$A$3:$H$31,8,FALSE)</f>
        <v>503168</v>
      </c>
      <c r="I29" s="83">
        <v>0.17760000000000001</v>
      </c>
      <c r="J29" s="34">
        <f t="shared" si="1"/>
        <v>592530.63679999998</v>
      </c>
      <c r="K29" s="47">
        <f>VLOOKUP(A29,'Reconciliation Data'!$A$3:$K$31,11,FALSE)</f>
        <v>0</v>
      </c>
      <c r="L29" s="47">
        <f>VLOOKUP(A29,'Reconciliation Data'!$A$3:$L$31,12,FALSE)</f>
        <v>0</v>
      </c>
      <c r="M29" s="34">
        <f>VLOOKUP(A29,'Claims Data'!$A$3:$J$31,10,FALSE)</f>
        <v>15152.34</v>
      </c>
      <c r="N29" s="47">
        <f>VLOOKUP(A29,'Claims Data'!$A$3:$L$31,12,FALSE)</f>
        <v>22</v>
      </c>
      <c r="O29" s="34">
        <f t="shared" si="2"/>
        <v>498.52</v>
      </c>
      <c r="P29" s="37">
        <f t="shared" si="3"/>
        <v>4908471.4568000007</v>
      </c>
      <c r="R29" s="19"/>
    </row>
    <row r="30" spans="1:18" x14ac:dyDescent="0.3">
      <c r="A30" s="1" t="s">
        <v>78</v>
      </c>
      <c r="B30" s="2" t="s">
        <v>79</v>
      </c>
      <c r="C30" s="2" t="s">
        <v>80</v>
      </c>
      <c r="D30" s="21">
        <f>VLOOKUP(A30,'Reconciliation Data'!$A$3:$M$31,13,FALSE)</f>
        <v>988</v>
      </c>
      <c r="E30" s="34">
        <f>VLOOKUP(A30,'Reconciliation Data'!$A$3:$D$31,4,FALSE)</f>
        <v>4174488</v>
      </c>
      <c r="F30" s="34">
        <f>VLOOKUP(A30,'Reconciliation Data'!$A$3:$E$31,5,FALSE)</f>
        <v>5613798</v>
      </c>
      <c r="G30" s="34">
        <f t="shared" si="0"/>
        <v>4174488</v>
      </c>
      <c r="H30" s="34">
        <f>VLOOKUP(A30,'Reconciliation Data'!$A$3:$H$31,8,FALSE)</f>
        <v>410325</v>
      </c>
      <c r="I30" s="83">
        <v>0.17760000000000001</v>
      </c>
      <c r="J30" s="34">
        <f t="shared" si="1"/>
        <v>483198.71999999997</v>
      </c>
      <c r="K30" s="47">
        <f>VLOOKUP(A30,'Reconciliation Data'!$A$3:$K$31,11,FALSE)</f>
        <v>0</v>
      </c>
      <c r="L30" s="47">
        <f>VLOOKUP(A30,'Reconciliation Data'!$A$3:$L$31,12,FALSE)</f>
        <v>0</v>
      </c>
      <c r="M30" s="34">
        <f>VLOOKUP(A30,'Claims Data'!$A$3:$J$31,10,FALSE)</f>
        <v>7280.8</v>
      </c>
      <c r="N30" s="47">
        <f>VLOOKUP(A30,'Claims Data'!$A$3:$L$31,12,FALSE)</f>
        <v>10</v>
      </c>
      <c r="O30" s="34">
        <f t="shared" si="2"/>
        <v>226.6</v>
      </c>
      <c r="P30" s="37">
        <f t="shared" si="3"/>
        <v>4664740.92</v>
      </c>
      <c r="R30" s="19"/>
    </row>
    <row r="31" spans="1:18" x14ac:dyDescent="0.3">
      <c r="A31" s="3" t="s">
        <v>81</v>
      </c>
      <c r="B31" s="4" t="s">
        <v>41</v>
      </c>
      <c r="C31" s="4" t="s">
        <v>82</v>
      </c>
      <c r="D31" s="22">
        <f>VLOOKUP(A31,'Reconciliation Data'!$A$3:$M$31,13,FALSE)</f>
        <v>2474</v>
      </c>
      <c r="E31" s="35">
        <f>VLOOKUP(A31,'Reconciliation Data'!$A$3:$D$31,4,FALSE)</f>
        <v>13303415</v>
      </c>
      <c r="F31" s="35">
        <f>VLOOKUP(A31,'Reconciliation Data'!$A$3:$E$31,5,FALSE)</f>
        <v>19181001</v>
      </c>
      <c r="G31" s="35">
        <f t="shared" si="0"/>
        <v>13303415</v>
      </c>
      <c r="H31" s="35">
        <f>VLOOKUP(A31,'Reconciliation Data'!$A$3:$H$31,8,FALSE)</f>
        <v>1463141</v>
      </c>
      <c r="I31" s="84">
        <v>0.17760000000000001</v>
      </c>
      <c r="J31" s="35">
        <f t="shared" si="1"/>
        <v>1722994.8415999999</v>
      </c>
      <c r="K31" s="48">
        <f>VLOOKUP(A31,'Reconciliation Data'!$A$3:$K$31,11,FALSE)</f>
        <v>0</v>
      </c>
      <c r="L31" s="48">
        <f>VLOOKUP(A31,'Reconciliation Data'!$A$3:$L$31,12,FALSE)</f>
        <v>0</v>
      </c>
      <c r="M31" s="35">
        <f>VLOOKUP(A31,'Claims Data'!$A$3:$J$31,10,FALSE)</f>
        <v>31171.56</v>
      </c>
      <c r="N31" s="48">
        <f>VLOOKUP(A31,'Claims Data'!$A$3:$L$31,12,FALSE)</f>
        <v>42</v>
      </c>
      <c r="O31" s="35">
        <f t="shared" si="2"/>
        <v>951.72</v>
      </c>
      <c r="P31" s="38">
        <f t="shared" si="3"/>
        <v>15056629.681600001</v>
      </c>
      <c r="R31" s="19"/>
    </row>
    <row r="32" spans="1:18" x14ac:dyDescent="0.3">
      <c r="A32" s="1" t="s">
        <v>83</v>
      </c>
      <c r="B32" s="2" t="s">
        <v>84</v>
      </c>
      <c r="C32" s="2" t="s">
        <v>85</v>
      </c>
      <c r="D32" s="21">
        <f>VLOOKUP(A32,'Reconciliation Data'!$A$3:$M$31,13,FALSE)</f>
        <v>2318</v>
      </c>
      <c r="E32" s="34">
        <f>VLOOKUP(A32,'Reconciliation Data'!$A$3:$D$31,4,FALSE)</f>
        <v>13453139</v>
      </c>
      <c r="F32" s="34">
        <f>VLOOKUP(A32,'Reconciliation Data'!$A$3:$E$31,5,FALSE)</f>
        <v>19972967</v>
      </c>
      <c r="G32" s="34">
        <f t="shared" si="0"/>
        <v>13453139</v>
      </c>
      <c r="H32" s="34">
        <f>VLOOKUP(A32,'Reconciliation Data'!$A$3:$H$31,8,FALSE)</f>
        <v>1368719</v>
      </c>
      <c r="I32" s="83">
        <v>0.17760000000000001</v>
      </c>
      <c r="J32" s="34">
        <f t="shared" si="1"/>
        <v>1611803.4944</v>
      </c>
      <c r="K32" s="47">
        <f>VLOOKUP(A32,'Reconciliation Data'!$A$3:$K$31,11,FALSE)</f>
        <v>0</v>
      </c>
      <c r="L32" s="47">
        <f>VLOOKUP(A32,'Reconciliation Data'!$A$3:$L$31,12,FALSE)</f>
        <v>0</v>
      </c>
      <c r="M32" s="34">
        <f>VLOOKUP(A32,'Claims Data'!$A$3:$J$31,10,FALSE)</f>
        <v>11782.65</v>
      </c>
      <c r="N32" s="47">
        <f>VLOOKUP(A32,'Claims Data'!$A$3:$L$31,12,FALSE)</f>
        <v>15</v>
      </c>
      <c r="O32" s="34">
        <f t="shared" si="2"/>
        <v>339.9</v>
      </c>
      <c r="P32" s="37">
        <f t="shared" si="3"/>
        <v>15076385.2444</v>
      </c>
      <c r="R32" s="19"/>
    </row>
    <row r="33" spans="1:18" x14ac:dyDescent="0.3">
      <c r="A33" s="1" t="s">
        <v>86</v>
      </c>
      <c r="B33" s="2" t="s">
        <v>87</v>
      </c>
      <c r="C33" s="2" t="s">
        <v>88</v>
      </c>
      <c r="D33" s="21">
        <f>VLOOKUP(A33,'Reconciliation Data'!$A$3:$M$31,13,FALSE)</f>
        <v>3325</v>
      </c>
      <c r="E33" s="34">
        <f>VLOOKUP(A33,'Reconciliation Data'!$A$3:$D$31,4,FALSE)</f>
        <v>13867478</v>
      </c>
      <c r="F33" s="34">
        <f>VLOOKUP(A33,'Reconciliation Data'!$A$3:$E$31,5,FALSE)</f>
        <v>23634517</v>
      </c>
      <c r="G33" s="34">
        <f t="shared" si="0"/>
        <v>13867478</v>
      </c>
      <c r="H33" s="34">
        <f>VLOOKUP(A33,'Reconciliation Data'!$A$3:$H$31,8,FALSE)</f>
        <v>1480503</v>
      </c>
      <c r="I33" s="83">
        <v>0.17760000000000001</v>
      </c>
      <c r="J33" s="34">
        <f t="shared" si="1"/>
        <v>1743440.3328</v>
      </c>
      <c r="K33" s="47">
        <f>VLOOKUP(A33,'Reconciliation Data'!$A$3:$K$31,11,FALSE)</f>
        <v>0</v>
      </c>
      <c r="L33" s="47">
        <f>VLOOKUP(A33,'Reconciliation Data'!$A$3:$L$31,12,FALSE)</f>
        <v>0</v>
      </c>
      <c r="M33" s="34">
        <f>VLOOKUP(A33,'Claims Data'!$A$3:$J$31,10,FALSE)</f>
        <v>39712.14</v>
      </c>
      <c r="N33" s="47">
        <f>VLOOKUP(A33,'Claims Data'!$A$3:$L$31,12,FALSE)</f>
        <v>54</v>
      </c>
      <c r="O33" s="34">
        <f t="shared" si="2"/>
        <v>1223.6400000000001</v>
      </c>
      <c r="P33" s="37">
        <f t="shared" si="3"/>
        <v>15649406.832800001</v>
      </c>
      <c r="R33" s="19"/>
    </row>
    <row r="34" spans="1:18" x14ac:dyDescent="0.3">
      <c r="A34" s="1" t="s">
        <v>89</v>
      </c>
      <c r="B34" s="2" t="s">
        <v>90</v>
      </c>
      <c r="C34" s="2" t="s">
        <v>91</v>
      </c>
      <c r="D34" s="21">
        <f>VLOOKUP(A34,'Reconciliation Data'!$A$3:$M$31,13,FALSE)</f>
        <v>1609</v>
      </c>
      <c r="E34" s="34">
        <f>VLOOKUP(A34,'Reconciliation Data'!$A$3:$D$31,4,FALSE)</f>
        <v>18027139</v>
      </c>
      <c r="F34" s="34">
        <f>VLOOKUP(A34,'Reconciliation Data'!$A$3:$E$31,5,FALSE)</f>
        <v>24650505</v>
      </c>
      <c r="G34" s="34">
        <f t="shared" si="0"/>
        <v>18027139</v>
      </c>
      <c r="H34" s="34">
        <f>VLOOKUP(A34,'Reconciliation Data'!$A$3:$H$31,8,FALSE)</f>
        <v>918382</v>
      </c>
      <c r="I34" s="83">
        <v>0.17760000000000001</v>
      </c>
      <c r="J34" s="34">
        <f t="shared" si="1"/>
        <v>1081486.6432</v>
      </c>
      <c r="K34" s="47">
        <f>VLOOKUP(A34,'Reconciliation Data'!$A$3:$K$31,11,FALSE)</f>
        <v>0</v>
      </c>
      <c r="L34" s="47">
        <f>VLOOKUP(A34,'Reconciliation Data'!$A$3:$L$31,12,FALSE)</f>
        <v>0</v>
      </c>
      <c r="M34" s="34">
        <f>VLOOKUP(A34,'Claims Data'!$A$3:$J$31,10,FALSE)</f>
        <v>0</v>
      </c>
      <c r="N34" s="47">
        <f>VLOOKUP(A34,'Claims Data'!$A$3:$L$31,12,FALSE)</f>
        <v>0</v>
      </c>
      <c r="O34" s="34">
        <f t="shared" si="2"/>
        <v>0</v>
      </c>
      <c r="P34" s="37">
        <f t="shared" si="3"/>
        <v>19108625.643199999</v>
      </c>
      <c r="R34" s="19"/>
    </row>
    <row r="35" spans="1:18" x14ac:dyDescent="0.3">
      <c r="A35" s="3" t="s">
        <v>92</v>
      </c>
      <c r="B35" s="4" t="s">
        <v>93</v>
      </c>
      <c r="C35" s="4" t="s">
        <v>94</v>
      </c>
      <c r="D35" s="22">
        <f>VLOOKUP(A35,'Reconciliation Data'!$A$3:$M$31,13,FALSE)</f>
        <v>2461</v>
      </c>
      <c r="E35" s="35">
        <f>VLOOKUP(A35,'Reconciliation Data'!$A$3:$D$31,4,FALSE)</f>
        <v>39239070</v>
      </c>
      <c r="F35" s="35">
        <f>VLOOKUP(A35,'Reconciliation Data'!$A$3:$E$31,5,FALSE)</f>
        <v>53062618</v>
      </c>
      <c r="G35" s="35">
        <f t="shared" si="0"/>
        <v>39239070</v>
      </c>
      <c r="H35" s="35">
        <f>VLOOKUP(A35,'Reconciliation Data'!$A$3:$H$31,8,FALSE)</f>
        <v>0</v>
      </c>
      <c r="I35" s="84">
        <v>0.17760000000000001</v>
      </c>
      <c r="J35" s="35">
        <f t="shared" si="1"/>
        <v>0</v>
      </c>
      <c r="K35" s="48">
        <f>VLOOKUP(A35,'Reconciliation Data'!$A$3:$K$31,11,FALSE)</f>
        <v>0</v>
      </c>
      <c r="L35" s="48">
        <f>VLOOKUP(A35,'Reconciliation Data'!$A$3:$L$31,12,FALSE)</f>
        <v>0</v>
      </c>
      <c r="M35" s="35">
        <f>VLOOKUP(A35,'Claims Data'!$A$3:$J$31,10,FALSE)</f>
        <v>312207.84999999998</v>
      </c>
      <c r="N35" s="48">
        <f>VLOOKUP(A35,'Claims Data'!$A$3:$L$31,12,FALSE)</f>
        <v>161</v>
      </c>
      <c r="O35" s="35">
        <f t="shared" si="2"/>
        <v>3648.26</v>
      </c>
      <c r="P35" s="38">
        <f t="shared" si="3"/>
        <v>39547629.590000004</v>
      </c>
      <c r="R35" s="19"/>
    </row>
    <row r="36" spans="1:18" x14ac:dyDescent="0.3">
      <c r="D36" s="31">
        <f>SUM(D7:D35)</f>
        <v>70070</v>
      </c>
      <c r="E36" s="36">
        <f>SUM(E7:E35)</f>
        <v>422871248.09000003</v>
      </c>
      <c r="F36" s="36">
        <f t="shared" ref="F36:P36" si="4">SUM(F7:F35)</f>
        <v>663561894.45000005</v>
      </c>
      <c r="G36" s="36">
        <f t="shared" si="4"/>
        <v>422871248.09000003</v>
      </c>
      <c r="H36" s="36">
        <f t="shared" si="4"/>
        <v>41297183</v>
      </c>
      <c r="I36" s="36"/>
      <c r="J36" s="36">
        <f>SUM(J7:J35)</f>
        <v>48631562.700800002</v>
      </c>
      <c r="K36" s="31">
        <f t="shared" si="4"/>
        <v>492748.03411000001</v>
      </c>
      <c r="L36" s="31">
        <f t="shared" si="4"/>
        <v>136377.1305</v>
      </c>
      <c r="M36" s="36">
        <f t="shared" si="4"/>
        <v>13820580.520000001</v>
      </c>
      <c r="N36" s="31">
        <f t="shared" si="4"/>
        <v>15392</v>
      </c>
      <c r="O36" s="36">
        <f t="shared" si="4"/>
        <v>348782.72</v>
      </c>
      <c r="P36" s="36">
        <f t="shared" si="4"/>
        <v>485603733.75540996</v>
      </c>
    </row>
    <row r="38" spans="1:18" x14ac:dyDescent="0.3">
      <c r="A38" s="94"/>
      <c r="B38" s="95"/>
      <c r="C38" s="96" t="s">
        <v>272</v>
      </c>
      <c r="D38" s="99">
        <f>+D17+D31</f>
        <v>2701</v>
      </c>
      <c r="E38" s="100">
        <f t="shared" ref="E38:N38" si="5">+E17+E31</f>
        <v>14659824</v>
      </c>
      <c r="F38" s="100">
        <f t="shared" si="5"/>
        <v>21485123</v>
      </c>
      <c r="G38" s="100">
        <f t="shared" si="5"/>
        <v>14659824</v>
      </c>
      <c r="H38" s="100">
        <f t="shared" si="5"/>
        <v>1637679</v>
      </c>
      <c r="I38" s="101">
        <v>0.17760000000000001</v>
      </c>
      <c r="J38" s="100">
        <f t="shared" si="5"/>
        <v>1928530.7903999998</v>
      </c>
      <c r="K38" s="102">
        <f t="shared" si="5"/>
        <v>0</v>
      </c>
      <c r="L38" s="102">
        <f t="shared" si="5"/>
        <v>0</v>
      </c>
      <c r="M38" s="100">
        <f t="shared" si="5"/>
        <v>31171.56</v>
      </c>
      <c r="N38" s="102">
        <f t="shared" si="5"/>
        <v>42</v>
      </c>
      <c r="O38" s="100">
        <f t="shared" ref="O38" si="6">N38*22.66</f>
        <v>951.72</v>
      </c>
      <c r="P38" s="103">
        <f t="shared" ref="P38" si="7">G38+J38+K38+L38+M38-O38</f>
        <v>16618574.6304</v>
      </c>
    </row>
  </sheetData>
  <pageMargins left="0.7" right="0.7" top="0.75" bottom="0.75" header="0.3" footer="0.3"/>
  <pageSetup paperSize="5" scale="61" orientation="landscape" r:id="rId1"/>
  <headerFooter>
    <oddHeader>&amp;R&amp;"-,Bold"&amp;12&amp;K03-024MERCER</oddHeader>
    <oddFooter>&amp;LMyers and Stauffer LC&amp;R&amp;D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U38"/>
  <sheetViews>
    <sheetView topLeftCell="A3" workbookViewId="0">
      <selection activeCell="A41" sqref="A41:XFD41"/>
    </sheetView>
  </sheetViews>
  <sheetFormatPr defaultRowHeight="14.4" x14ac:dyDescent="0.3"/>
  <cols>
    <col min="1" max="1" width="9.6640625" customWidth="1"/>
    <col min="2" max="2" width="10" bestFit="1" customWidth="1"/>
    <col min="3" max="3" width="40.109375" bestFit="1" customWidth="1"/>
    <col min="4" max="5" width="14.5546875" customWidth="1"/>
    <col min="6" max="6" width="18.5546875" customWidth="1"/>
    <col min="7" max="7" width="19.6640625" customWidth="1"/>
    <col min="8" max="8" width="2.6640625" customWidth="1"/>
    <col min="9" max="9" width="9.109375" bestFit="1" customWidth="1"/>
    <col min="10" max="10" width="13.33203125" style="17" customWidth="1"/>
    <col min="11" max="11" width="16.88671875" bestFit="1" customWidth="1"/>
    <col min="12" max="16" width="18" customWidth="1"/>
    <col min="17" max="17" width="2.6640625" customWidth="1"/>
    <col min="18" max="18" width="17.88671875" customWidth="1"/>
    <col min="19" max="19" width="13.44140625" style="18" customWidth="1"/>
    <col min="20" max="20" width="17.33203125" customWidth="1"/>
    <col min="21" max="21" width="18.33203125" customWidth="1"/>
  </cols>
  <sheetData>
    <row r="1" spans="1:21" s="19" customFormat="1" ht="18" x14ac:dyDescent="0.25">
      <c r="A1" s="86" t="s">
        <v>267</v>
      </c>
    </row>
    <row r="2" spans="1:21" s="19" customFormat="1" ht="18" x14ac:dyDescent="0.25">
      <c r="A2" s="86" t="s">
        <v>214</v>
      </c>
    </row>
    <row r="3" spans="1:21" s="19" customFormat="1" ht="15.75" x14ac:dyDescent="0.25">
      <c r="A3" s="87" t="s">
        <v>168</v>
      </c>
      <c r="O3" s="5"/>
      <c r="P3" s="5"/>
    </row>
    <row r="4" spans="1:21" s="19" customFormat="1" ht="15" x14ac:dyDescent="0.25">
      <c r="D4" s="122" t="s">
        <v>198</v>
      </c>
      <c r="E4" s="123"/>
      <c r="F4" s="123"/>
      <c r="G4" s="124"/>
      <c r="I4" s="122" t="s">
        <v>200</v>
      </c>
      <c r="J4" s="123"/>
      <c r="K4" s="123"/>
      <c r="L4" s="123"/>
      <c r="M4" s="123"/>
      <c r="N4" s="123"/>
      <c r="O4" s="123"/>
      <c r="P4" s="124"/>
      <c r="R4" s="122" t="s">
        <v>204</v>
      </c>
      <c r="S4" s="123"/>
      <c r="T4" s="123"/>
      <c r="U4" s="124"/>
    </row>
    <row r="5" spans="1:21" s="19" customFormat="1" ht="45" x14ac:dyDescent="0.25">
      <c r="A5" s="88" t="s">
        <v>0</v>
      </c>
      <c r="B5" s="89" t="s">
        <v>1</v>
      </c>
      <c r="C5" s="89" t="s">
        <v>2</v>
      </c>
      <c r="D5" s="88" t="s">
        <v>199</v>
      </c>
      <c r="E5" s="89" t="s">
        <v>215</v>
      </c>
      <c r="F5" s="89" t="s">
        <v>216</v>
      </c>
      <c r="G5" s="90" t="s">
        <v>203</v>
      </c>
      <c r="H5" s="89"/>
      <c r="I5" s="88" t="s">
        <v>199</v>
      </c>
      <c r="J5" s="89" t="s">
        <v>217</v>
      </c>
      <c r="K5" s="89" t="s">
        <v>218</v>
      </c>
      <c r="L5" s="89" t="s">
        <v>166</v>
      </c>
      <c r="M5" s="89" t="s">
        <v>201</v>
      </c>
      <c r="N5" s="89" t="s">
        <v>219</v>
      </c>
      <c r="O5" s="89" t="s">
        <v>202</v>
      </c>
      <c r="P5" s="90" t="s">
        <v>203</v>
      </c>
      <c r="Q5" s="89"/>
      <c r="R5" s="88" t="s">
        <v>199</v>
      </c>
      <c r="S5" s="89" t="s">
        <v>220</v>
      </c>
      <c r="T5" s="89" t="s">
        <v>221</v>
      </c>
      <c r="U5" s="90" t="s">
        <v>203</v>
      </c>
    </row>
    <row r="6" spans="1:21" s="19" customFormat="1" ht="15" x14ac:dyDescent="0.25">
      <c r="A6" s="30" t="s">
        <v>169</v>
      </c>
      <c r="B6" s="28" t="s">
        <v>170</v>
      </c>
      <c r="C6" s="28" t="s">
        <v>171</v>
      </c>
      <c r="D6" s="32" t="s">
        <v>172</v>
      </c>
      <c r="E6" s="28" t="s">
        <v>173</v>
      </c>
      <c r="F6" s="28" t="s">
        <v>174</v>
      </c>
      <c r="G6" s="41" t="s">
        <v>188</v>
      </c>
      <c r="H6" s="92"/>
      <c r="I6" s="28" t="s">
        <v>176</v>
      </c>
      <c r="J6" s="28" t="s">
        <v>177</v>
      </c>
      <c r="K6" s="28" t="s">
        <v>178</v>
      </c>
      <c r="L6" s="28" t="s">
        <v>189</v>
      </c>
      <c r="M6" s="28" t="s">
        <v>190</v>
      </c>
      <c r="N6" s="28" t="s">
        <v>181</v>
      </c>
      <c r="O6" s="28" t="s">
        <v>191</v>
      </c>
      <c r="P6" s="41" t="s">
        <v>192</v>
      </c>
      <c r="Q6" s="92"/>
      <c r="R6" s="28" t="s">
        <v>184</v>
      </c>
      <c r="S6" s="28" t="s">
        <v>185</v>
      </c>
      <c r="T6" s="28" t="s">
        <v>186</v>
      </c>
      <c r="U6" s="41" t="s">
        <v>193</v>
      </c>
    </row>
    <row r="7" spans="1:21" ht="15" x14ac:dyDescent="0.25">
      <c r="A7" s="1" t="s">
        <v>11</v>
      </c>
      <c r="B7" s="2" t="s">
        <v>111</v>
      </c>
      <c r="C7" s="2" t="s">
        <v>13</v>
      </c>
      <c r="D7" s="39">
        <f>VLOOKUP(A7,'Claims Data'!$A$3:$V$31,6,FALSE)</f>
        <v>975</v>
      </c>
      <c r="E7" s="47">
        <f>VLOOKUP(A7,'Claims Data'!$A$3:$X$31,4,FALSE)</f>
        <v>689</v>
      </c>
      <c r="F7" s="47">
        <f>VLOOKUP(A7,'Claims Data'!$A$3:$V$31,7,FALSE)</f>
        <v>4246</v>
      </c>
      <c r="G7" s="42">
        <f t="shared" ref="G7:G35" si="0">F7*D7</f>
        <v>4139850</v>
      </c>
      <c r="H7" s="93"/>
      <c r="I7" s="39">
        <f>VLOOKUP(A7,'Claims Data'!$A$3:$V$31,11,FALSE)</f>
        <v>975</v>
      </c>
      <c r="J7" s="47">
        <f>VLOOKUP(A7,'Claims Data'!$A$3:$W$31,9,FALSE)</f>
        <v>211</v>
      </c>
      <c r="K7" s="47">
        <f>VLOOKUP(A7,'Claims Data'!$A$3:$V$31,12,FALSE)</f>
        <v>2351</v>
      </c>
      <c r="L7" s="34">
        <f t="shared" ref="L7:L35" si="1">I7*K7</f>
        <v>2292225</v>
      </c>
      <c r="M7" s="118">
        <f t="shared" ref="M7:M35" si="2">0.85*I7</f>
        <v>828.75</v>
      </c>
      <c r="N7" s="47">
        <f>VLOOKUP(A7,'Claims Data'!$A$3:$V$31,13,FALSE)</f>
        <v>218</v>
      </c>
      <c r="O7" s="34">
        <f t="shared" ref="O7:O35" si="3">N7*M7</f>
        <v>180667.5</v>
      </c>
      <c r="P7" s="42">
        <f t="shared" ref="P7:P35" si="4">+O7+L7</f>
        <v>2472892.5</v>
      </c>
      <c r="Q7" s="93"/>
      <c r="R7" s="39">
        <f>VLOOKUP(A7,'Claims Data'!$A$3:$V$31,17,FALSE)</f>
        <v>1370</v>
      </c>
      <c r="S7" s="47">
        <f>VLOOKUP(A7,'Claims Data'!$A$3:$W$31,15,FALSE)</f>
        <v>0</v>
      </c>
      <c r="T7" s="47">
        <f>VLOOKUP(A7,'Claims Data'!$A$3:$V$31,18,FALSE)</f>
        <v>0</v>
      </c>
      <c r="U7" s="42">
        <f t="shared" ref="U7:U35" si="5">R7*T7</f>
        <v>0</v>
      </c>
    </row>
    <row r="8" spans="1:21" ht="15" x14ac:dyDescent="0.25">
      <c r="A8" s="1" t="s">
        <v>14</v>
      </c>
      <c r="B8" s="2" t="s">
        <v>15</v>
      </c>
      <c r="C8" s="2" t="s">
        <v>16</v>
      </c>
      <c r="D8" s="39">
        <f>VLOOKUP(A8,'Claims Data'!$A$3:$V$31,6,FALSE)</f>
        <v>1050</v>
      </c>
      <c r="E8" s="47">
        <f>VLOOKUP(A8,'Claims Data'!$A$3:$X$31,4,FALSE)</f>
        <v>254</v>
      </c>
      <c r="F8" s="47">
        <f>VLOOKUP(A8,'Claims Data'!$A$3:$V$31,7,FALSE)</f>
        <v>1314</v>
      </c>
      <c r="G8" s="42">
        <f t="shared" si="0"/>
        <v>1379700</v>
      </c>
      <c r="H8" s="93"/>
      <c r="I8" s="39">
        <f>VLOOKUP(A8,'Claims Data'!$A$3:$V$31,11,FALSE)</f>
        <v>1050</v>
      </c>
      <c r="J8" s="47">
        <f>VLOOKUP(A8,'Claims Data'!$A$3:$W$31,9,FALSE)</f>
        <v>7</v>
      </c>
      <c r="K8" s="47">
        <f>VLOOKUP(A8,'Claims Data'!$A$3:$V$31,12,FALSE)</f>
        <v>24</v>
      </c>
      <c r="L8" s="34">
        <f t="shared" si="1"/>
        <v>25200</v>
      </c>
      <c r="M8" s="118">
        <f t="shared" si="2"/>
        <v>892.5</v>
      </c>
      <c r="N8" s="47">
        <f>VLOOKUP(A8,'Claims Data'!$A$3:$V$31,13,FALSE)</f>
        <v>0</v>
      </c>
      <c r="O8" s="34">
        <f t="shared" si="3"/>
        <v>0</v>
      </c>
      <c r="P8" s="42">
        <f t="shared" si="4"/>
        <v>25200</v>
      </c>
      <c r="Q8" s="93"/>
      <c r="R8" s="39">
        <f>VLOOKUP(A8,'Claims Data'!$A$3:$V$31,17,FALSE)</f>
        <v>1370</v>
      </c>
      <c r="S8" s="47">
        <f>VLOOKUP(A8,'Claims Data'!$A$3:$W$31,15,FALSE)</f>
        <v>0</v>
      </c>
      <c r="T8" s="47">
        <f>VLOOKUP(A8,'Claims Data'!$A$3:$V$31,18,FALSE)</f>
        <v>0</v>
      </c>
      <c r="U8" s="42">
        <f t="shared" si="5"/>
        <v>0</v>
      </c>
    </row>
    <row r="9" spans="1:21" ht="15" x14ac:dyDescent="0.25">
      <c r="A9" s="1" t="s">
        <v>17</v>
      </c>
      <c r="B9" s="2" t="s">
        <v>18</v>
      </c>
      <c r="C9" s="2" t="s">
        <v>19</v>
      </c>
      <c r="D9" s="39">
        <f>VLOOKUP(A9,'Claims Data'!$A$3:$V$31,6,FALSE)</f>
        <v>975</v>
      </c>
      <c r="E9" s="47">
        <f>VLOOKUP(A9,'Claims Data'!$A$3:$X$31,4,FALSE)</f>
        <v>7</v>
      </c>
      <c r="F9" s="47">
        <f>VLOOKUP(A9,'Claims Data'!$A$3:$V$31,7,FALSE)</f>
        <v>35</v>
      </c>
      <c r="G9" s="42">
        <f t="shared" si="0"/>
        <v>34125</v>
      </c>
      <c r="H9" s="93"/>
      <c r="I9" s="39">
        <f>VLOOKUP(A9,'Claims Data'!$A$3:$V$31,11,FALSE)</f>
        <v>975</v>
      </c>
      <c r="J9" s="47">
        <f>VLOOKUP(A9,'Claims Data'!$A$3:$W$31,9,FALSE)</f>
        <v>0</v>
      </c>
      <c r="K9" s="47">
        <f>VLOOKUP(A9,'Claims Data'!$A$3:$V$31,12,FALSE)</f>
        <v>0</v>
      </c>
      <c r="L9" s="34">
        <f t="shared" si="1"/>
        <v>0</v>
      </c>
      <c r="M9" s="118">
        <f t="shared" si="2"/>
        <v>828.75</v>
      </c>
      <c r="N9" s="47">
        <f>VLOOKUP(A9,'Claims Data'!$A$3:$V$31,13,FALSE)</f>
        <v>0</v>
      </c>
      <c r="O9" s="34">
        <f t="shared" si="3"/>
        <v>0</v>
      </c>
      <c r="P9" s="42">
        <f t="shared" si="4"/>
        <v>0</v>
      </c>
      <c r="Q9" s="93"/>
      <c r="R9" s="39">
        <f>VLOOKUP(A9,'Claims Data'!$A$3:$V$31,17,FALSE)</f>
        <v>1370</v>
      </c>
      <c r="S9" s="47">
        <f>VLOOKUP(A9,'Claims Data'!$A$3:$W$31,15,FALSE)</f>
        <v>0</v>
      </c>
      <c r="T9" s="47">
        <f>VLOOKUP(A9,'Claims Data'!$A$3:$V$31,18,FALSE)</f>
        <v>0</v>
      </c>
      <c r="U9" s="42">
        <f t="shared" si="5"/>
        <v>0</v>
      </c>
    </row>
    <row r="10" spans="1:21" ht="15" x14ac:dyDescent="0.25">
      <c r="A10" s="3" t="s">
        <v>20</v>
      </c>
      <c r="B10" s="4" t="s">
        <v>21</v>
      </c>
      <c r="C10" s="4" t="s">
        <v>22</v>
      </c>
      <c r="D10" s="40">
        <f>VLOOKUP(A10,'Claims Data'!$A$3:$V$31,6,FALSE)</f>
        <v>975</v>
      </c>
      <c r="E10" s="48">
        <f>VLOOKUP(A10,'Claims Data'!$A$3:$X$31,4,FALSE)</f>
        <v>392</v>
      </c>
      <c r="F10" s="48">
        <f>VLOOKUP(A10,'Claims Data'!$A$3:$V$31,7,FALSE)</f>
        <v>2790</v>
      </c>
      <c r="G10" s="43">
        <f t="shared" si="0"/>
        <v>2720250</v>
      </c>
      <c r="H10" s="93"/>
      <c r="I10" s="40">
        <f>VLOOKUP(A10,'Claims Data'!$A$3:$V$31,11,FALSE)</f>
        <v>975</v>
      </c>
      <c r="J10" s="48">
        <f>VLOOKUP(A10,'Claims Data'!$A$3:$W$31,9,FALSE)</f>
        <v>80</v>
      </c>
      <c r="K10" s="48">
        <f>VLOOKUP(A10,'Claims Data'!$A$3:$V$31,12,FALSE)</f>
        <v>524</v>
      </c>
      <c r="L10" s="35">
        <f t="shared" si="1"/>
        <v>510900</v>
      </c>
      <c r="M10" s="119">
        <f t="shared" si="2"/>
        <v>828.75</v>
      </c>
      <c r="N10" s="48">
        <f>VLOOKUP(A10,'Claims Data'!$A$3:$V$31,13,FALSE)</f>
        <v>32</v>
      </c>
      <c r="O10" s="35">
        <f t="shared" si="3"/>
        <v>26520</v>
      </c>
      <c r="P10" s="43">
        <f t="shared" si="4"/>
        <v>537420</v>
      </c>
      <c r="Q10" s="93"/>
      <c r="R10" s="40">
        <f>VLOOKUP(A10,'Claims Data'!$A$3:$V$31,17,FALSE)</f>
        <v>1370</v>
      </c>
      <c r="S10" s="48">
        <f>VLOOKUP(A10,'Claims Data'!$A$3:$W$31,15,FALSE)</f>
        <v>0</v>
      </c>
      <c r="T10" s="48">
        <f>VLOOKUP(A10,'Claims Data'!$A$3:$V$31,18,FALSE)</f>
        <v>0</v>
      </c>
      <c r="U10" s="43">
        <f t="shared" si="5"/>
        <v>0</v>
      </c>
    </row>
    <row r="11" spans="1:21" ht="15" x14ac:dyDescent="0.25">
      <c r="A11" s="1" t="s">
        <v>23</v>
      </c>
      <c r="B11" s="2" t="s">
        <v>24</v>
      </c>
      <c r="C11" s="2" t="s">
        <v>25</v>
      </c>
      <c r="D11" s="39">
        <f>VLOOKUP(A11,'Claims Data'!$A$3:$V$31,6,FALSE)</f>
        <v>1125</v>
      </c>
      <c r="E11" s="47">
        <f>VLOOKUP(A11,'Claims Data'!$A$3:$X$31,4,FALSE)</f>
        <v>228</v>
      </c>
      <c r="F11" s="47">
        <f>VLOOKUP(A11,'Claims Data'!$A$3:$V$31,7,FALSE)</f>
        <v>1595</v>
      </c>
      <c r="G11" s="42">
        <f t="shared" si="0"/>
        <v>1794375</v>
      </c>
      <c r="H11" s="93"/>
      <c r="I11" s="39">
        <f>VLOOKUP(A11,'Claims Data'!$A$3:$V$31,11,FALSE)</f>
        <v>1125</v>
      </c>
      <c r="J11" s="47">
        <f>VLOOKUP(A11,'Claims Data'!$A$3:$W$31,9,FALSE)</f>
        <v>14</v>
      </c>
      <c r="K11" s="47">
        <f>VLOOKUP(A11,'Claims Data'!$A$3:$V$31,12,FALSE)</f>
        <v>68</v>
      </c>
      <c r="L11" s="34">
        <f t="shared" si="1"/>
        <v>76500</v>
      </c>
      <c r="M11" s="118">
        <f t="shared" si="2"/>
        <v>956.25</v>
      </c>
      <c r="N11" s="47">
        <f>VLOOKUP(A11,'Claims Data'!$A$3:$V$31,13,FALSE)</f>
        <v>0</v>
      </c>
      <c r="O11" s="34">
        <f t="shared" si="3"/>
        <v>0</v>
      </c>
      <c r="P11" s="42">
        <f t="shared" si="4"/>
        <v>76500</v>
      </c>
      <c r="Q11" s="93"/>
      <c r="R11" s="39">
        <f>VLOOKUP(A11,'Claims Data'!$A$3:$V$31,17,FALSE)</f>
        <v>1370</v>
      </c>
      <c r="S11" s="47">
        <f>VLOOKUP(A11,'Claims Data'!$A$3:$W$31,15,FALSE)</f>
        <v>15</v>
      </c>
      <c r="T11" s="47">
        <f>VLOOKUP(A11,'Claims Data'!$A$3:$V$31,18,FALSE)</f>
        <v>198</v>
      </c>
      <c r="U11" s="42">
        <f t="shared" si="5"/>
        <v>271260</v>
      </c>
    </row>
    <row r="12" spans="1:21" ht="15" x14ac:dyDescent="0.25">
      <c r="A12" s="1" t="s">
        <v>26</v>
      </c>
      <c r="B12" s="2" t="s">
        <v>27</v>
      </c>
      <c r="C12" s="2" t="s">
        <v>28</v>
      </c>
      <c r="D12" s="39">
        <f>VLOOKUP(A12,'Claims Data'!$A$3:$V$31,6,FALSE)</f>
        <v>975</v>
      </c>
      <c r="E12" s="47">
        <f>VLOOKUP(A12,'Claims Data'!$A$3:$X$31,4,FALSE)</f>
        <v>319</v>
      </c>
      <c r="F12" s="47">
        <f>VLOOKUP(A12,'Claims Data'!$A$3:$V$31,7,FALSE)</f>
        <v>2148</v>
      </c>
      <c r="G12" s="42">
        <f t="shared" si="0"/>
        <v>2094300</v>
      </c>
      <c r="H12" s="93"/>
      <c r="I12" s="39">
        <f>VLOOKUP(A12,'Claims Data'!$A$3:$V$31,11,FALSE)</f>
        <v>975</v>
      </c>
      <c r="J12" s="47">
        <f>VLOOKUP(A12,'Claims Data'!$A$3:$W$31,9,FALSE)</f>
        <v>5</v>
      </c>
      <c r="K12" s="47">
        <f>VLOOKUP(A12,'Claims Data'!$A$3:$V$31,12,FALSE)</f>
        <v>36</v>
      </c>
      <c r="L12" s="34">
        <f t="shared" si="1"/>
        <v>35100</v>
      </c>
      <c r="M12" s="118">
        <f t="shared" si="2"/>
        <v>828.75</v>
      </c>
      <c r="N12" s="47">
        <f>VLOOKUP(A12,'Claims Data'!$A$3:$V$31,13,FALSE)</f>
        <v>0</v>
      </c>
      <c r="O12" s="34">
        <f t="shared" si="3"/>
        <v>0</v>
      </c>
      <c r="P12" s="42">
        <f t="shared" si="4"/>
        <v>35100</v>
      </c>
      <c r="Q12" s="93"/>
      <c r="R12" s="39">
        <f>VLOOKUP(A12,'Claims Data'!$A$3:$V$31,17,FALSE)</f>
        <v>1370</v>
      </c>
      <c r="S12" s="47">
        <f>VLOOKUP(A12,'Claims Data'!$A$3:$W$31,15,FALSE)</f>
        <v>18</v>
      </c>
      <c r="T12" s="47">
        <f>VLOOKUP(A12,'Claims Data'!$A$3:$V$31,18,FALSE)</f>
        <v>280</v>
      </c>
      <c r="U12" s="42">
        <f t="shared" si="5"/>
        <v>383600</v>
      </c>
    </row>
    <row r="13" spans="1:21" ht="15" x14ac:dyDescent="0.25">
      <c r="A13" s="1" t="s">
        <v>29</v>
      </c>
      <c r="B13" s="2" t="s">
        <v>30</v>
      </c>
      <c r="C13" s="2" t="s">
        <v>31</v>
      </c>
      <c r="D13" s="39">
        <f>VLOOKUP(A13,'Claims Data'!$A$3:$V$31,6,FALSE)</f>
        <v>975</v>
      </c>
      <c r="E13" s="47">
        <f>VLOOKUP(A13,'Claims Data'!$A$3:$X$31,4,FALSE)</f>
        <v>138</v>
      </c>
      <c r="F13" s="47">
        <f>VLOOKUP(A13,'Claims Data'!$A$3:$V$31,7,FALSE)</f>
        <v>921</v>
      </c>
      <c r="G13" s="42">
        <f t="shared" si="0"/>
        <v>897975</v>
      </c>
      <c r="H13" s="93"/>
      <c r="I13" s="39">
        <f>VLOOKUP(A13,'Claims Data'!$A$3:$V$31,11,FALSE)</f>
        <v>975</v>
      </c>
      <c r="J13" s="47">
        <f>VLOOKUP(A13,'Claims Data'!$A$3:$W$31,9,FALSE)</f>
        <v>2</v>
      </c>
      <c r="K13" s="47">
        <f>VLOOKUP(A13,'Claims Data'!$A$3:$V$31,12,FALSE)</f>
        <v>9</v>
      </c>
      <c r="L13" s="34">
        <f t="shared" si="1"/>
        <v>8775</v>
      </c>
      <c r="M13" s="118">
        <f t="shared" si="2"/>
        <v>828.75</v>
      </c>
      <c r="N13" s="47">
        <f>VLOOKUP(A13,'Claims Data'!$A$3:$V$31,13,FALSE)</f>
        <v>0</v>
      </c>
      <c r="O13" s="34">
        <f t="shared" si="3"/>
        <v>0</v>
      </c>
      <c r="P13" s="42">
        <f t="shared" si="4"/>
        <v>8775</v>
      </c>
      <c r="Q13" s="93"/>
      <c r="R13" s="39">
        <f>VLOOKUP(A13,'Claims Data'!$A$3:$V$31,17,FALSE)</f>
        <v>1370</v>
      </c>
      <c r="S13" s="47">
        <f>VLOOKUP(A13,'Claims Data'!$A$3:$W$31,15,FALSE)</f>
        <v>0</v>
      </c>
      <c r="T13" s="47">
        <f>VLOOKUP(A13,'Claims Data'!$A$3:$V$31,18,FALSE)</f>
        <v>0</v>
      </c>
      <c r="U13" s="42">
        <f t="shared" si="5"/>
        <v>0</v>
      </c>
    </row>
    <row r="14" spans="1:21" ht="15" x14ac:dyDescent="0.25">
      <c r="A14" s="1" t="s">
        <v>32</v>
      </c>
      <c r="B14" s="2" t="s">
        <v>33</v>
      </c>
      <c r="C14" s="2" t="s">
        <v>34</v>
      </c>
      <c r="D14" s="39">
        <f>VLOOKUP(A14,'Claims Data'!$A$3:$V$31,6,FALSE)</f>
        <v>1050</v>
      </c>
      <c r="E14" s="47">
        <f>VLOOKUP(A14,'Claims Data'!$A$3:$X$31,4,FALSE)</f>
        <v>491</v>
      </c>
      <c r="F14" s="47">
        <f>VLOOKUP(A14,'Claims Data'!$A$3:$V$31,7,FALSE)</f>
        <v>3448</v>
      </c>
      <c r="G14" s="42">
        <f t="shared" si="0"/>
        <v>3620400</v>
      </c>
      <c r="H14" s="93"/>
      <c r="I14" s="39">
        <f>VLOOKUP(A14,'Claims Data'!$A$3:$V$31,11,FALSE)</f>
        <v>1050</v>
      </c>
      <c r="J14" s="47">
        <f>VLOOKUP(A14,'Claims Data'!$A$3:$W$31,9,FALSE)</f>
        <v>1</v>
      </c>
      <c r="K14" s="47">
        <f>VLOOKUP(A14,'Claims Data'!$A$3:$V$31,12,FALSE)</f>
        <v>5</v>
      </c>
      <c r="L14" s="34">
        <f t="shared" si="1"/>
        <v>5250</v>
      </c>
      <c r="M14" s="118">
        <f t="shared" si="2"/>
        <v>892.5</v>
      </c>
      <c r="N14" s="47">
        <f>VLOOKUP(A14,'Claims Data'!$A$3:$V$31,13,FALSE)</f>
        <v>0</v>
      </c>
      <c r="O14" s="34">
        <f t="shared" si="3"/>
        <v>0</v>
      </c>
      <c r="P14" s="42">
        <f t="shared" si="4"/>
        <v>5250</v>
      </c>
      <c r="Q14" s="93"/>
      <c r="R14" s="39">
        <f>VLOOKUP(A14,'Claims Data'!$A$3:$V$31,17,FALSE)</f>
        <v>1370</v>
      </c>
      <c r="S14" s="47">
        <f>VLOOKUP(A14,'Claims Data'!$A$3:$W$31,15,FALSE)</f>
        <v>41</v>
      </c>
      <c r="T14" s="47">
        <f>VLOOKUP(A14,'Claims Data'!$A$3:$V$31,18,FALSE)</f>
        <v>568</v>
      </c>
      <c r="U14" s="42">
        <f t="shared" si="5"/>
        <v>778160</v>
      </c>
    </row>
    <row r="15" spans="1:21" ht="15" x14ac:dyDescent="0.25">
      <c r="A15" s="3" t="s">
        <v>35</v>
      </c>
      <c r="B15" s="4" t="s">
        <v>36</v>
      </c>
      <c r="C15" s="4" t="s">
        <v>37</v>
      </c>
      <c r="D15" s="40">
        <f>VLOOKUP(A15,'Claims Data'!$A$3:$V$31,6,FALSE)</f>
        <v>1125</v>
      </c>
      <c r="E15" s="48">
        <f>VLOOKUP(A15,'Claims Data'!$A$3:$X$31,4,FALSE)</f>
        <v>202</v>
      </c>
      <c r="F15" s="48">
        <f>VLOOKUP(A15,'Claims Data'!$A$3:$V$31,7,FALSE)</f>
        <v>985</v>
      </c>
      <c r="G15" s="43">
        <f t="shared" si="0"/>
        <v>1108125</v>
      </c>
      <c r="H15" s="93"/>
      <c r="I15" s="40">
        <f>VLOOKUP(A15,'Claims Data'!$A$3:$V$31,11,FALSE)</f>
        <v>1125</v>
      </c>
      <c r="J15" s="48">
        <f>VLOOKUP(A15,'Claims Data'!$A$3:$W$31,9,FALSE)</f>
        <v>6</v>
      </c>
      <c r="K15" s="48">
        <f>VLOOKUP(A15,'Claims Data'!$A$3:$V$31,12,FALSE)</f>
        <v>24</v>
      </c>
      <c r="L15" s="35">
        <f t="shared" si="1"/>
        <v>27000</v>
      </c>
      <c r="M15" s="119">
        <f t="shared" si="2"/>
        <v>956.25</v>
      </c>
      <c r="N15" s="48">
        <f>VLOOKUP(A15,'Claims Data'!$A$3:$V$31,13,FALSE)</f>
        <v>0</v>
      </c>
      <c r="O15" s="35">
        <f t="shared" si="3"/>
        <v>0</v>
      </c>
      <c r="P15" s="43">
        <f t="shared" si="4"/>
        <v>27000</v>
      </c>
      <c r="Q15" s="93"/>
      <c r="R15" s="40">
        <f>VLOOKUP(A15,'Claims Data'!$A$3:$V$31,17,FALSE)</f>
        <v>1370</v>
      </c>
      <c r="S15" s="48">
        <f>VLOOKUP(A15,'Claims Data'!$A$3:$W$31,15,FALSE)</f>
        <v>0</v>
      </c>
      <c r="T15" s="48">
        <f>VLOOKUP(A15,'Claims Data'!$A$3:$V$31,18,FALSE)</f>
        <v>0</v>
      </c>
      <c r="U15" s="43">
        <f t="shared" si="5"/>
        <v>0</v>
      </c>
    </row>
    <row r="16" spans="1:21" ht="15" x14ac:dyDescent="0.25">
      <c r="A16" s="1" t="s">
        <v>38</v>
      </c>
      <c r="B16" s="2" t="s">
        <v>12</v>
      </c>
      <c r="C16" s="2" t="s">
        <v>39</v>
      </c>
      <c r="D16" s="39">
        <f>VLOOKUP(A16,'Claims Data'!$A$3:$V$31,6,FALSE)</f>
        <v>975</v>
      </c>
      <c r="E16" s="47">
        <f>VLOOKUP(A16,'Claims Data'!$A$3:$X$31,4,FALSE)</f>
        <v>9</v>
      </c>
      <c r="F16" s="47">
        <f>VLOOKUP(A16,'Claims Data'!$A$3:$V$31,7,FALSE)</f>
        <v>54</v>
      </c>
      <c r="G16" s="42">
        <f t="shared" si="0"/>
        <v>52650</v>
      </c>
      <c r="H16" s="93"/>
      <c r="I16" s="39">
        <f>VLOOKUP(A16,'Claims Data'!$A$3:$V$31,11,FALSE)</f>
        <v>975</v>
      </c>
      <c r="J16" s="47">
        <f>VLOOKUP(A16,'Claims Data'!$A$3:$W$31,9,FALSE)</f>
        <v>0</v>
      </c>
      <c r="K16" s="47">
        <f>VLOOKUP(A16,'Claims Data'!$A$3:$V$31,12,FALSE)</f>
        <v>0</v>
      </c>
      <c r="L16" s="34">
        <f t="shared" si="1"/>
        <v>0</v>
      </c>
      <c r="M16" s="118">
        <f t="shared" si="2"/>
        <v>828.75</v>
      </c>
      <c r="N16" s="47">
        <f>VLOOKUP(A16,'Claims Data'!$A$3:$V$31,13,FALSE)</f>
        <v>0</v>
      </c>
      <c r="O16" s="34">
        <f t="shared" si="3"/>
        <v>0</v>
      </c>
      <c r="P16" s="42">
        <f t="shared" si="4"/>
        <v>0</v>
      </c>
      <c r="Q16" s="93"/>
      <c r="R16" s="39">
        <f>VLOOKUP(A16,'Claims Data'!$A$3:$V$31,17,FALSE)</f>
        <v>1370</v>
      </c>
      <c r="S16" s="47">
        <f>VLOOKUP(A16,'Claims Data'!$A$3:$W$31,15,FALSE)</f>
        <v>0</v>
      </c>
      <c r="T16" s="47">
        <f>VLOOKUP(A16,'Claims Data'!$A$3:$V$31,18,FALSE)</f>
        <v>0</v>
      </c>
      <c r="U16" s="42">
        <f t="shared" si="5"/>
        <v>0</v>
      </c>
    </row>
    <row r="17" spans="1:21" ht="15" x14ac:dyDescent="0.25">
      <c r="A17" s="1" t="s">
        <v>40</v>
      </c>
      <c r="B17" s="2" t="s">
        <v>137</v>
      </c>
      <c r="C17" s="2" t="s">
        <v>42</v>
      </c>
      <c r="D17" s="39">
        <f>VLOOKUP(A17,'Claims Data'!$A$3:$V$31,6,FALSE)</f>
        <v>975</v>
      </c>
      <c r="E17" s="47">
        <f>VLOOKUP(A17,'Claims Data'!$A$3:$X$31,4,FALSE)</f>
        <v>8</v>
      </c>
      <c r="F17" s="47">
        <f>VLOOKUP(A17,'Claims Data'!$A$3:$V$31,7,FALSE)</f>
        <v>47</v>
      </c>
      <c r="G17" s="42">
        <f t="shared" si="0"/>
        <v>45825</v>
      </c>
      <c r="H17" s="93"/>
      <c r="I17" s="39">
        <f>VLOOKUP(A17,'Claims Data'!$A$3:$V$31,11,FALSE)</f>
        <v>975</v>
      </c>
      <c r="J17" s="47">
        <f>VLOOKUP(A17,'Claims Data'!$A$3:$W$31,9,FALSE)</f>
        <v>0</v>
      </c>
      <c r="K17" s="47">
        <f>VLOOKUP(A17,'Claims Data'!$A$3:$V$31,12,FALSE)</f>
        <v>0</v>
      </c>
      <c r="L17" s="34">
        <f t="shared" si="1"/>
        <v>0</v>
      </c>
      <c r="M17" s="118">
        <f t="shared" si="2"/>
        <v>828.75</v>
      </c>
      <c r="N17" s="47">
        <f>VLOOKUP(A17,'Claims Data'!$A$3:$V$31,13,FALSE)</f>
        <v>0</v>
      </c>
      <c r="O17" s="34">
        <f t="shared" si="3"/>
        <v>0</v>
      </c>
      <c r="P17" s="42">
        <f t="shared" si="4"/>
        <v>0</v>
      </c>
      <c r="Q17" s="93"/>
      <c r="R17" s="39">
        <f>VLOOKUP(A17,'Claims Data'!$A$3:$V$31,17,FALSE)</f>
        <v>1370</v>
      </c>
      <c r="S17" s="47">
        <f>VLOOKUP(A17,'Claims Data'!$A$3:$W$31,15,FALSE)</f>
        <v>0</v>
      </c>
      <c r="T17" s="47">
        <f>VLOOKUP(A17,'Claims Data'!$A$3:$V$31,18,FALSE)</f>
        <v>0</v>
      </c>
      <c r="U17" s="42">
        <f t="shared" si="5"/>
        <v>0</v>
      </c>
    </row>
    <row r="18" spans="1:21" ht="15" x14ac:dyDescent="0.25">
      <c r="A18" s="1" t="s">
        <v>43</v>
      </c>
      <c r="B18" s="2" t="s">
        <v>44</v>
      </c>
      <c r="C18" s="2" t="s">
        <v>45</v>
      </c>
      <c r="D18" s="39">
        <f>VLOOKUP(A18,'Claims Data'!$A$3:$V$31,6,FALSE)</f>
        <v>975</v>
      </c>
      <c r="E18" s="47">
        <f>VLOOKUP(A18,'Claims Data'!$A$3:$X$31,4,FALSE)</f>
        <v>302</v>
      </c>
      <c r="F18" s="47">
        <f>VLOOKUP(A18,'Claims Data'!$A$3:$V$31,7,FALSE)</f>
        <v>1734</v>
      </c>
      <c r="G18" s="42">
        <f t="shared" si="0"/>
        <v>1690650</v>
      </c>
      <c r="H18" s="93"/>
      <c r="I18" s="39">
        <f>VLOOKUP(A18,'Claims Data'!$A$3:$V$31,11,FALSE)</f>
        <v>975</v>
      </c>
      <c r="J18" s="47">
        <f>VLOOKUP(A18,'Claims Data'!$A$3:$W$31,9,FALSE)</f>
        <v>4</v>
      </c>
      <c r="K18" s="47">
        <f>VLOOKUP(A18,'Claims Data'!$A$3:$V$31,12,FALSE)</f>
        <v>32</v>
      </c>
      <c r="L18" s="34">
        <f t="shared" si="1"/>
        <v>31200</v>
      </c>
      <c r="M18" s="118">
        <f t="shared" si="2"/>
        <v>828.75</v>
      </c>
      <c r="N18" s="47">
        <f>VLOOKUP(A18,'Claims Data'!$A$3:$V$31,13,FALSE)</f>
        <v>0</v>
      </c>
      <c r="O18" s="34">
        <f t="shared" si="3"/>
        <v>0</v>
      </c>
      <c r="P18" s="42">
        <f t="shared" si="4"/>
        <v>31200</v>
      </c>
      <c r="Q18" s="93"/>
      <c r="R18" s="39">
        <f>VLOOKUP(A18,'Claims Data'!$A$3:$V$31,17,FALSE)</f>
        <v>1370</v>
      </c>
      <c r="S18" s="47">
        <f>VLOOKUP(A18,'Claims Data'!$A$3:$W$31,15,FALSE)</f>
        <v>0</v>
      </c>
      <c r="T18" s="47">
        <f>VLOOKUP(A18,'Claims Data'!$A$3:$V$31,18,FALSE)</f>
        <v>0</v>
      </c>
      <c r="U18" s="42">
        <f t="shared" si="5"/>
        <v>0</v>
      </c>
    </row>
    <row r="19" spans="1:21" ht="15" x14ac:dyDescent="0.25">
      <c r="A19" s="1" t="s">
        <v>46</v>
      </c>
      <c r="B19" s="2" t="s">
        <v>47</v>
      </c>
      <c r="C19" s="2" t="s">
        <v>48</v>
      </c>
      <c r="D19" s="39">
        <f>VLOOKUP(A19,'Claims Data'!$A$3:$V$31,6,FALSE)</f>
        <v>975</v>
      </c>
      <c r="E19" s="47">
        <f>VLOOKUP(A19,'Claims Data'!$A$3:$X$31,4,FALSE)</f>
        <v>142</v>
      </c>
      <c r="F19" s="47">
        <f>VLOOKUP(A19,'Claims Data'!$A$3:$V$31,7,FALSE)</f>
        <v>1144</v>
      </c>
      <c r="G19" s="42">
        <f t="shared" si="0"/>
        <v>1115400</v>
      </c>
      <c r="H19" s="93"/>
      <c r="I19" s="39">
        <f>VLOOKUP(A19,'Claims Data'!$A$3:$V$31,11,FALSE)</f>
        <v>975</v>
      </c>
      <c r="J19" s="47">
        <f>VLOOKUP(A19,'Claims Data'!$A$3:$W$31,9,FALSE)</f>
        <v>1</v>
      </c>
      <c r="K19" s="47">
        <f>VLOOKUP(A19,'Claims Data'!$A$3:$V$31,12,FALSE)</f>
        <v>4</v>
      </c>
      <c r="L19" s="34">
        <f t="shared" si="1"/>
        <v>3900</v>
      </c>
      <c r="M19" s="118">
        <f t="shared" si="2"/>
        <v>828.75</v>
      </c>
      <c r="N19" s="47">
        <f>VLOOKUP(A19,'Claims Data'!$A$3:$V$31,13,FALSE)</f>
        <v>0</v>
      </c>
      <c r="O19" s="34">
        <f t="shared" si="3"/>
        <v>0</v>
      </c>
      <c r="P19" s="42">
        <f t="shared" si="4"/>
        <v>3900</v>
      </c>
      <c r="Q19" s="93"/>
      <c r="R19" s="39">
        <f>VLOOKUP(A19,'Claims Data'!$A$3:$V$31,17,FALSE)</f>
        <v>1370</v>
      </c>
      <c r="S19" s="47">
        <f>VLOOKUP(A19,'Claims Data'!$A$3:$W$31,15,FALSE)</f>
        <v>0</v>
      </c>
      <c r="T19" s="47">
        <f>VLOOKUP(A19,'Claims Data'!$A$3:$V$31,18,FALSE)</f>
        <v>0</v>
      </c>
      <c r="U19" s="42">
        <f t="shared" si="5"/>
        <v>0</v>
      </c>
    </row>
    <row r="20" spans="1:21" ht="15" x14ac:dyDescent="0.25">
      <c r="A20" s="3" t="s">
        <v>49</v>
      </c>
      <c r="B20" s="4" t="s">
        <v>50</v>
      </c>
      <c r="C20" s="4" t="s">
        <v>51</v>
      </c>
      <c r="D20" s="40">
        <f>VLOOKUP(A20,'Claims Data'!$A$3:$V$31,6,FALSE)</f>
        <v>975</v>
      </c>
      <c r="E20" s="48">
        <f>VLOOKUP(A20,'Claims Data'!$A$3:$X$31,4,FALSE)</f>
        <v>39</v>
      </c>
      <c r="F20" s="48">
        <f>VLOOKUP(A20,'Claims Data'!$A$3:$V$31,7,FALSE)</f>
        <v>176</v>
      </c>
      <c r="G20" s="43">
        <f t="shared" si="0"/>
        <v>171600</v>
      </c>
      <c r="H20" s="93"/>
      <c r="I20" s="40">
        <f>VLOOKUP(A20,'Claims Data'!$A$3:$V$31,11,FALSE)</f>
        <v>975</v>
      </c>
      <c r="J20" s="48">
        <f>VLOOKUP(A20,'Claims Data'!$A$3:$W$31,9,FALSE)</f>
        <v>0</v>
      </c>
      <c r="K20" s="48">
        <f>VLOOKUP(A20,'Claims Data'!$A$3:$V$31,12,FALSE)</f>
        <v>0</v>
      </c>
      <c r="L20" s="35">
        <f t="shared" si="1"/>
        <v>0</v>
      </c>
      <c r="M20" s="119">
        <f t="shared" si="2"/>
        <v>828.75</v>
      </c>
      <c r="N20" s="48">
        <f>VLOOKUP(A20,'Claims Data'!$A$3:$V$31,13,FALSE)</f>
        <v>0</v>
      </c>
      <c r="O20" s="35">
        <f t="shared" si="3"/>
        <v>0</v>
      </c>
      <c r="P20" s="43">
        <f t="shared" si="4"/>
        <v>0</v>
      </c>
      <c r="Q20" s="93"/>
      <c r="R20" s="40">
        <f>VLOOKUP(A20,'Claims Data'!$A$3:$V$31,17,FALSE)</f>
        <v>1370</v>
      </c>
      <c r="S20" s="48">
        <f>VLOOKUP(A20,'Claims Data'!$A$3:$W$31,15,FALSE)</f>
        <v>0</v>
      </c>
      <c r="T20" s="48">
        <f>VLOOKUP(A20,'Claims Data'!$A$3:$V$31,18,FALSE)</f>
        <v>0</v>
      </c>
      <c r="U20" s="43">
        <f t="shared" si="5"/>
        <v>0</v>
      </c>
    </row>
    <row r="21" spans="1:21" ht="15" x14ac:dyDescent="0.25">
      <c r="A21" s="1" t="s">
        <v>52</v>
      </c>
      <c r="B21" s="2" t="s">
        <v>53</v>
      </c>
      <c r="C21" s="2" t="s">
        <v>54</v>
      </c>
      <c r="D21" s="39">
        <f>VLOOKUP(A21,'Claims Data'!$A$3:$V$31,6,FALSE)</f>
        <v>975</v>
      </c>
      <c r="E21" s="47">
        <f>VLOOKUP(A21,'Claims Data'!$A$3:$X$31,4,FALSE)</f>
        <v>6</v>
      </c>
      <c r="F21" s="47">
        <f>VLOOKUP(A21,'Claims Data'!$A$3:$V$31,7,FALSE)</f>
        <v>50</v>
      </c>
      <c r="G21" s="42">
        <f t="shared" si="0"/>
        <v>48750</v>
      </c>
      <c r="H21" s="93"/>
      <c r="I21" s="39">
        <f>VLOOKUP(A21,'Claims Data'!$A$3:$V$31,11,FALSE)</f>
        <v>975</v>
      </c>
      <c r="J21" s="47">
        <f>VLOOKUP(A21,'Claims Data'!$A$3:$W$31,9,FALSE)</f>
        <v>0</v>
      </c>
      <c r="K21" s="47">
        <f>VLOOKUP(A21,'Claims Data'!$A$3:$V$31,12,FALSE)</f>
        <v>0</v>
      </c>
      <c r="L21" s="34">
        <f t="shared" si="1"/>
        <v>0</v>
      </c>
      <c r="M21" s="118">
        <f t="shared" si="2"/>
        <v>828.75</v>
      </c>
      <c r="N21" s="47">
        <f>VLOOKUP(A21,'Claims Data'!$A$3:$V$31,13,FALSE)</f>
        <v>0</v>
      </c>
      <c r="O21" s="34">
        <f t="shared" si="3"/>
        <v>0</v>
      </c>
      <c r="P21" s="42">
        <f t="shared" si="4"/>
        <v>0</v>
      </c>
      <c r="Q21" s="93"/>
      <c r="R21" s="39">
        <f>VLOOKUP(A21,'Claims Data'!$A$3:$V$31,17,FALSE)</f>
        <v>1370</v>
      </c>
      <c r="S21" s="47">
        <f>VLOOKUP(A21,'Claims Data'!$A$3:$W$31,15,FALSE)</f>
        <v>0</v>
      </c>
      <c r="T21" s="47">
        <f>VLOOKUP(A21,'Claims Data'!$A$3:$V$31,18,FALSE)</f>
        <v>0</v>
      </c>
      <c r="U21" s="42">
        <f t="shared" si="5"/>
        <v>0</v>
      </c>
    </row>
    <row r="22" spans="1:21" ht="15" x14ac:dyDescent="0.25">
      <c r="A22" s="1" t="s">
        <v>55</v>
      </c>
      <c r="B22" s="2" t="s">
        <v>56</v>
      </c>
      <c r="C22" s="2" t="s">
        <v>57</v>
      </c>
      <c r="D22" s="39">
        <f>VLOOKUP(A22,'Claims Data'!$A$3:$V$31,6,FALSE)</f>
        <v>1125</v>
      </c>
      <c r="E22" s="47">
        <f>VLOOKUP(A22,'Claims Data'!$A$3:$X$31,4,FALSE)</f>
        <v>297</v>
      </c>
      <c r="F22" s="47">
        <f>VLOOKUP(A22,'Claims Data'!$A$3:$V$31,7,FALSE)</f>
        <v>1919</v>
      </c>
      <c r="G22" s="42">
        <f t="shared" si="0"/>
        <v>2158875</v>
      </c>
      <c r="H22" s="93"/>
      <c r="I22" s="39">
        <f>VLOOKUP(A22,'Claims Data'!$A$3:$V$31,11,FALSE)</f>
        <v>1125</v>
      </c>
      <c r="J22" s="47">
        <f>VLOOKUP(A22,'Claims Data'!$A$3:$W$31,9,FALSE)</f>
        <v>2</v>
      </c>
      <c r="K22" s="47">
        <f>VLOOKUP(A22,'Claims Data'!$A$3:$V$31,12,FALSE)</f>
        <v>11</v>
      </c>
      <c r="L22" s="34">
        <f t="shared" si="1"/>
        <v>12375</v>
      </c>
      <c r="M22" s="118">
        <f t="shared" si="2"/>
        <v>956.25</v>
      </c>
      <c r="N22" s="47">
        <f>VLOOKUP(A22,'Claims Data'!$A$3:$V$31,13,FALSE)</f>
        <v>0</v>
      </c>
      <c r="O22" s="34">
        <f t="shared" si="3"/>
        <v>0</v>
      </c>
      <c r="P22" s="42">
        <f t="shared" si="4"/>
        <v>12375</v>
      </c>
      <c r="Q22" s="93"/>
      <c r="R22" s="39">
        <f>VLOOKUP(A22,'Claims Data'!$A$3:$V$31,17,FALSE)</f>
        <v>1370</v>
      </c>
      <c r="S22" s="47">
        <f>VLOOKUP(A22,'Claims Data'!$A$3:$W$31,15,FALSE)</f>
        <v>0</v>
      </c>
      <c r="T22" s="47">
        <f>VLOOKUP(A22,'Claims Data'!$A$3:$V$31,18,FALSE)</f>
        <v>0</v>
      </c>
      <c r="U22" s="42">
        <f t="shared" si="5"/>
        <v>0</v>
      </c>
    </row>
    <row r="23" spans="1:21" ht="15" x14ac:dyDescent="0.25">
      <c r="A23" s="1" t="s">
        <v>58</v>
      </c>
      <c r="B23" s="2" t="s">
        <v>59</v>
      </c>
      <c r="C23" s="2" t="s">
        <v>60</v>
      </c>
      <c r="D23" s="39">
        <f>VLOOKUP(A23,'Claims Data'!$A$3:$V$31,6,FALSE)</f>
        <v>975</v>
      </c>
      <c r="E23" s="47">
        <f>VLOOKUP(A23,'Claims Data'!$A$3:$X$31,4,FALSE)</f>
        <v>4</v>
      </c>
      <c r="F23" s="47">
        <f>VLOOKUP(A23,'Claims Data'!$A$3:$V$31,7,FALSE)</f>
        <v>19</v>
      </c>
      <c r="G23" s="42">
        <f t="shared" si="0"/>
        <v>18525</v>
      </c>
      <c r="H23" s="93"/>
      <c r="I23" s="39">
        <f>VLOOKUP(A23,'Claims Data'!$A$3:$V$31,11,FALSE)</f>
        <v>975</v>
      </c>
      <c r="J23" s="47">
        <f>VLOOKUP(A23,'Claims Data'!$A$3:$W$31,9,FALSE)</f>
        <v>0</v>
      </c>
      <c r="K23" s="47">
        <f>VLOOKUP(A23,'Claims Data'!$A$3:$V$31,12,FALSE)</f>
        <v>0</v>
      </c>
      <c r="L23" s="34">
        <f t="shared" si="1"/>
        <v>0</v>
      </c>
      <c r="M23" s="118">
        <f t="shared" si="2"/>
        <v>828.75</v>
      </c>
      <c r="N23" s="47">
        <f>VLOOKUP(A23,'Claims Data'!$A$3:$V$31,13,FALSE)</f>
        <v>0</v>
      </c>
      <c r="O23" s="34">
        <f t="shared" si="3"/>
        <v>0</v>
      </c>
      <c r="P23" s="42">
        <f t="shared" si="4"/>
        <v>0</v>
      </c>
      <c r="Q23" s="93"/>
      <c r="R23" s="39">
        <f>VLOOKUP(A23,'Claims Data'!$A$3:$V$31,17,FALSE)</f>
        <v>1370</v>
      </c>
      <c r="S23" s="47">
        <f>VLOOKUP(A23,'Claims Data'!$A$3:$W$31,15,FALSE)</f>
        <v>0</v>
      </c>
      <c r="T23" s="47">
        <f>VLOOKUP(A23,'Claims Data'!$A$3:$V$31,18,FALSE)</f>
        <v>0</v>
      </c>
      <c r="U23" s="42">
        <f t="shared" si="5"/>
        <v>0</v>
      </c>
    </row>
    <row r="24" spans="1:21" x14ac:dyDescent="0.3">
      <c r="A24" s="1" t="s">
        <v>61</v>
      </c>
      <c r="B24" s="2" t="s">
        <v>10</v>
      </c>
      <c r="C24" s="2" t="s">
        <v>62</v>
      </c>
      <c r="D24" s="39">
        <f>VLOOKUP(A24,'Claims Data'!$A$3:$V$31,6,FALSE)</f>
        <v>1050</v>
      </c>
      <c r="E24" s="47">
        <f>VLOOKUP(A24,'Claims Data'!$A$3:$X$31,4,FALSE)</f>
        <v>1460</v>
      </c>
      <c r="F24" s="47">
        <f>VLOOKUP(A24,'Claims Data'!$A$3:$V$31,7,FALSE)</f>
        <v>11621</v>
      </c>
      <c r="G24" s="42">
        <f t="shared" si="0"/>
        <v>12202050</v>
      </c>
      <c r="H24" s="93"/>
      <c r="I24" s="39">
        <f>VLOOKUP(A24,'Claims Data'!$A$3:$V$31,11,FALSE)</f>
        <v>1050</v>
      </c>
      <c r="J24" s="47">
        <f>VLOOKUP(A24,'Claims Data'!$A$3:$W$31,9,FALSE)</f>
        <v>626</v>
      </c>
      <c r="K24" s="47">
        <f>VLOOKUP(A24,'Claims Data'!$A$3:$V$31,12,FALSE)</f>
        <v>5910</v>
      </c>
      <c r="L24" s="34">
        <f t="shared" si="1"/>
        <v>6205500</v>
      </c>
      <c r="M24" s="118">
        <f t="shared" si="2"/>
        <v>892.5</v>
      </c>
      <c r="N24" s="47">
        <f>VLOOKUP(A24,'Claims Data'!$A$3:$V$31,13,FALSE)</f>
        <v>258</v>
      </c>
      <c r="O24" s="34">
        <f t="shared" si="3"/>
        <v>230265</v>
      </c>
      <c r="P24" s="42">
        <f t="shared" si="4"/>
        <v>6435765</v>
      </c>
      <c r="Q24" s="93"/>
      <c r="R24" s="39">
        <f>VLOOKUP(A24,'Claims Data'!$A$3:$V$31,17,FALSE)</f>
        <v>1370</v>
      </c>
      <c r="S24" s="47">
        <f>VLOOKUP(A24,'Claims Data'!$A$3:$W$31,15,FALSE)</f>
        <v>1</v>
      </c>
      <c r="T24" s="47">
        <f>VLOOKUP(A24,'Claims Data'!$A$3:$V$31,18,FALSE)</f>
        <v>6</v>
      </c>
      <c r="U24" s="42">
        <f t="shared" si="5"/>
        <v>8220</v>
      </c>
    </row>
    <row r="25" spans="1:21" x14ac:dyDescent="0.3">
      <c r="A25" s="3" t="s">
        <v>63</v>
      </c>
      <c r="B25" s="4" t="s">
        <v>64</v>
      </c>
      <c r="C25" s="4" t="s">
        <v>65</v>
      </c>
      <c r="D25" s="40">
        <f>VLOOKUP(A25,'Claims Data'!$A$3:$V$31,6,FALSE)</f>
        <v>975</v>
      </c>
      <c r="E25" s="48">
        <f>VLOOKUP(A25,'Claims Data'!$A$3:$X$31,4,FALSE)</f>
        <v>193</v>
      </c>
      <c r="F25" s="48">
        <f>VLOOKUP(A25,'Claims Data'!$A$3:$V$31,7,FALSE)</f>
        <v>1437</v>
      </c>
      <c r="G25" s="43">
        <f t="shared" si="0"/>
        <v>1401075</v>
      </c>
      <c r="H25" s="93"/>
      <c r="I25" s="40">
        <f>VLOOKUP(A25,'Claims Data'!$A$3:$V$31,11,FALSE)</f>
        <v>975</v>
      </c>
      <c r="J25" s="48">
        <f>VLOOKUP(A25,'Claims Data'!$A$3:$W$31,9,FALSE)</f>
        <v>4</v>
      </c>
      <c r="K25" s="48">
        <f>VLOOKUP(A25,'Claims Data'!$A$3:$V$31,12,FALSE)</f>
        <v>23</v>
      </c>
      <c r="L25" s="35">
        <f t="shared" si="1"/>
        <v>22425</v>
      </c>
      <c r="M25" s="119">
        <f t="shared" si="2"/>
        <v>828.75</v>
      </c>
      <c r="N25" s="48">
        <f>VLOOKUP(A25,'Claims Data'!$A$3:$V$31,13,FALSE)</f>
        <v>0</v>
      </c>
      <c r="O25" s="35">
        <f t="shared" si="3"/>
        <v>0</v>
      </c>
      <c r="P25" s="43">
        <f t="shared" si="4"/>
        <v>22425</v>
      </c>
      <c r="Q25" s="93"/>
      <c r="R25" s="40">
        <f>VLOOKUP(A25,'Claims Data'!$A$3:$V$31,17,FALSE)</f>
        <v>1370</v>
      </c>
      <c r="S25" s="48">
        <f>VLOOKUP(A25,'Claims Data'!$A$3:$W$31,15,FALSE)</f>
        <v>0</v>
      </c>
      <c r="T25" s="48">
        <f>VLOOKUP(A25,'Claims Data'!$A$3:$V$31,18,FALSE)</f>
        <v>0</v>
      </c>
      <c r="U25" s="43">
        <f t="shared" si="5"/>
        <v>0</v>
      </c>
    </row>
    <row r="26" spans="1:21" x14ac:dyDescent="0.3">
      <c r="A26" s="1" t="s">
        <v>66</v>
      </c>
      <c r="B26" s="2" t="s">
        <v>67</v>
      </c>
      <c r="C26" s="2" t="s">
        <v>68</v>
      </c>
      <c r="D26" s="39">
        <f>VLOOKUP(A26,'Claims Data'!$A$3:$V$31,6,FALSE)</f>
        <v>1050</v>
      </c>
      <c r="E26" s="47">
        <f>VLOOKUP(A26,'Claims Data'!$A$3:$X$31,4,FALSE)</f>
        <v>984</v>
      </c>
      <c r="F26" s="47">
        <f>VLOOKUP(A26,'Claims Data'!$A$3:$V$31,7,FALSE)</f>
        <v>8642</v>
      </c>
      <c r="G26" s="42">
        <f t="shared" si="0"/>
        <v>9074100</v>
      </c>
      <c r="H26" s="93"/>
      <c r="I26" s="39">
        <f>VLOOKUP(A26,'Claims Data'!$A$3:$V$31,11,FALSE)</f>
        <v>1050</v>
      </c>
      <c r="J26" s="47">
        <f>VLOOKUP(A26,'Claims Data'!$A$3:$W$31,9,FALSE)</f>
        <v>523</v>
      </c>
      <c r="K26" s="47">
        <f>VLOOKUP(A26,'Claims Data'!$A$3:$V$31,12,FALSE)</f>
        <v>2981</v>
      </c>
      <c r="L26" s="34">
        <f t="shared" si="1"/>
        <v>3130050</v>
      </c>
      <c r="M26" s="118">
        <f t="shared" si="2"/>
        <v>892.5</v>
      </c>
      <c r="N26" s="47">
        <f>VLOOKUP(A26,'Claims Data'!$A$3:$V$31,13,FALSE)</f>
        <v>110</v>
      </c>
      <c r="O26" s="34">
        <f t="shared" si="3"/>
        <v>98175</v>
      </c>
      <c r="P26" s="42">
        <f t="shared" si="4"/>
        <v>3228225</v>
      </c>
      <c r="Q26" s="93"/>
      <c r="R26" s="39">
        <f>VLOOKUP(A26,'Claims Data'!$A$3:$V$31,17,FALSE)</f>
        <v>1370</v>
      </c>
      <c r="S26" s="47">
        <f>VLOOKUP(A26,'Claims Data'!$A$3:$W$31,15,FALSE)</f>
        <v>0</v>
      </c>
      <c r="T26" s="47">
        <f>VLOOKUP(A26,'Claims Data'!$A$3:$V$31,18,FALSE)</f>
        <v>0</v>
      </c>
      <c r="U26" s="42">
        <f t="shared" si="5"/>
        <v>0</v>
      </c>
    </row>
    <row r="27" spans="1:21" x14ac:dyDescent="0.3">
      <c r="A27" s="1" t="s">
        <v>69</v>
      </c>
      <c r="B27" s="2" t="s">
        <v>70</v>
      </c>
      <c r="C27" s="2" t="s">
        <v>71</v>
      </c>
      <c r="D27" s="39">
        <f>VLOOKUP(A27,'Claims Data'!$A$3:$V$31,6,FALSE)</f>
        <v>975</v>
      </c>
      <c r="E27" s="47">
        <f>VLOOKUP(A27,'Claims Data'!$A$3:$X$31,4,FALSE)</f>
        <v>382</v>
      </c>
      <c r="F27" s="47">
        <f>VLOOKUP(A27,'Claims Data'!$A$3:$V$31,7,FALSE)</f>
        <v>2523</v>
      </c>
      <c r="G27" s="42">
        <f t="shared" si="0"/>
        <v>2459925</v>
      </c>
      <c r="H27" s="93"/>
      <c r="I27" s="39">
        <f>VLOOKUP(A27,'Claims Data'!$A$3:$V$31,11,FALSE)</f>
        <v>975</v>
      </c>
      <c r="J27" s="47">
        <f>VLOOKUP(A27,'Claims Data'!$A$3:$W$31,9,FALSE)</f>
        <v>86</v>
      </c>
      <c r="K27" s="47">
        <f>VLOOKUP(A27,'Claims Data'!$A$3:$V$31,12,FALSE)</f>
        <v>576</v>
      </c>
      <c r="L27" s="34">
        <f t="shared" si="1"/>
        <v>561600</v>
      </c>
      <c r="M27" s="118">
        <f t="shared" si="2"/>
        <v>828.75</v>
      </c>
      <c r="N27" s="47">
        <f>VLOOKUP(A27,'Claims Data'!$A$3:$V$31,13,FALSE)</f>
        <v>0</v>
      </c>
      <c r="O27" s="34">
        <f t="shared" si="3"/>
        <v>0</v>
      </c>
      <c r="P27" s="42">
        <f t="shared" si="4"/>
        <v>561600</v>
      </c>
      <c r="Q27" s="93"/>
      <c r="R27" s="39">
        <f>VLOOKUP(A27,'Claims Data'!$A$3:$V$31,17,FALSE)</f>
        <v>1370</v>
      </c>
      <c r="S27" s="47">
        <f>VLOOKUP(A27,'Claims Data'!$A$3:$W$31,15,FALSE)</f>
        <v>0</v>
      </c>
      <c r="T27" s="47">
        <f>VLOOKUP(A27,'Claims Data'!$A$3:$V$31,18,FALSE)</f>
        <v>0</v>
      </c>
      <c r="U27" s="42">
        <f t="shared" si="5"/>
        <v>0</v>
      </c>
    </row>
    <row r="28" spans="1:21" x14ac:dyDescent="0.3">
      <c r="A28" s="1" t="s">
        <v>72</v>
      </c>
      <c r="B28" s="2" t="s">
        <v>73</v>
      </c>
      <c r="C28" s="2" t="s">
        <v>74</v>
      </c>
      <c r="D28" s="39">
        <f>VLOOKUP(A28,'Claims Data'!$A$3:$V$31,6,FALSE)</f>
        <v>975</v>
      </c>
      <c r="E28" s="47">
        <f>VLOOKUP(A28,'Claims Data'!$A$3:$X$31,4,FALSE)</f>
        <v>795</v>
      </c>
      <c r="F28" s="47">
        <f>VLOOKUP(A28,'Claims Data'!$A$3:$V$31,7,FALSE)</f>
        <v>6494</v>
      </c>
      <c r="G28" s="42">
        <f t="shared" si="0"/>
        <v>6331650</v>
      </c>
      <c r="H28" s="93"/>
      <c r="I28" s="39">
        <f>VLOOKUP(A28,'Claims Data'!$A$3:$V$31,11,FALSE)</f>
        <v>975</v>
      </c>
      <c r="J28" s="47">
        <f>VLOOKUP(A28,'Claims Data'!$A$3:$W$31,9,FALSE)</f>
        <v>200</v>
      </c>
      <c r="K28" s="47">
        <f>VLOOKUP(A28,'Claims Data'!$A$3:$V$31,12,FALSE)</f>
        <v>2510</v>
      </c>
      <c r="L28" s="34">
        <f t="shared" si="1"/>
        <v>2447250</v>
      </c>
      <c r="M28" s="118">
        <f t="shared" si="2"/>
        <v>828.75</v>
      </c>
      <c r="N28" s="47">
        <f>VLOOKUP(A28,'Claims Data'!$A$3:$V$31,13,FALSE)</f>
        <v>157</v>
      </c>
      <c r="O28" s="34">
        <f t="shared" si="3"/>
        <v>130113.75</v>
      </c>
      <c r="P28" s="42">
        <f t="shared" si="4"/>
        <v>2577363.75</v>
      </c>
      <c r="Q28" s="93"/>
      <c r="R28" s="39">
        <f>VLOOKUP(A28,'Claims Data'!$A$3:$V$31,17,FALSE)</f>
        <v>1370</v>
      </c>
      <c r="S28" s="47">
        <f>VLOOKUP(A28,'Claims Data'!$A$3:$W$31,15,FALSE)</f>
        <v>14</v>
      </c>
      <c r="T28" s="47">
        <f>VLOOKUP(A28,'Claims Data'!$A$3:$V$31,18,FALSE)</f>
        <v>304</v>
      </c>
      <c r="U28" s="42">
        <f t="shared" si="5"/>
        <v>416480</v>
      </c>
    </row>
    <row r="29" spans="1:21" x14ac:dyDescent="0.3">
      <c r="A29" s="1" t="s">
        <v>75</v>
      </c>
      <c r="B29" s="2" t="s">
        <v>76</v>
      </c>
      <c r="C29" s="2" t="s">
        <v>77</v>
      </c>
      <c r="D29" s="39">
        <f>VLOOKUP(A29,'Claims Data'!$A$3:$V$31,6,FALSE)</f>
        <v>975</v>
      </c>
      <c r="E29" s="47">
        <f>VLOOKUP(A29,'Claims Data'!$A$3:$X$31,4,FALSE)</f>
        <v>352</v>
      </c>
      <c r="F29" s="47">
        <f>VLOOKUP(A29,'Claims Data'!$A$3:$V$31,7,FALSE)</f>
        <v>1578</v>
      </c>
      <c r="G29" s="42">
        <f t="shared" si="0"/>
        <v>1538550</v>
      </c>
      <c r="H29" s="93"/>
      <c r="I29" s="39">
        <f>VLOOKUP(A29,'Claims Data'!$A$3:$V$31,11,FALSE)</f>
        <v>975</v>
      </c>
      <c r="J29" s="47">
        <f>VLOOKUP(A29,'Claims Data'!$A$3:$W$31,9,FALSE)</f>
        <v>6</v>
      </c>
      <c r="K29" s="47">
        <f>VLOOKUP(A29,'Claims Data'!$A$3:$V$31,12,FALSE)</f>
        <v>22</v>
      </c>
      <c r="L29" s="34">
        <f t="shared" si="1"/>
        <v>21450</v>
      </c>
      <c r="M29" s="118">
        <f t="shared" si="2"/>
        <v>828.75</v>
      </c>
      <c r="N29" s="47">
        <f>VLOOKUP(A29,'Claims Data'!$A$3:$V$31,13,FALSE)</f>
        <v>0</v>
      </c>
      <c r="O29" s="34">
        <f t="shared" si="3"/>
        <v>0</v>
      </c>
      <c r="P29" s="42">
        <f t="shared" si="4"/>
        <v>21450</v>
      </c>
      <c r="Q29" s="93"/>
      <c r="R29" s="39">
        <f>VLOOKUP(A29,'Claims Data'!$A$3:$V$31,17,FALSE)</f>
        <v>1370</v>
      </c>
      <c r="S29" s="47">
        <f>VLOOKUP(A29,'Claims Data'!$A$3:$W$31,15,FALSE)</f>
        <v>0</v>
      </c>
      <c r="T29" s="47">
        <f>VLOOKUP(A29,'Claims Data'!$A$3:$V$31,18,FALSE)</f>
        <v>0</v>
      </c>
      <c r="U29" s="42">
        <f t="shared" si="5"/>
        <v>0</v>
      </c>
    </row>
    <row r="30" spans="1:21" x14ac:dyDescent="0.3">
      <c r="A30" s="3" t="s">
        <v>78</v>
      </c>
      <c r="B30" s="4" t="s">
        <v>79</v>
      </c>
      <c r="C30" s="4" t="s">
        <v>80</v>
      </c>
      <c r="D30" s="40">
        <f>VLOOKUP(A30,'Claims Data'!$A$3:$V$31,6,FALSE)</f>
        <v>975</v>
      </c>
      <c r="E30" s="48">
        <f>VLOOKUP(A30,'Claims Data'!$A$3:$X$31,4,FALSE)</f>
        <v>148</v>
      </c>
      <c r="F30" s="48">
        <f>VLOOKUP(A30,'Claims Data'!$A$3:$V$31,7,FALSE)</f>
        <v>895</v>
      </c>
      <c r="G30" s="43">
        <f t="shared" si="0"/>
        <v>872625</v>
      </c>
      <c r="H30" s="93"/>
      <c r="I30" s="40">
        <f>VLOOKUP(A30,'Claims Data'!$A$3:$V$31,11,FALSE)</f>
        <v>975</v>
      </c>
      <c r="J30" s="48">
        <f>VLOOKUP(A30,'Claims Data'!$A$3:$W$31,9,FALSE)</f>
        <v>2</v>
      </c>
      <c r="K30" s="48">
        <f>VLOOKUP(A30,'Claims Data'!$A$3:$V$31,12,FALSE)</f>
        <v>10</v>
      </c>
      <c r="L30" s="35">
        <f t="shared" si="1"/>
        <v>9750</v>
      </c>
      <c r="M30" s="119">
        <f t="shared" si="2"/>
        <v>828.75</v>
      </c>
      <c r="N30" s="48">
        <f>VLOOKUP(A30,'Claims Data'!$A$3:$V$31,13,FALSE)</f>
        <v>0</v>
      </c>
      <c r="O30" s="35">
        <f t="shared" si="3"/>
        <v>0</v>
      </c>
      <c r="P30" s="43">
        <f t="shared" si="4"/>
        <v>9750</v>
      </c>
      <c r="Q30" s="93"/>
      <c r="R30" s="40">
        <f>VLOOKUP(A30,'Claims Data'!$A$3:$V$31,17,FALSE)</f>
        <v>1370</v>
      </c>
      <c r="S30" s="48">
        <f>VLOOKUP(A30,'Claims Data'!$A$3:$W$31,15,FALSE)</f>
        <v>0</v>
      </c>
      <c r="T30" s="48">
        <f>VLOOKUP(A30,'Claims Data'!$A$3:$V$31,18,FALSE)</f>
        <v>0</v>
      </c>
      <c r="U30" s="43">
        <f t="shared" si="5"/>
        <v>0</v>
      </c>
    </row>
    <row r="31" spans="1:21" x14ac:dyDescent="0.3">
      <c r="A31" s="1" t="s">
        <v>81</v>
      </c>
      <c r="B31" s="2" t="s">
        <v>41</v>
      </c>
      <c r="C31" s="2" t="s">
        <v>82</v>
      </c>
      <c r="D31" s="39">
        <f>VLOOKUP(A31,'Claims Data'!$A$3:$V$31,6,FALSE)</f>
        <v>975</v>
      </c>
      <c r="E31" s="47">
        <f>VLOOKUP(A31,'Claims Data'!$A$3:$X$31,4,FALSE)</f>
        <v>225</v>
      </c>
      <c r="F31" s="47">
        <f>VLOOKUP(A31,'Claims Data'!$A$3:$V$31,7,FALSE)</f>
        <v>1723</v>
      </c>
      <c r="G31" s="42">
        <f t="shared" si="0"/>
        <v>1679925</v>
      </c>
      <c r="H31" s="93"/>
      <c r="I31" s="39">
        <f>VLOOKUP(A31,'Claims Data'!$A$3:$V$31,11,FALSE)</f>
        <v>975</v>
      </c>
      <c r="J31" s="47">
        <f>VLOOKUP(A31,'Claims Data'!$A$3:$W$31,9,FALSE)</f>
        <v>4</v>
      </c>
      <c r="K31" s="47">
        <f>VLOOKUP(A31,'Claims Data'!$A$3:$V$31,12,FALSE)</f>
        <v>42</v>
      </c>
      <c r="L31" s="34">
        <f t="shared" si="1"/>
        <v>40950</v>
      </c>
      <c r="M31" s="118">
        <f t="shared" si="2"/>
        <v>828.75</v>
      </c>
      <c r="N31" s="47">
        <f>VLOOKUP(A31,'Claims Data'!$A$3:$V$31,13,FALSE)</f>
        <v>0</v>
      </c>
      <c r="O31" s="34">
        <f t="shared" si="3"/>
        <v>0</v>
      </c>
      <c r="P31" s="42">
        <f t="shared" si="4"/>
        <v>40950</v>
      </c>
      <c r="Q31" s="93"/>
      <c r="R31" s="39">
        <f>VLOOKUP(A31,'Claims Data'!$A$3:$V$31,17,FALSE)</f>
        <v>1370</v>
      </c>
      <c r="S31" s="47">
        <f>VLOOKUP(A31,'Claims Data'!$A$3:$W$31,15,FALSE)</f>
        <v>20</v>
      </c>
      <c r="T31" s="47">
        <f>VLOOKUP(A31,'Claims Data'!$A$3:$V$31,18,FALSE)</f>
        <v>319</v>
      </c>
      <c r="U31" s="42">
        <f t="shared" si="5"/>
        <v>437030</v>
      </c>
    </row>
    <row r="32" spans="1:21" x14ac:dyDescent="0.3">
      <c r="A32" s="1" t="s">
        <v>83</v>
      </c>
      <c r="B32" s="2" t="s">
        <v>84</v>
      </c>
      <c r="C32" s="2" t="s">
        <v>85</v>
      </c>
      <c r="D32" s="39">
        <f>VLOOKUP(A32,'Claims Data'!$A$3:$V$31,6,FALSE)</f>
        <v>1125</v>
      </c>
      <c r="E32" s="47">
        <f>VLOOKUP(A32,'Claims Data'!$A$3:$X$31,4,FALSE)</f>
        <v>195</v>
      </c>
      <c r="F32" s="47">
        <f>VLOOKUP(A32,'Claims Data'!$A$3:$V$31,7,FALSE)</f>
        <v>1017</v>
      </c>
      <c r="G32" s="42">
        <f t="shared" si="0"/>
        <v>1144125</v>
      </c>
      <c r="H32" s="93"/>
      <c r="I32" s="39">
        <f>VLOOKUP(A32,'Claims Data'!$A$3:$V$31,11,FALSE)</f>
        <v>1125</v>
      </c>
      <c r="J32" s="47">
        <f>VLOOKUP(A32,'Claims Data'!$A$3:$W$31,9,FALSE)</f>
        <v>2</v>
      </c>
      <c r="K32" s="47">
        <f>VLOOKUP(A32,'Claims Data'!$A$3:$V$31,12,FALSE)</f>
        <v>15</v>
      </c>
      <c r="L32" s="34">
        <f t="shared" si="1"/>
        <v>16875</v>
      </c>
      <c r="M32" s="118">
        <f t="shared" si="2"/>
        <v>956.25</v>
      </c>
      <c r="N32" s="47">
        <f>VLOOKUP(A32,'Claims Data'!$A$3:$V$31,13,FALSE)</f>
        <v>0</v>
      </c>
      <c r="O32" s="34">
        <f t="shared" si="3"/>
        <v>0</v>
      </c>
      <c r="P32" s="42">
        <f t="shared" si="4"/>
        <v>16875</v>
      </c>
      <c r="Q32" s="93"/>
      <c r="R32" s="39">
        <f>VLOOKUP(A32,'Claims Data'!$A$3:$V$31,17,FALSE)</f>
        <v>1370</v>
      </c>
      <c r="S32" s="47">
        <f>VLOOKUP(A32,'Claims Data'!$A$3:$W$31,15,FALSE)</f>
        <v>6</v>
      </c>
      <c r="T32" s="47">
        <f>VLOOKUP(A32,'Claims Data'!$A$3:$V$31,18,FALSE)</f>
        <v>133</v>
      </c>
      <c r="U32" s="42">
        <f t="shared" si="5"/>
        <v>182210</v>
      </c>
    </row>
    <row r="33" spans="1:21" x14ac:dyDescent="0.3">
      <c r="A33" s="1" t="s">
        <v>86</v>
      </c>
      <c r="B33" s="2" t="s">
        <v>87</v>
      </c>
      <c r="C33" s="2" t="s">
        <v>88</v>
      </c>
      <c r="D33" s="39">
        <f>VLOOKUP(A33,'Claims Data'!$A$3:$V$31,6,FALSE)</f>
        <v>975</v>
      </c>
      <c r="E33" s="47">
        <f>VLOOKUP(A33,'Claims Data'!$A$3:$X$31,4,FALSE)</f>
        <v>348</v>
      </c>
      <c r="F33" s="47">
        <f>VLOOKUP(A33,'Claims Data'!$A$3:$V$31,7,FALSE)</f>
        <v>2706</v>
      </c>
      <c r="G33" s="42">
        <f t="shared" si="0"/>
        <v>2638350</v>
      </c>
      <c r="H33" s="93"/>
      <c r="I33" s="39">
        <f>VLOOKUP(A33,'Claims Data'!$A$3:$V$31,11,FALSE)</f>
        <v>975</v>
      </c>
      <c r="J33" s="47">
        <f>VLOOKUP(A33,'Claims Data'!$A$3:$W$31,9,FALSE)</f>
        <v>9</v>
      </c>
      <c r="K33" s="47">
        <f>VLOOKUP(A33,'Claims Data'!$A$3:$V$31,12,FALSE)</f>
        <v>54</v>
      </c>
      <c r="L33" s="34">
        <f t="shared" si="1"/>
        <v>52650</v>
      </c>
      <c r="M33" s="118">
        <f t="shared" si="2"/>
        <v>828.75</v>
      </c>
      <c r="N33" s="47">
        <f>VLOOKUP(A33,'Claims Data'!$A$3:$V$31,13,FALSE)</f>
        <v>0</v>
      </c>
      <c r="O33" s="34">
        <f t="shared" si="3"/>
        <v>0</v>
      </c>
      <c r="P33" s="42">
        <f t="shared" si="4"/>
        <v>52650</v>
      </c>
      <c r="Q33" s="93"/>
      <c r="R33" s="39">
        <f>VLOOKUP(A33,'Claims Data'!$A$3:$V$31,17,FALSE)</f>
        <v>1370</v>
      </c>
      <c r="S33" s="47">
        <f>VLOOKUP(A33,'Claims Data'!$A$3:$W$31,15,FALSE)</f>
        <v>0</v>
      </c>
      <c r="T33" s="47">
        <f>VLOOKUP(A33,'Claims Data'!$A$3:$V$31,18,FALSE)</f>
        <v>0</v>
      </c>
      <c r="U33" s="42">
        <f t="shared" si="5"/>
        <v>0</v>
      </c>
    </row>
    <row r="34" spans="1:21" x14ac:dyDescent="0.3">
      <c r="A34" s="1" t="s">
        <v>89</v>
      </c>
      <c r="B34" s="2" t="s">
        <v>90</v>
      </c>
      <c r="C34" s="2" t="s">
        <v>91</v>
      </c>
      <c r="D34" s="39">
        <f>VLOOKUP(A34,'Claims Data'!$A$3:$V$31,6,FALSE)</f>
        <v>1125</v>
      </c>
      <c r="E34" s="47">
        <f>VLOOKUP(A34,'Claims Data'!$A$3:$X$31,4,FALSE)</f>
        <v>232</v>
      </c>
      <c r="F34" s="47">
        <f>VLOOKUP(A34,'Claims Data'!$A$3:$V$31,7,FALSE)</f>
        <v>1650</v>
      </c>
      <c r="G34" s="42">
        <f t="shared" si="0"/>
        <v>1856250</v>
      </c>
      <c r="H34" s="93"/>
      <c r="I34" s="39">
        <f>VLOOKUP(A34,'Claims Data'!$A$3:$V$31,11,FALSE)</f>
        <v>1125</v>
      </c>
      <c r="J34" s="47">
        <f>VLOOKUP(A34,'Claims Data'!$A$3:$W$31,9,FALSE)</f>
        <v>0</v>
      </c>
      <c r="K34" s="47">
        <f>VLOOKUP(A34,'Claims Data'!$A$3:$V$31,12,FALSE)</f>
        <v>0</v>
      </c>
      <c r="L34" s="34">
        <f t="shared" si="1"/>
        <v>0</v>
      </c>
      <c r="M34" s="118">
        <f t="shared" si="2"/>
        <v>956.25</v>
      </c>
      <c r="N34" s="47">
        <f>VLOOKUP(A34,'Claims Data'!$A$3:$V$31,13,FALSE)</f>
        <v>0</v>
      </c>
      <c r="O34" s="34">
        <f t="shared" si="3"/>
        <v>0</v>
      </c>
      <c r="P34" s="42">
        <f t="shared" si="4"/>
        <v>0</v>
      </c>
      <c r="Q34" s="93"/>
      <c r="R34" s="39">
        <f>VLOOKUP(A34,'Claims Data'!$A$3:$V$31,17,FALSE)</f>
        <v>1370</v>
      </c>
      <c r="S34" s="47">
        <f>VLOOKUP(A34,'Claims Data'!$A$3:$W$31,15,FALSE)</f>
        <v>0</v>
      </c>
      <c r="T34" s="47">
        <f>VLOOKUP(A34,'Claims Data'!$A$3:$V$31,18,FALSE)</f>
        <v>0</v>
      </c>
      <c r="U34" s="42">
        <f t="shared" si="5"/>
        <v>0</v>
      </c>
    </row>
    <row r="35" spans="1:21" x14ac:dyDescent="0.3">
      <c r="A35" s="3" t="s">
        <v>92</v>
      </c>
      <c r="B35" s="4" t="s">
        <v>93</v>
      </c>
      <c r="C35" s="4" t="s">
        <v>94</v>
      </c>
      <c r="D35" s="40">
        <f>VLOOKUP(A35,'Claims Data'!$A$3:$V$31,6,FALSE)</f>
        <v>975</v>
      </c>
      <c r="E35" s="48">
        <f>VLOOKUP(A35,'Claims Data'!$A$3:$X$31,4,FALSE)</f>
        <v>0</v>
      </c>
      <c r="F35" s="48">
        <f>VLOOKUP(A35,'Claims Data'!$A$3:$V$31,7,FALSE)</f>
        <v>0</v>
      </c>
      <c r="G35" s="43">
        <f t="shared" si="0"/>
        <v>0</v>
      </c>
      <c r="H35" s="93"/>
      <c r="I35" s="40">
        <f>VLOOKUP(A35,'Claims Data'!$A$3:$V$31,11,FALSE)</f>
        <v>975</v>
      </c>
      <c r="J35" s="48">
        <f>VLOOKUP(A35,'Claims Data'!$A$3:$W$31,9,FALSE)</f>
        <v>16</v>
      </c>
      <c r="K35" s="48">
        <f>VLOOKUP(A35,'Claims Data'!$A$3:$V$31,12,FALSE)</f>
        <v>161</v>
      </c>
      <c r="L35" s="35">
        <f t="shared" si="1"/>
        <v>156975</v>
      </c>
      <c r="M35" s="119">
        <f t="shared" si="2"/>
        <v>828.75</v>
      </c>
      <c r="N35" s="48">
        <f>VLOOKUP(A35,'Claims Data'!$A$3:$V$31,13,FALSE)</f>
        <v>0</v>
      </c>
      <c r="O35" s="35">
        <f t="shared" si="3"/>
        <v>0</v>
      </c>
      <c r="P35" s="43">
        <f t="shared" si="4"/>
        <v>156975</v>
      </c>
      <c r="Q35" s="93"/>
      <c r="R35" s="40">
        <f>VLOOKUP(A35,'Claims Data'!$A$3:$V$31,17,FALSE)</f>
        <v>1370</v>
      </c>
      <c r="S35" s="48">
        <f>VLOOKUP(A35,'Claims Data'!$A$3:$W$31,15,FALSE)</f>
        <v>0</v>
      </c>
      <c r="T35" s="48">
        <f>VLOOKUP(A35,'Claims Data'!$A$3:$V$31,18,FALSE)</f>
        <v>0</v>
      </c>
      <c r="U35" s="43">
        <f t="shared" si="5"/>
        <v>0</v>
      </c>
    </row>
    <row r="36" spans="1:21" x14ac:dyDescent="0.3">
      <c r="D36" s="25"/>
      <c r="E36" s="31">
        <f>SUM(E7:E35)</f>
        <v>8841</v>
      </c>
      <c r="F36" s="31">
        <f>SUM(F7:F35)</f>
        <v>62911</v>
      </c>
      <c r="G36" s="36">
        <f>SUM(G7:G35)</f>
        <v>64290000</v>
      </c>
      <c r="H36" s="25"/>
      <c r="I36" s="25"/>
      <c r="J36" s="31">
        <f t="shared" ref="J36:P36" si="6">SUM(J7:J35)</f>
        <v>1811</v>
      </c>
      <c r="K36" s="31">
        <f t="shared" si="6"/>
        <v>15392</v>
      </c>
      <c r="L36" s="36">
        <f t="shared" si="6"/>
        <v>15693900</v>
      </c>
      <c r="M36" s="31"/>
      <c r="N36" s="31">
        <f t="shared" si="6"/>
        <v>775</v>
      </c>
      <c r="O36" s="36">
        <f t="shared" si="6"/>
        <v>665741.25</v>
      </c>
      <c r="P36" s="36">
        <f t="shared" si="6"/>
        <v>16359641.25</v>
      </c>
      <c r="Q36" s="25"/>
      <c r="R36" s="25"/>
      <c r="S36" s="31">
        <f t="shared" ref="S36:U36" si="7">SUM(S7:S35)</f>
        <v>115</v>
      </c>
      <c r="T36" s="31">
        <f t="shared" si="7"/>
        <v>1808</v>
      </c>
      <c r="U36" s="36">
        <f t="shared" si="7"/>
        <v>2476960</v>
      </c>
    </row>
    <row r="38" spans="1:21" x14ac:dyDescent="0.3">
      <c r="A38" s="94"/>
      <c r="B38" s="95"/>
      <c r="C38" s="96" t="s">
        <v>272</v>
      </c>
      <c r="D38" s="105">
        <v>975</v>
      </c>
      <c r="E38" s="102">
        <f>+E17+E31</f>
        <v>233</v>
      </c>
      <c r="F38" s="102">
        <f>+F17+F31</f>
        <v>1770</v>
      </c>
      <c r="G38" s="104">
        <f t="shared" ref="G38" si="8">F38*D38</f>
        <v>1725750</v>
      </c>
      <c r="H38" s="98"/>
      <c r="I38" s="105">
        <v>975</v>
      </c>
      <c r="J38" s="102">
        <f>+J17+J31</f>
        <v>4</v>
      </c>
      <c r="K38" s="102">
        <f>+K17+K31</f>
        <v>42</v>
      </c>
      <c r="L38" s="100">
        <f t="shared" ref="L38" si="9">I38*K38</f>
        <v>40950</v>
      </c>
      <c r="M38" s="120">
        <f t="shared" ref="M38" si="10">0.85*I38</f>
        <v>828.75</v>
      </c>
      <c r="N38" s="102">
        <f>+N17+N31</f>
        <v>0</v>
      </c>
      <c r="O38" s="100">
        <f t="shared" ref="O38" si="11">N38*M38</f>
        <v>0</v>
      </c>
      <c r="P38" s="104">
        <f t="shared" ref="P38" si="12">+O38+L38</f>
        <v>40950</v>
      </c>
      <c r="Q38" s="98"/>
      <c r="R38" s="105">
        <v>1370</v>
      </c>
      <c r="S38" s="102">
        <f>+S17+S31</f>
        <v>20</v>
      </c>
      <c r="T38" s="102">
        <f>+T17+T31</f>
        <v>319</v>
      </c>
      <c r="U38" s="104">
        <f t="shared" ref="U38" si="13">R38*T38</f>
        <v>437030</v>
      </c>
    </row>
  </sheetData>
  <mergeCells count="3">
    <mergeCell ref="D4:G4"/>
    <mergeCell ref="I4:P4"/>
    <mergeCell ref="R4:U4"/>
  </mergeCells>
  <pageMargins left="0.7" right="0.7" top="0.75" bottom="0.75" header="0.3" footer="0.3"/>
  <pageSetup paperSize="5" scale="48" orientation="landscape" r:id="rId1"/>
  <headerFooter>
    <oddHeader>&amp;R&amp;"-,Bold"&amp;12&amp;K03-024MERCER</oddHeader>
    <oddFooter>&amp;LMyers and Stauffer LC&amp;R&amp;D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U48"/>
  <sheetViews>
    <sheetView topLeftCell="A4" workbookViewId="0">
      <selection activeCell="K23" sqref="K23"/>
    </sheetView>
  </sheetViews>
  <sheetFormatPr defaultRowHeight="14.4" x14ac:dyDescent="0.3"/>
  <cols>
    <col min="1" max="1" width="10.109375" customWidth="1"/>
    <col min="2" max="2" width="11.109375" customWidth="1"/>
    <col min="3" max="3" width="40.109375" bestFit="1" customWidth="1"/>
    <col min="4" max="4" width="11.44140625" customWidth="1"/>
    <col min="5" max="5" width="13.6640625" style="19" customWidth="1"/>
    <col min="6" max="6" width="11.33203125" bestFit="1" customWidth="1"/>
    <col min="7" max="7" width="14.44140625" customWidth="1"/>
    <col min="8" max="8" width="14.44140625" style="19" customWidth="1"/>
    <col min="9" max="9" width="14.5546875" customWidth="1"/>
    <col min="10" max="10" width="2.6640625" customWidth="1"/>
    <col min="11" max="11" width="15.5546875" customWidth="1"/>
    <col min="12" max="12" width="13.6640625" customWidth="1"/>
    <col min="13" max="13" width="12.88671875" customWidth="1"/>
    <col min="14" max="14" width="13.5546875" customWidth="1"/>
    <col min="15" max="15" width="13.5546875" style="19" customWidth="1"/>
    <col min="16" max="16" width="18.5546875" customWidth="1"/>
    <col min="17" max="17" width="11.5546875" bestFit="1" customWidth="1"/>
    <col min="18" max="18" width="13.33203125" bestFit="1" customWidth="1"/>
    <col min="19" max="19" width="2.6640625" customWidth="1"/>
    <col min="20" max="20" width="13.6640625" bestFit="1" customWidth="1"/>
    <col min="21" max="21" width="14.33203125" bestFit="1" customWidth="1"/>
  </cols>
  <sheetData>
    <row r="1" spans="1:21" s="19" customFormat="1" ht="18" x14ac:dyDescent="0.25">
      <c r="A1" s="86" t="s">
        <v>267</v>
      </c>
    </row>
    <row r="2" spans="1:21" s="19" customFormat="1" ht="18" x14ac:dyDescent="0.25">
      <c r="A2" s="86" t="s">
        <v>222</v>
      </c>
    </row>
    <row r="3" spans="1:21" s="19" customFormat="1" ht="15.75" x14ac:dyDescent="0.25">
      <c r="A3" s="87" t="s">
        <v>168</v>
      </c>
    </row>
    <row r="4" spans="1:21" s="19" customFormat="1" ht="15.75" x14ac:dyDescent="0.25">
      <c r="A4" s="87" t="s">
        <v>197</v>
      </c>
      <c r="J4" s="20"/>
      <c r="K4" s="71"/>
      <c r="L4" s="71"/>
      <c r="M4" s="71"/>
      <c r="N4" s="71"/>
      <c r="O4" s="71"/>
      <c r="P4" s="71"/>
      <c r="Q4" s="71"/>
      <c r="R4" s="71"/>
      <c r="S4" s="14"/>
    </row>
    <row r="5" spans="1:21" s="19" customFormat="1" ht="15" x14ac:dyDescent="0.25">
      <c r="D5" s="122" t="s">
        <v>5</v>
      </c>
      <c r="E5" s="123"/>
      <c r="F5" s="123"/>
      <c r="G5" s="123"/>
      <c r="H5" s="123"/>
      <c r="I5" s="124"/>
      <c r="K5" s="122" t="s">
        <v>206</v>
      </c>
      <c r="L5" s="123"/>
      <c r="M5" s="123"/>
      <c r="N5" s="123"/>
      <c r="O5" s="123"/>
      <c r="P5" s="123"/>
      <c r="Q5" s="123"/>
      <c r="R5" s="124"/>
      <c r="S5" s="14"/>
    </row>
    <row r="6" spans="1:21" s="19" customFormat="1" ht="75" x14ac:dyDescent="0.25">
      <c r="A6" s="88" t="s">
        <v>0</v>
      </c>
      <c r="B6" s="89" t="s">
        <v>1</v>
      </c>
      <c r="C6" s="89" t="s">
        <v>2</v>
      </c>
      <c r="D6" s="88" t="s">
        <v>223</v>
      </c>
      <c r="E6" s="89" t="s">
        <v>224</v>
      </c>
      <c r="F6" s="89" t="s">
        <v>225</v>
      </c>
      <c r="G6" s="89" t="s">
        <v>226</v>
      </c>
      <c r="H6" s="89" t="s">
        <v>227</v>
      </c>
      <c r="I6" s="90" t="s">
        <v>154</v>
      </c>
      <c r="J6" s="89"/>
      <c r="K6" s="88" t="s">
        <v>228</v>
      </c>
      <c r="L6" s="89" t="s">
        <v>7</v>
      </c>
      <c r="M6" s="89" t="s">
        <v>8</v>
      </c>
      <c r="N6" s="89" t="s">
        <v>205</v>
      </c>
      <c r="O6" s="89" t="s">
        <v>155</v>
      </c>
      <c r="P6" s="89" t="s">
        <v>208</v>
      </c>
      <c r="Q6" s="89" t="s">
        <v>142</v>
      </c>
      <c r="R6" s="90" t="s">
        <v>207</v>
      </c>
      <c r="S6" s="91"/>
      <c r="T6" s="91" t="s">
        <v>222</v>
      </c>
    </row>
    <row r="7" spans="1:21" s="19" customFormat="1" ht="15" x14ac:dyDescent="0.25">
      <c r="A7" s="30" t="s">
        <v>169</v>
      </c>
      <c r="B7" s="28" t="s">
        <v>170</v>
      </c>
      <c r="C7" s="28" t="s">
        <v>171</v>
      </c>
      <c r="D7" s="30" t="s">
        <v>172</v>
      </c>
      <c r="E7" s="28" t="s">
        <v>173</v>
      </c>
      <c r="F7" s="28" t="s">
        <v>174</v>
      </c>
      <c r="G7" s="28" t="s">
        <v>175</v>
      </c>
      <c r="H7" s="28" t="s">
        <v>194</v>
      </c>
      <c r="I7" s="29" t="s">
        <v>209</v>
      </c>
      <c r="J7" s="92"/>
      <c r="K7" s="32" t="s">
        <v>178</v>
      </c>
      <c r="L7" s="28" t="s">
        <v>179</v>
      </c>
      <c r="M7" s="28" t="s">
        <v>180</v>
      </c>
      <c r="N7" s="28" t="s">
        <v>181</v>
      </c>
      <c r="O7" s="28" t="s">
        <v>182</v>
      </c>
      <c r="P7" s="28" t="s">
        <v>269</v>
      </c>
      <c r="Q7" s="28" t="s">
        <v>184</v>
      </c>
      <c r="R7" s="29" t="s">
        <v>270</v>
      </c>
      <c r="S7" s="92"/>
      <c r="T7" s="33" t="s">
        <v>271</v>
      </c>
    </row>
    <row r="8" spans="1:21" ht="15" x14ac:dyDescent="0.25">
      <c r="A8" s="1" t="s">
        <v>11</v>
      </c>
      <c r="B8" s="6" t="s">
        <v>111</v>
      </c>
      <c r="C8" s="2" t="s">
        <v>13</v>
      </c>
      <c r="D8" s="49">
        <f>VLOOKUP(A8,'Claims Data'!$A$3:$V$31,9,FALSE)</f>
        <v>211</v>
      </c>
      <c r="E8" s="47">
        <f>VLOOKUP(A8,'Reconciliation Data'!$A$3:$M$31,13,FALSE)</f>
        <v>5744</v>
      </c>
      <c r="F8" s="47">
        <f>VLOOKUP(A8,'Claims Data'!$A$3:$V$31,4,FALSE)</f>
        <v>689</v>
      </c>
      <c r="G8" s="47">
        <f>VLOOKUP(A8,'Claims Data'!$A$3:$V$31,15,FALSE)</f>
        <v>0</v>
      </c>
      <c r="H8" s="47">
        <f>E8-F8-G8</f>
        <v>5055</v>
      </c>
      <c r="I8" s="50">
        <f>H8+G8+F8+D8</f>
        <v>5955</v>
      </c>
      <c r="J8" s="93"/>
      <c r="K8" s="39">
        <f>VLOOKUP(A8,'Hospital Specific Rev Neutral'!$A$7:$P$35,16,FALSE)</f>
        <v>41596682.049599998</v>
      </c>
      <c r="L8" s="34">
        <f>VLOOKUP(A8,'BH and Rehab payments'!$A$7:$U$35,7,FALSE)</f>
        <v>4139850</v>
      </c>
      <c r="M8" s="34">
        <f>VLOOKUP(A8,'BH and Rehab payments'!$A$7:$U$35,16,FALSE)</f>
        <v>2472892.5</v>
      </c>
      <c r="N8" s="34">
        <f>VLOOKUP(A8,'BH and Rehab payments'!$A$7:$U$35,21,FALSE)</f>
        <v>0</v>
      </c>
      <c r="O8" s="34">
        <v>390847.84</v>
      </c>
      <c r="P8" s="34">
        <f>K8-L8-M8-N8-O8</f>
        <v>34593091.709599994</v>
      </c>
      <c r="Q8" s="83">
        <f>(1-1/(1+0.05))</f>
        <v>4.7619047619047672E-2</v>
      </c>
      <c r="R8" s="37">
        <f>P8*Q8</f>
        <v>1647290.0814095254</v>
      </c>
      <c r="S8" s="93"/>
      <c r="T8" s="42">
        <f>P8-R8</f>
        <v>32945801.628190469</v>
      </c>
      <c r="U8" s="79"/>
    </row>
    <row r="9" spans="1:21" ht="15" x14ac:dyDescent="0.25">
      <c r="A9" s="1" t="s">
        <v>14</v>
      </c>
      <c r="B9" s="2" t="s">
        <v>15</v>
      </c>
      <c r="C9" s="2" t="s">
        <v>16</v>
      </c>
      <c r="D9" s="49">
        <f>VLOOKUP(A9,'Claims Data'!$A$3:$V$31,9,FALSE)</f>
        <v>7</v>
      </c>
      <c r="E9" s="47">
        <f>VLOOKUP(A9,'Reconciliation Data'!$A$3:$M$31,13,FALSE)</f>
        <v>1068</v>
      </c>
      <c r="F9" s="47">
        <f>VLOOKUP(A9,'Claims Data'!$A$3:$V$31,4,FALSE)</f>
        <v>254</v>
      </c>
      <c r="G9" s="47">
        <f>VLOOKUP(A9,'Claims Data'!$A$3:$V$31,15,FALSE)</f>
        <v>0</v>
      </c>
      <c r="H9" s="47">
        <f t="shared" ref="H9:H36" si="0">E9-F9-G9</f>
        <v>814</v>
      </c>
      <c r="I9" s="50">
        <f t="shared" ref="I9:I36" si="1">H9+G9+F9+D9</f>
        <v>1075</v>
      </c>
      <c r="J9" s="93"/>
      <c r="K9" s="39">
        <f>VLOOKUP(A9,'Hospital Specific Rev Neutral'!$A$7:$P$35,16,FALSE)</f>
        <v>4535340.3119999999</v>
      </c>
      <c r="L9" s="34">
        <f>VLOOKUP(A9,'BH and Rehab payments'!$A$7:$U$35,7,FALSE)</f>
        <v>1379700</v>
      </c>
      <c r="M9" s="34">
        <f>VLOOKUP(A9,'BH and Rehab payments'!$A$7:$U$35,16,FALSE)</f>
        <v>25200</v>
      </c>
      <c r="N9" s="34">
        <f>VLOOKUP(A9,'BH and Rehab payments'!$A$7:$U$35,21,FALSE)</f>
        <v>0</v>
      </c>
      <c r="O9" s="34">
        <v>2134.94</v>
      </c>
      <c r="P9" s="34">
        <f t="shared" ref="P9:P36" si="2">K9-L9-M9-N9-O9</f>
        <v>3128305.372</v>
      </c>
      <c r="Q9" s="83">
        <f t="shared" ref="Q9:Q36" si="3">(1-1/(1+0.05))</f>
        <v>4.7619047619047672E-2</v>
      </c>
      <c r="R9" s="37">
        <f t="shared" ref="R9:R36" si="4">P9*Q9</f>
        <v>148966.92247619064</v>
      </c>
      <c r="S9" s="93"/>
      <c r="T9" s="42">
        <f t="shared" ref="T9:T36" si="5">P9-R9</f>
        <v>2979338.4495238094</v>
      </c>
    </row>
    <row r="10" spans="1:21" ht="15" x14ac:dyDescent="0.25">
      <c r="A10" s="1" t="s">
        <v>17</v>
      </c>
      <c r="B10" s="2" t="s">
        <v>18</v>
      </c>
      <c r="C10" s="2" t="s">
        <v>19</v>
      </c>
      <c r="D10" s="49">
        <f>VLOOKUP(A10,'Claims Data'!$A$3:$V$31,9,FALSE)</f>
        <v>0</v>
      </c>
      <c r="E10" s="47">
        <f>VLOOKUP(A10,'Reconciliation Data'!$A$3:$M$31,13,FALSE)</f>
        <v>135</v>
      </c>
      <c r="F10" s="47">
        <f>VLOOKUP(A10,'Claims Data'!$A$3:$V$31,4,FALSE)</f>
        <v>7</v>
      </c>
      <c r="G10" s="47">
        <f>VLOOKUP(A10,'Claims Data'!$A$3:$V$31,15,FALSE)</f>
        <v>0</v>
      </c>
      <c r="H10" s="47">
        <f t="shared" si="0"/>
        <v>128</v>
      </c>
      <c r="I10" s="50">
        <f t="shared" si="1"/>
        <v>135</v>
      </c>
      <c r="J10" s="93"/>
      <c r="K10" s="39">
        <f>VLOOKUP(A10,'Hospital Specific Rev Neutral'!$A$7:$P$35,16,FALSE)</f>
        <v>564672.36320000002</v>
      </c>
      <c r="L10" s="34">
        <f>VLOOKUP(A10,'BH and Rehab payments'!$A$7:$U$35,7,FALSE)</f>
        <v>34125</v>
      </c>
      <c r="M10" s="34">
        <f>VLOOKUP(A10,'BH and Rehab payments'!$A$7:$U$35,16,FALSE)</f>
        <v>0</v>
      </c>
      <c r="N10" s="34">
        <f>VLOOKUP(A10,'BH and Rehab payments'!$A$7:$U$35,21,FALSE)</f>
        <v>0</v>
      </c>
      <c r="O10" s="34">
        <v>0</v>
      </c>
      <c r="P10" s="34">
        <f t="shared" si="2"/>
        <v>530547.36320000002</v>
      </c>
      <c r="Q10" s="83">
        <f t="shared" si="3"/>
        <v>4.7619047619047672E-2</v>
      </c>
      <c r="R10" s="37">
        <f t="shared" si="4"/>
        <v>25264.16015238098</v>
      </c>
      <c r="S10" s="93"/>
      <c r="T10" s="42">
        <f t="shared" si="5"/>
        <v>505283.20304761903</v>
      </c>
    </row>
    <row r="11" spans="1:21" ht="15" x14ac:dyDescent="0.25">
      <c r="A11" s="1" t="s">
        <v>20</v>
      </c>
      <c r="B11" s="2" t="s">
        <v>21</v>
      </c>
      <c r="C11" s="2" t="s">
        <v>22</v>
      </c>
      <c r="D11" s="49">
        <f>VLOOKUP(A11,'Claims Data'!$A$3:$V$31,9,FALSE)</f>
        <v>80</v>
      </c>
      <c r="E11" s="47">
        <f>VLOOKUP(A11,'Reconciliation Data'!$A$3:$M$31,13,FALSE)</f>
        <v>2445</v>
      </c>
      <c r="F11" s="47">
        <f>VLOOKUP(A11,'Claims Data'!$A$3:$V$31,4,FALSE)</f>
        <v>392</v>
      </c>
      <c r="G11" s="47">
        <f>VLOOKUP(A11,'Claims Data'!$A$3:$V$31,15,FALSE)</f>
        <v>0</v>
      </c>
      <c r="H11" s="47">
        <f t="shared" si="0"/>
        <v>2053</v>
      </c>
      <c r="I11" s="50">
        <f t="shared" si="1"/>
        <v>2525</v>
      </c>
      <c r="J11" s="93"/>
      <c r="K11" s="39">
        <f>VLOOKUP(A11,'Hospital Specific Rev Neutral'!$A$7:$P$35,16,FALSE)</f>
        <v>13419963.072000001</v>
      </c>
      <c r="L11" s="34">
        <f>VLOOKUP(A11,'BH and Rehab payments'!$A$7:$U$35,7,FALSE)</f>
        <v>2720250</v>
      </c>
      <c r="M11" s="34">
        <f>VLOOKUP(A11,'BH and Rehab payments'!$A$7:$U$35,16,FALSE)</f>
        <v>537420</v>
      </c>
      <c r="N11" s="34">
        <f>VLOOKUP(A11,'BH and Rehab payments'!$A$7:$U$35,21,FALSE)</f>
        <v>0</v>
      </c>
      <c r="O11" s="34">
        <v>98949.43</v>
      </c>
      <c r="P11" s="34">
        <f t="shared" si="2"/>
        <v>10063343.642000001</v>
      </c>
      <c r="Q11" s="83">
        <f t="shared" si="3"/>
        <v>4.7619047619047672E-2</v>
      </c>
      <c r="R11" s="37">
        <f t="shared" si="4"/>
        <v>479206.84009523864</v>
      </c>
      <c r="S11" s="93"/>
      <c r="T11" s="42">
        <f t="shared" si="5"/>
        <v>9584136.8019047622</v>
      </c>
    </row>
    <row r="12" spans="1:21" ht="15" x14ac:dyDescent="0.25">
      <c r="A12" s="3" t="s">
        <v>23</v>
      </c>
      <c r="B12" s="4" t="s">
        <v>24</v>
      </c>
      <c r="C12" s="4" t="s">
        <v>25</v>
      </c>
      <c r="D12" s="51">
        <f>VLOOKUP(A12,'Claims Data'!$A$3:$V$31,9,FALSE)</f>
        <v>14</v>
      </c>
      <c r="E12" s="48">
        <f>VLOOKUP(A12,'Reconciliation Data'!$A$3:$M$31,13,FALSE)</f>
        <v>2429</v>
      </c>
      <c r="F12" s="48">
        <f>VLOOKUP(A12,'Claims Data'!$A$3:$V$31,4,FALSE)</f>
        <v>228</v>
      </c>
      <c r="G12" s="48">
        <f>VLOOKUP(A12,'Claims Data'!$A$3:$V$31,15,FALSE)</f>
        <v>15</v>
      </c>
      <c r="H12" s="48">
        <f t="shared" si="0"/>
        <v>2186</v>
      </c>
      <c r="I12" s="52">
        <f t="shared" si="1"/>
        <v>2443</v>
      </c>
      <c r="J12" s="93"/>
      <c r="K12" s="40">
        <f>VLOOKUP(A12,'Hospital Specific Rev Neutral'!$A$7:$P$35,16,FALSE)</f>
        <v>13476191.808799999</v>
      </c>
      <c r="L12" s="35">
        <f>VLOOKUP(A12,'BH and Rehab payments'!$A$7:$U$35,7,FALSE)</f>
        <v>1794375</v>
      </c>
      <c r="M12" s="35">
        <f>VLOOKUP(A12,'BH and Rehab payments'!$A$7:$U$35,16,FALSE)</f>
        <v>76500</v>
      </c>
      <c r="N12" s="35">
        <f>VLOOKUP(A12,'BH and Rehab payments'!$A$7:$U$35,21,FALSE)</f>
        <v>271260</v>
      </c>
      <c r="O12" s="35">
        <v>361008.98</v>
      </c>
      <c r="P12" s="35">
        <f t="shared" si="2"/>
        <v>10973047.828799998</v>
      </c>
      <c r="Q12" s="84">
        <f t="shared" si="3"/>
        <v>4.7619047619047672E-2</v>
      </c>
      <c r="R12" s="38">
        <f t="shared" si="4"/>
        <v>522526.0870857148</v>
      </c>
      <c r="S12" s="93"/>
      <c r="T12" s="43">
        <f t="shared" si="5"/>
        <v>10450521.741714284</v>
      </c>
    </row>
    <row r="13" spans="1:21" ht="15" x14ac:dyDescent="0.25">
      <c r="A13" s="1" t="s">
        <v>26</v>
      </c>
      <c r="B13" s="2" t="s">
        <v>27</v>
      </c>
      <c r="C13" s="2" t="s">
        <v>28</v>
      </c>
      <c r="D13" s="49">
        <f>VLOOKUP(A13,'Claims Data'!$A$3:$V$31,9,FALSE)</f>
        <v>5</v>
      </c>
      <c r="E13" s="47">
        <f>VLOOKUP(A13,'Reconciliation Data'!$A$3:$M$31,13,FALSE)</f>
        <v>2342</v>
      </c>
      <c r="F13" s="47">
        <f>VLOOKUP(A13,'Claims Data'!$A$3:$V$31,4,FALSE)</f>
        <v>319</v>
      </c>
      <c r="G13" s="47">
        <f>VLOOKUP(A13,'Claims Data'!$A$3:$V$31,15,FALSE)</f>
        <v>18</v>
      </c>
      <c r="H13" s="47">
        <f t="shared" si="0"/>
        <v>2005</v>
      </c>
      <c r="I13" s="50">
        <f t="shared" si="1"/>
        <v>2347</v>
      </c>
      <c r="J13" s="93"/>
      <c r="K13" s="39">
        <f>VLOOKUP(A13,'Hospital Specific Rev Neutral'!$A$7:$P$35,16,FALSE)</f>
        <v>12250838.9712</v>
      </c>
      <c r="L13" s="34">
        <f>VLOOKUP(A13,'BH and Rehab payments'!$A$7:$U$35,7,FALSE)</f>
        <v>2094300</v>
      </c>
      <c r="M13" s="34">
        <f>VLOOKUP(A13,'BH and Rehab payments'!$A$7:$U$35,16,FALSE)</f>
        <v>35100</v>
      </c>
      <c r="N13" s="34">
        <f>VLOOKUP(A13,'BH and Rehab payments'!$A$7:$U$35,21,FALSE)</f>
        <v>383600</v>
      </c>
      <c r="O13" s="34">
        <v>145344.81</v>
      </c>
      <c r="P13" s="34">
        <f t="shared" si="2"/>
        <v>9592494.1612</v>
      </c>
      <c r="Q13" s="83">
        <f t="shared" si="3"/>
        <v>4.7619047619047672E-2</v>
      </c>
      <c r="R13" s="37">
        <f t="shared" si="4"/>
        <v>456785.43624761957</v>
      </c>
      <c r="S13" s="93"/>
      <c r="T13" s="42">
        <f t="shared" si="5"/>
        <v>9135708.7249523811</v>
      </c>
    </row>
    <row r="14" spans="1:21" ht="15" x14ac:dyDescent="0.25">
      <c r="A14" s="1" t="s">
        <v>29</v>
      </c>
      <c r="B14" s="2" t="s">
        <v>30</v>
      </c>
      <c r="C14" s="2" t="s">
        <v>31</v>
      </c>
      <c r="D14" s="49">
        <f>VLOOKUP(A14,'Claims Data'!$A$3:$V$31,9,FALSE)</f>
        <v>2</v>
      </c>
      <c r="E14" s="47">
        <f>VLOOKUP(A14,'Reconciliation Data'!$A$3:$M$31,13,FALSE)</f>
        <v>461</v>
      </c>
      <c r="F14" s="47">
        <f>VLOOKUP(A14,'Claims Data'!$A$3:$V$31,4,FALSE)</f>
        <v>138</v>
      </c>
      <c r="G14" s="47">
        <f>VLOOKUP(A14,'Claims Data'!$A$3:$V$31,15,FALSE)</f>
        <v>0</v>
      </c>
      <c r="H14" s="47">
        <f t="shared" si="0"/>
        <v>323</v>
      </c>
      <c r="I14" s="50">
        <f t="shared" si="1"/>
        <v>463</v>
      </c>
      <c r="J14" s="93"/>
      <c r="K14" s="39">
        <f>VLOOKUP(A14,'Hospital Specific Rev Neutral'!$A$7:$P$35,16,FALSE)</f>
        <v>1913514.9660000002</v>
      </c>
      <c r="L14" s="34">
        <f>VLOOKUP(A14,'BH and Rehab payments'!$A$7:$U$35,7,FALSE)</f>
        <v>897975</v>
      </c>
      <c r="M14" s="34">
        <f>VLOOKUP(A14,'BH and Rehab payments'!$A$7:$U$35,16,FALSE)</f>
        <v>8775</v>
      </c>
      <c r="N14" s="34">
        <f>VLOOKUP(A14,'BH and Rehab payments'!$A$7:$U$35,21,FALSE)</f>
        <v>0</v>
      </c>
      <c r="O14" s="34">
        <v>43062.26</v>
      </c>
      <c r="P14" s="34">
        <f t="shared" si="2"/>
        <v>963702.70600000024</v>
      </c>
      <c r="Q14" s="83">
        <f t="shared" si="3"/>
        <v>4.7619047619047672E-2</v>
      </c>
      <c r="R14" s="37">
        <f t="shared" si="4"/>
        <v>45890.605047619109</v>
      </c>
      <c r="S14" s="93"/>
      <c r="T14" s="42">
        <f t="shared" si="5"/>
        <v>917812.10095238115</v>
      </c>
    </row>
    <row r="15" spans="1:21" ht="15" x14ac:dyDescent="0.25">
      <c r="A15" s="1" t="s">
        <v>32</v>
      </c>
      <c r="B15" s="2" t="s">
        <v>33</v>
      </c>
      <c r="C15" s="2" t="s">
        <v>34</v>
      </c>
      <c r="D15" s="49">
        <f>VLOOKUP(A15,'Claims Data'!$A$3:$V$31,9,FALSE)</f>
        <v>1</v>
      </c>
      <c r="E15" s="47">
        <f>VLOOKUP(A15,'Reconciliation Data'!$A$3:$M$31,13,FALSE)</f>
        <v>4321</v>
      </c>
      <c r="F15" s="47">
        <f>VLOOKUP(A15,'Claims Data'!$A$3:$V$31,4,FALSE)</f>
        <v>491</v>
      </c>
      <c r="G15" s="47">
        <f>VLOOKUP(A15,'Claims Data'!$A$3:$V$31,15,FALSE)</f>
        <v>41</v>
      </c>
      <c r="H15" s="47">
        <f t="shared" si="0"/>
        <v>3789</v>
      </c>
      <c r="I15" s="50">
        <f t="shared" si="1"/>
        <v>4322</v>
      </c>
      <c r="J15" s="93"/>
      <c r="K15" s="39">
        <f>VLOOKUP(A15,'Hospital Specific Rev Neutral'!$A$7:$P$35,16,FALSE)</f>
        <v>30464494.236099999</v>
      </c>
      <c r="L15" s="34">
        <f>VLOOKUP(A15,'BH and Rehab payments'!$A$7:$U$35,7,FALSE)</f>
        <v>3620400</v>
      </c>
      <c r="M15" s="34">
        <f>VLOOKUP(A15,'BH and Rehab payments'!$A$7:$U$35,16,FALSE)</f>
        <v>5250</v>
      </c>
      <c r="N15" s="34">
        <f>VLOOKUP(A15,'BH and Rehab payments'!$A$7:$U$35,21,FALSE)</f>
        <v>778160</v>
      </c>
      <c r="O15" s="34">
        <v>364000.95</v>
      </c>
      <c r="P15" s="34">
        <f t="shared" si="2"/>
        <v>25696683.2861</v>
      </c>
      <c r="Q15" s="83">
        <f t="shared" si="3"/>
        <v>4.7619047619047672E-2</v>
      </c>
      <c r="R15" s="37">
        <f t="shared" si="4"/>
        <v>1223651.5850523824</v>
      </c>
      <c r="S15" s="93"/>
      <c r="T15" s="42">
        <f t="shared" si="5"/>
        <v>24473031.701047618</v>
      </c>
    </row>
    <row r="16" spans="1:21" ht="15" x14ac:dyDescent="0.25">
      <c r="A16" s="15" t="s">
        <v>35</v>
      </c>
      <c r="B16" s="10" t="s">
        <v>36</v>
      </c>
      <c r="C16" s="2" t="s">
        <v>37</v>
      </c>
      <c r="D16" s="49">
        <f>VLOOKUP(A16,'Claims Data'!$A$3:$V$31,9,FALSE)</f>
        <v>6</v>
      </c>
      <c r="E16" s="47">
        <f>VLOOKUP(A16,'Reconciliation Data'!$A$3:$M$31,13,FALSE)</f>
        <v>836</v>
      </c>
      <c r="F16" s="47">
        <f>VLOOKUP(A16,'Claims Data'!$A$3:$V$31,4,FALSE)</f>
        <v>202</v>
      </c>
      <c r="G16" s="47">
        <f>VLOOKUP(A16,'Claims Data'!$A$3:$V$31,15,FALSE)</f>
        <v>0</v>
      </c>
      <c r="H16" s="47">
        <f t="shared" si="0"/>
        <v>634</v>
      </c>
      <c r="I16" s="50">
        <f t="shared" si="1"/>
        <v>842</v>
      </c>
      <c r="J16" s="93"/>
      <c r="K16" s="39">
        <f>VLOOKUP(A16,'Hospital Specific Rev Neutral'!$A$7:$P$35,16,FALSE)</f>
        <v>3942434.7231999999</v>
      </c>
      <c r="L16" s="34">
        <f>VLOOKUP(A16,'BH and Rehab payments'!$A$7:$U$35,7,FALSE)</f>
        <v>1108125</v>
      </c>
      <c r="M16" s="34">
        <f>VLOOKUP(A16,'BH and Rehab payments'!$A$7:$U$35,16,FALSE)</f>
        <v>27000</v>
      </c>
      <c r="N16" s="34">
        <f>VLOOKUP(A16,'BH and Rehab payments'!$A$7:$U$35,21,FALSE)</f>
        <v>0</v>
      </c>
      <c r="O16" s="34">
        <v>0</v>
      </c>
      <c r="P16" s="34">
        <f t="shared" si="2"/>
        <v>2807309.7231999999</v>
      </c>
      <c r="Q16" s="83">
        <f t="shared" si="3"/>
        <v>4.7619047619047672E-2</v>
      </c>
      <c r="R16" s="37">
        <f t="shared" si="4"/>
        <v>133681.41539047632</v>
      </c>
      <c r="S16" s="93"/>
      <c r="T16" s="42">
        <f t="shared" si="5"/>
        <v>2673628.3078095238</v>
      </c>
    </row>
    <row r="17" spans="1:20" ht="15" x14ac:dyDescent="0.25">
      <c r="A17" s="3" t="s">
        <v>38</v>
      </c>
      <c r="B17" s="4" t="s">
        <v>12</v>
      </c>
      <c r="C17" s="4" t="s">
        <v>39</v>
      </c>
      <c r="D17" s="51">
        <f>VLOOKUP(A17,'Claims Data'!$A$3:$V$31,9,FALSE)</f>
        <v>0</v>
      </c>
      <c r="E17" s="48">
        <f>VLOOKUP(A17,'Reconciliation Data'!$A$3:$M$31,13,FALSE)</f>
        <v>199</v>
      </c>
      <c r="F17" s="48">
        <f>VLOOKUP(A17,'Claims Data'!$A$3:$V$31,4,FALSE)</f>
        <v>9</v>
      </c>
      <c r="G17" s="48">
        <f>VLOOKUP(A17,'Claims Data'!$A$3:$V$31,15,FALSE)</f>
        <v>0</v>
      </c>
      <c r="H17" s="48">
        <f t="shared" si="0"/>
        <v>190</v>
      </c>
      <c r="I17" s="52">
        <f t="shared" si="1"/>
        <v>199</v>
      </c>
      <c r="J17" s="93"/>
      <c r="K17" s="40">
        <f>VLOOKUP(A17,'Hospital Specific Rev Neutral'!$A$7:$P$35,16,FALSE)</f>
        <v>1007742.504</v>
      </c>
      <c r="L17" s="35">
        <f>VLOOKUP(A17,'BH and Rehab payments'!$A$7:$U$35,7,FALSE)</f>
        <v>52650</v>
      </c>
      <c r="M17" s="35">
        <f>VLOOKUP(A17,'BH and Rehab payments'!$A$7:$U$35,16,FALSE)</f>
        <v>0</v>
      </c>
      <c r="N17" s="35">
        <f>VLOOKUP(A17,'BH and Rehab payments'!$A$7:$U$35,21,FALSE)</f>
        <v>0</v>
      </c>
      <c r="O17" s="35">
        <v>2920.64</v>
      </c>
      <c r="P17" s="35">
        <f t="shared" si="2"/>
        <v>952171.86399999994</v>
      </c>
      <c r="Q17" s="84">
        <f t="shared" si="3"/>
        <v>4.7619047619047672E-2</v>
      </c>
      <c r="R17" s="38">
        <f t="shared" si="4"/>
        <v>45341.517333333381</v>
      </c>
      <c r="S17" s="93"/>
      <c r="T17" s="43">
        <f t="shared" si="5"/>
        <v>906830.34666666656</v>
      </c>
    </row>
    <row r="18" spans="1:20" ht="15" x14ac:dyDescent="0.25">
      <c r="A18" s="1" t="s">
        <v>40</v>
      </c>
      <c r="B18" s="2" t="s">
        <v>137</v>
      </c>
      <c r="C18" s="2" t="s">
        <v>42</v>
      </c>
      <c r="D18" s="49">
        <f>VLOOKUP(A18,'Claims Data'!$A$3:$V$31,9,FALSE)</f>
        <v>0</v>
      </c>
      <c r="E18" s="47">
        <f>VLOOKUP(A18,'Reconciliation Data'!$A$3:$M$31,13,FALSE)</f>
        <v>227</v>
      </c>
      <c r="F18" s="47">
        <f>VLOOKUP(A18,'Claims Data'!$A$3:$V$31,4,FALSE)</f>
        <v>8</v>
      </c>
      <c r="G18" s="47">
        <f>VLOOKUP(A18,'Claims Data'!$A$3:$V$31,15,FALSE)</f>
        <v>0</v>
      </c>
      <c r="H18" s="47">
        <f t="shared" si="0"/>
        <v>219</v>
      </c>
      <c r="I18" s="50">
        <f t="shared" si="1"/>
        <v>227</v>
      </c>
      <c r="J18" s="93"/>
      <c r="K18" s="39">
        <f>VLOOKUP(A18,'Hospital Specific Rev Neutral'!$A$7:$P$35,16,FALSE)</f>
        <v>1561944.9487999999</v>
      </c>
      <c r="L18" s="34">
        <f>VLOOKUP(A18,'BH and Rehab payments'!$A$7:$U$35,7,FALSE)</f>
        <v>45825</v>
      </c>
      <c r="M18" s="34">
        <f>VLOOKUP(A18,'BH and Rehab payments'!$A$7:$U$35,16,FALSE)</f>
        <v>0</v>
      </c>
      <c r="N18" s="34">
        <f>VLOOKUP(A18,'BH and Rehab payments'!$A$7:$U$35,21,FALSE)</f>
        <v>0</v>
      </c>
      <c r="O18" s="34">
        <v>20558.849999999999</v>
      </c>
      <c r="P18" s="34">
        <f t="shared" si="2"/>
        <v>1495561.0987999998</v>
      </c>
      <c r="Q18" s="83">
        <f t="shared" si="3"/>
        <v>4.7619047619047672E-2</v>
      </c>
      <c r="R18" s="37">
        <f t="shared" si="4"/>
        <v>71217.195180952447</v>
      </c>
      <c r="S18" s="93"/>
      <c r="T18" s="42">
        <f t="shared" si="5"/>
        <v>1424343.9036190473</v>
      </c>
    </row>
    <row r="19" spans="1:20" ht="15" x14ac:dyDescent="0.25">
      <c r="A19" s="1" t="s">
        <v>43</v>
      </c>
      <c r="B19" s="2" t="s">
        <v>44</v>
      </c>
      <c r="C19" s="2" t="s">
        <v>45</v>
      </c>
      <c r="D19" s="49">
        <f>VLOOKUP(A19,'Claims Data'!$A$3:$V$31,9,FALSE)</f>
        <v>4</v>
      </c>
      <c r="E19" s="47">
        <f>VLOOKUP(A19,'Reconciliation Data'!$A$3:$M$31,13,FALSE)</f>
        <v>2451</v>
      </c>
      <c r="F19" s="47">
        <f>VLOOKUP(A19,'Claims Data'!$A$3:$V$31,4,FALSE)</f>
        <v>302</v>
      </c>
      <c r="G19" s="47">
        <f>VLOOKUP(A19,'Claims Data'!$A$3:$V$31,15,FALSE)</f>
        <v>0</v>
      </c>
      <c r="H19" s="47">
        <f t="shared" si="0"/>
        <v>2149</v>
      </c>
      <c r="I19" s="50">
        <f t="shared" si="1"/>
        <v>2455</v>
      </c>
      <c r="J19" s="93"/>
      <c r="K19" s="39">
        <f>VLOOKUP(A19,'Hospital Specific Rev Neutral'!$A$7:$P$35,16,FALSE)</f>
        <v>13465845.093600001</v>
      </c>
      <c r="L19" s="34">
        <f>VLOOKUP(A19,'BH and Rehab payments'!$A$7:$U$35,7,FALSE)</f>
        <v>1690650</v>
      </c>
      <c r="M19" s="34">
        <f>VLOOKUP(A19,'BH and Rehab payments'!$A$7:$U$35,16,FALSE)</f>
        <v>31200</v>
      </c>
      <c r="N19" s="34">
        <f>VLOOKUP(A19,'BH and Rehab payments'!$A$7:$U$35,21,FALSE)</f>
        <v>0</v>
      </c>
      <c r="O19" s="34">
        <v>19565.740000000002</v>
      </c>
      <c r="P19" s="34">
        <f t="shared" si="2"/>
        <v>11724429.353600001</v>
      </c>
      <c r="Q19" s="83">
        <f t="shared" si="3"/>
        <v>4.7619047619047672E-2</v>
      </c>
      <c r="R19" s="37">
        <f t="shared" si="4"/>
        <v>558306.15969523881</v>
      </c>
      <c r="S19" s="93"/>
      <c r="T19" s="42">
        <f t="shared" si="5"/>
        <v>11166123.193904761</v>
      </c>
    </row>
    <row r="20" spans="1:20" ht="15" x14ac:dyDescent="0.25">
      <c r="A20" s="1" t="s">
        <v>46</v>
      </c>
      <c r="B20" s="2" t="s">
        <v>47</v>
      </c>
      <c r="C20" s="2" t="s">
        <v>48</v>
      </c>
      <c r="D20" s="49">
        <f>VLOOKUP(A20,'Claims Data'!$A$3:$V$31,9,FALSE)</f>
        <v>1</v>
      </c>
      <c r="E20" s="47">
        <f>VLOOKUP(A20,'Reconciliation Data'!$A$3:$M$31,13,FALSE)</f>
        <v>1714</v>
      </c>
      <c r="F20" s="47">
        <f>VLOOKUP(A20,'Claims Data'!$A$3:$V$31,4,FALSE)</f>
        <v>142</v>
      </c>
      <c r="G20" s="47">
        <f>VLOOKUP(A20,'Claims Data'!$A$3:$V$31,15,FALSE)</f>
        <v>0</v>
      </c>
      <c r="H20" s="47">
        <f t="shared" si="0"/>
        <v>1572</v>
      </c>
      <c r="I20" s="50">
        <f t="shared" si="1"/>
        <v>1715</v>
      </c>
      <c r="J20" s="93"/>
      <c r="K20" s="39">
        <f>VLOOKUP(A20,'Hospital Specific Rev Neutral'!$A$7:$P$35,16,FALSE)</f>
        <v>7967199.1711999997</v>
      </c>
      <c r="L20" s="34">
        <f>VLOOKUP(A20,'BH and Rehab payments'!$A$7:$U$35,7,FALSE)</f>
        <v>1115400</v>
      </c>
      <c r="M20" s="34">
        <f>VLOOKUP(A20,'BH and Rehab payments'!$A$7:$U$35,16,FALSE)</f>
        <v>3900</v>
      </c>
      <c r="N20" s="34">
        <f>VLOOKUP(A20,'BH and Rehab payments'!$A$7:$U$35,21,FALSE)</f>
        <v>0</v>
      </c>
      <c r="O20" s="34">
        <v>13548.85</v>
      </c>
      <c r="P20" s="34">
        <f t="shared" si="2"/>
        <v>6834350.3212000001</v>
      </c>
      <c r="Q20" s="83">
        <f t="shared" si="3"/>
        <v>4.7619047619047672E-2</v>
      </c>
      <c r="R20" s="37">
        <f t="shared" si="4"/>
        <v>325445.25339047657</v>
      </c>
      <c r="S20" s="93"/>
      <c r="T20" s="42">
        <f t="shared" si="5"/>
        <v>6508905.067809524</v>
      </c>
    </row>
    <row r="21" spans="1:20" ht="15" x14ac:dyDescent="0.25">
      <c r="A21" s="1" t="s">
        <v>49</v>
      </c>
      <c r="B21" s="2" t="s">
        <v>50</v>
      </c>
      <c r="C21" s="2" t="s">
        <v>51</v>
      </c>
      <c r="D21" s="49">
        <f>VLOOKUP(A21,'Claims Data'!$A$3:$V$31,9,FALSE)</f>
        <v>0</v>
      </c>
      <c r="E21" s="47">
        <f>VLOOKUP(A21,'Reconciliation Data'!$A$3:$M$31,13,FALSE)</f>
        <v>371</v>
      </c>
      <c r="F21" s="47">
        <f>VLOOKUP(A21,'Claims Data'!$A$3:$V$31,4,FALSE)</f>
        <v>39</v>
      </c>
      <c r="G21" s="47">
        <f>VLOOKUP(A21,'Claims Data'!$A$3:$V$31,15,FALSE)</f>
        <v>0</v>
      </c>
      <c r="H21" s="47">
        <f t="shared" si="0"/>
        <v>332</v>
      </c>
      <c r="I21" s="50">
        <f t="shared" si="1"/>
        <v>371</v>
      </c>
      <c r="J21" s="93"/>
      <c r="K21" s="39">
        <f>VLOOKUP(A21,'Hospital Specific Rev Neutral'!$A$7:$P$35,16,FALSE)</f>
        <v>2484920.2192000002</v>
      </c>
      <c r="L21" s="34">
        <f>VLOOKUP(A21,'BH and Rehab payments'!$A$7:$U$35,7,FALSE)</f>
        <v>171600</v>
      </c>
      <c r="M21" s="34">
        <f>VLOOKUP(A21,'BH and Rehab payments'!$A$7:$U$35,16,FALSE)</f>
        <v>0</v>
      </c>
      <c r="N21" s="34">
        <f>VLOOKUP(A21,'BH and Rehab payments'!$A$7:$U$35,21,FALSE)</f>
        <v>0</v>
      </c>
      <c r="O21" s="34">
        <v>83935.63</v>
      </c>
      <c r="P21" s="34">
        <f t="shared" si="2"/>
        <v>2229384.5892000003</v>
      </c>
      <c r="Q21" s="83">
        <f t="shared" si="3"/>
        <v>4.7619047619047672E-2</v>
      </c>
      <c r="R21" s="37">
        <f t="shared" si="4"/>
        <v>106161.17091428585</v>
      </c>
      <c r="S21" s="93"/>
      <c r="T21" s="42">
        <f t="shared" si="5"/>
        <v>2123223.4182857145</v>
      </c>
    </row>
    <row r="22" spans="1:20" ht="15" x14ac:dyDescent="0.25">
      <c r="A22" s="3" t="s">
        <v>52</v>
      </c>
      <c r="B22" s="4" t="s">
        <v>53</v>
      </c>
      <c r="C22" s="4" t="s">
        <v>54</v>
      </c>
      <c r="D22" s="51">
        <f>VLOOKUP(A22,'Claims Data'!$A$3:$V$31,9,FALSE)</f>
        <v>0</v>
      </c>
      <c r="E22" s="48">
        <f>VLOOKUP(A22,'Reconciliation Data'!$A$3:$M$31,13,FALSE)</f>
        <v>219</v>
      </c>
      <c r="F22" s="48">
        <f>VLOOKUP(A22,'Claims Data'!$A$3:$V$31,4,FALSE)</f>
        <v>6</v>
      </c>
      <c r="G22" s="48">
        <f>VLOOKUP(A22,'Claims Data'!$A$3:$V$31,15,FALSE)</f>
        <v>0</v>
      </c>
      <c r="H22" s="48">
        <f t="shared" si="0"/>
        <v>213</v>
      </c>
      <c r="I22" s="52">
        <f t="shared" si="1"/>
        <v>219</v>
      </c>
      <c r="J22" s="93"/>
      <c r="K22" s="40">
        <f>VLOOKUP(A22,'Hospital Specific Rev Neutral'!$A$7:$P$35,16,FALSE)</f>
        <v>926398.84479999996</v>
      </c>
      <c r="L22" s="35">
        <f>VLOOKUP(A22,'BH and Rehab payments'!$A$7:$U$35,7,FALSE)</f>
        <v>48750</v>
      </c>
      <c r="M22" s="35">
        <f>VLOOKUP(A22,'BH and Rehab payments'!$A$7:$U$35,16,FALSE)</f>
        <v>0</v>
      </c>
      <c r="N22" s="35">
        <f>VLOOKUP(A22,'BH and Rehab payments'!$A$7:$U$35,21,FALSE)</f>
        <v>0</v>
      </c>
      <c r="O22" s="35">
        <v>0</v>
      </c>
      <c r="P22" s="35">
        <f t="shared" si="2"/>
        <v>877648.84479999996</v>
      </c>
      <c r="Q22" s="84">
        <f t="shared" si="3"/>
        <v>4.7619047619047672E-2</v>
      </c>
      <c r="R22" s="38">
        <f t="shared" si="4"/>
        <v>41792.802133333375</v>
      </c>
      <c r="S22" s="93"/>
      <c r="T22" s="43">
        <f t="shared" si="5"/>
        <v>835856.04266666656</v>
      </c>
    </row>
    <row r="23" spans="1:20" x14ac:dyDescent="0.3">
      <c r="A23" s="1" t="s">
        <v>55</v>
      </c>
      <c r="B23" s="2" t="s">
        <v>56</v>
      </c>
      <c r="C23" s="2" t="s">
        <v>57</v>
      </c>
      <c r="D23" s="49">
        <f>VLOOKUP(A23,'Claims Data'!$A$3:$V$31,9,FALSE)</f>
        <v>2</v>
      </c>
      <c r="E23" s="47">
        <f>VLOOKUP(A23,'Reconciliation Data'!$A$3:$M$31,13,FALSE)</f>
        <v>1794</v>
      </c>
      <c r="F23" s="47">
        <f>VLOOKUP(A23,'Claims Data'!$A$3:$V$31,4,FALSE)</f>
        <v>297</v>
      </c>
      <c r="G23" s="47">
        <f>VLOOKUP(A23,'Claims Data'!$A$3:$V$31,15,FALSE)</f>
        <v>0</v>
      </c>
      <c r="H23" s="47">
        <f t="shared" si="0"/>
        <v>1497</v>
      </c>
      <c r="I23" s="50">
        <f t="shared" si="1"/>
        <v>1796</v>
      </c>
      <c r="J23" s="93"/>
      <c r="K23" s="39">
        <f>VLOOKUP(A23,'Hospital Specific Rev Neutral'!$A$7:$P$35,16,FALSE)</f>
        <v>9598513.4252000004</v>
      </c>
      <c r="L23" s="34">
        <f>VLOOKUP(A23,'BH and Rehab payments'!$A$7:$U$35,7,FALSE)</f>
        <v>2158875</v>
      </c>
      <c r="M23" s="34">
        <f>VLOOKUP(A23,'BH and Rehab payments'!$A$7:$U$35,16,FALSE)</f>
        <v>12375</v>
      </c>
      <c r="N23" s="34">
        <f>VLOOKUP(A23,'BH and Rehab payments'!$A$7:$U$35,21,FALSE)</f>
        <v>0</v>
      </c>
      <c r="O23" s="34">
        <v>55164.85</v>
      </c>
      <c r="P23" s="34">
        <f t="shared" si="2"/>
        <v>7372098.5752000008</v>
      </c>
      <c r="Q23" s="83">
        <f t="shared" si="3"/>
        <v>4.7619047619047672E-2</v>
      </c>
      <c r="R23" s="37">
        <f t="shared" si="4"/>
        <v>351052.31310476235</v>
      </c>
      <c r="S23" s="93"/>
      <c r="T23" s="42">
        <f t="shared" si="5"/>
        <v>7021046.2620952381</v>
      </c>
    </row>
    <row r="24" spans="1:20" x14ac:dyDescent="0.3">
      <c r="A24" s="1" t="s">
        <v>58</v>
      </c>
      <c r="B24" s="2" t="s">
        <v>59</v>
      </c>
      <c r="C24" s="2" t="s">
        <v>60</v>
      </c>
      <c r="D24" s="49">
        <f>VLOOKUP(A24,'Claims Data'!$A$3:$V$31,9,FALSE)</f>
        <v>0</v>
      </c>
      <c r="E24" s="47">
        <f>VLOOKUP(A24,'Reconciliation Data'!$A$3:$M$31,13,FALSE)</f>
        <v>737</v>
      </c>
      <c r="F24" s="47">
        <f>VLOOKUP(A24,'Claims Data'!$A$3:$V$31,4,FALSE)</f>
        <v>4</v>
      </c>
      <c r="G24" s="47">
        <f>VLOOKUP(A24,'Claims Data'!$A$3:$V$31,15,FALSE)</f>
        <v>0</v>
      </c>
      <c r="H24" s="47">
        <f t="shared" si="0"/>
        <v>733</v>
      </c>
      <c r="I24" s="50">
        <f t="shared" si="1"/>
        <v>737</v>
      </c>
      <c r="J24" s="93"/>
      <c r="K24" s="39">
        <f>VLOOKUP(A24,'Hospital Specific Rev Neutral'!$A$7:$P$35,16,FALSE)</f>
        <v>3298906.9856000002</v>
      </c>
      <c r="L24" s="34">
        <f>VLOOKUP(A24,'BH and Rehab payments'!$A$7:$U$35,7,FALSE)</f>
        <v>18525</v>
      </c>
      <c r="M24" s="34">
        <f>VLOOKUP(A24,'BH and Rehab payments'!$A$7:$U$35,16,FALSE)</f>
        <v>0</v>
      </c>
      <c r="N24" s="34">
        <f>VLOOKUP(A24,'BH and Rehab payments'!$A$7:$U$35,21,FALSE)</f>
        <v>0</v>
      </c>
      <c r="O24" s="34">
        <v>0</v>
      </c>
      <c r="P24" s="34">
        <f t="shared" si="2"/>
        <v>3280381.9856000002</v>
      </c>
      <c r="Q24" s="83">
        <f t="shared" si="3"/>
        <v>4.7619047619047672E-2</v>
      </c>
      <c r="R24" s="37">
        <f t="shared" si="4"/>
        <v>156208.66598095256</v>
      </c>
      <c r="S24" s="93"/>
      <c r="T24" s="42">
        <f t="shared" si="5"/>
        <v>3124173.3196190475</v>
      </c>
    </row>
    <row r="25" spans="1:20" x14ac:dyDescent="0.3">
      <c r="A25" s="1" t="s">
        <v>61</v>
      </c>
      <c r="B25" s="2" t="s">
        <v>10</v>
      </c>
      <c r="C25" s="2" t="s">
        <v>62</v>
      </c>
      <c r="D25" s="49">
        <f>VLOOKUP(A25,'Claims Data'!$A$3:$V$31,9,FALSE)</f>
        <v>626</v>
      </c>
      <c r="E25" s="47">
        <f>VLOOKUP(A25,'Reconciliation Data'!$A$3:$M$31,13,FALSE)</f>
        <v>15306</v>
      </c>
      <c r="F25" s="47">
        <f>VLOOKUP(A25,'Claims Data'!$A$3:$V$31,4,FALSE)</f>
        <v>1460</v>
      </c>
      <c r="G25" s="47">
        <f>VLOOKUP(A25,'Claims Data'!$A$3:$V$31,15,FALSE)</f>
        <v>1</v>
      </c>
      <c r="H25" s="47">
        <f t="shared" si="0"/>
        <v>13845</v>
      </c>
      <c r="I25" s="50">
        <f t="shared" si="1"/>
        <v>15932</v>
      </c>
      <c r="J25" s="93"/>
      <c r="K25" s="39">
        <f>VLOOKUP(A25,'Hospital Specific Rev Neutral'!$A$7:$P$35,16,FALSE)</f>
        <v>120526861.38480002</v>
      </c>
      <c r="L25" s="34">
        <f>VLOOKUP(A25,'BH and Rehab payments'!$A$7:$U$35,7,FALSE)</f>
        <v>12202050</v>
      </c>
      <c r="M25" s="34">
        <f>VLOOKUP(A25,'BH and Rehab payments'!$A$7:$U$35,16,FALSE)</f>
        <v>6435765</v>
      </c>
      <c r="N25" s="34">
        <f>VLOOKUP(A25,'BH and Rehab payments'!$A$7:$U$35,21,FALSE)</f>
        <v>8220</v>
      </c>
      <c r="O25" s="34">
        <v>11848476.199999999</v>
      </c>
      <c r="P25" s="34">
        <f t="shared" si="2"/>
        <v>90032350.184800014</v>
      </c>
      <c r="Q25" s="83">
        <f t="shared" si="3"/>
        <v>4.7619047619047672E-2</v>
      </c>
      <c r="R25" s="37">
        <f t="shared" si="4"/>
        <v>4287254.7707047677</v>
      </c>
      <c r="S25" s="93"/>
      <c r="T25" s="42">
        <f t="shared" si="5"/>
        <v>85745095.414095253</v>
      </c>
    </row>
    <row r="26" spans="1:20" x14ac:dyDescent="0.3">
      <c r="A26" s="1" t="s">
        <v>63</v>
      </c>
      <c r="B26" s="2" t="s">
        <v>64</v>
      </c>
      <c r="C26" s="2" t="s">
        <v>65</v>
      </c>
      <c r="D26" s="49">
        <f>VLOOKUP(A26,'Claims Data'!$A$3:$V$31,9,FALSE)</f>
        <v>4</v>
      </c>
      <c r="E26" s="47">
        <f>VLOOKUP(A26,'Reconciliation Data'!$A$3:$M$31,13,FALSE)</f>
        <v>1753</v>
      </c>
      <c r="F26" s="47">
        <f>VLOOKUP(A26,'Claims Data'!$A$3:$V$31,4,FALSE)</f>
        <v>193</v>
      </c>
      <c r="G26" s="47">
        <f>VLOOKUP(A26,'Claims Data'!$A$3:$V$31,15,FALSE)</f>
        <v>0</v>
      </c>
      <c r="H26" s="47">
        <f t="shared" si="0"/>
        <v>1560</v>
      </c>
      <c r="I26" s="50">
        <f t="shared" si="1"/>
        <v>1757</v>
      </c>
      <c r="J26" s="93"/>
      <c r="K26" s="39">
        <f>VLOOKUP(A26,'Hospital Specific Rev Neutral'!$A$7:$P$35,16,FALSE)</f>
        <v>8519408.4768000003</v>
      </c>
      <c r="L26" s="34">
        <f>VLOOKUP(A26,'BH and Rehab payments'!$A$7:$U$35,7,FALSE)</f>
        <v>1401075</v>
      </c>
      <c r="M26" s="34">
        <f>VLOOKUP(A26,'BH and Rehab payments'!$A$7:$U$35,16,FALSE)</f>
        <v>22425</v>
      </c>
      <c r="N26" s="34">
        <f>VLOOKUP(A26,'BH and Rehab payments'!$A$7:$U$35,21,FALSE)</f>
        <v>0</v>
      </c>
      <c r="O26" s="34">
        <v>253248.45</v>
      </c>
      <c r="P26" s="34">
        <f t="shared" si="2"/>
        <v>6842660.0268000001</v>
      </c>
      <c r="Q26" s="83">
        <f t="shared" si="3"/>
        <v>4.7619047619047672E-2</v>
      </c>
      <c r="R26" s="37">
        <f t="shared" si="4"/>
        <v>325840.95365714323</v>
      </c>
      <c r="S26" s="93"/>
      <c r="T26" s="42">
        <f t="shared" si="5"/>
        <v>6516819.0731428573</v>
      </c>
    </row>
    <row r="27" spans="1:20" x14ac:dyDescent="0.3">
      <c r="A27" s="3" t="s">
        <v>66</v>
      </c>
      <c r="B27" s="4" t="s">
        <v>67</v>
      </c>
      <c r="C27" s="4" t="s">
        <v>68</v>
      </c>
      <c r="D27" s="51">
        <f>VLOOKUP(A27,'Claims Data'!$A$3:$V$31,9,FALSE)</f>
        <v>523</v>
      </c>
      <c r="E27" s="48">
        <f>VLOOKUP(A27,'Reconciliation Data'!$A$3:$M$31,13,FALSE)</f>
        <v>6186</v>
      </c>
      <c r="F27" s="48">
        <f>VLOOKUP(A27,'Claims Data'!$A$3:$V$31,4,FALSE)</f>
        <v>984</v>
      </c>
      <c r="G27" s="48">
        <f>VLOOKUP(A27,'Claims Data'!$A$3:$V$31,15,FALSE)</f>
        <v>0</v>
      </c>
      <c r="H27" s="48">
        <f t="shared" si="0"/>
        <v>5202</v>
      </c>
      <c r="I27" s="52">
        <f t="shared" si="1"/>
        <v>6709</v>
      </c>
      <c r="J27" s="93"/>
      <c r="K27" s="40">
        <f>VLOOKUP(A27,'Hospital Specific Rev Neutral'!$A$7:$P$35,16,FALSE)</f>
        <v>48766832.100110002</v>
      </c>
      <c r="L27" s="35">
        <f>VLOOKUP(A27,'BH and Rehab payments'!$A$7:$U$35,7,FALSE)</f>
        <v>9074100</v>
      </c>
      <c r="M27" s="35">
        <f>VLOOKUP(A27,'BH and Rehab payments'!$A$7:$U$35,16,FALSE)</f>
        <v>3228225</v>
      </c>
      <c r="N27" s="35">
        <f>VLOOKUP(A27,'BH and Rehab payments'!$A$7:$U$35,21,FALSE)</f>
        <v>0</v>
      </c>
      <c r="O27" s="35">
        <v>692474.53</v>
      </c>
      <c r="P27" s="35">
        <f t="shared" si="2"/>
        <v>35772032.570110001</v>
      </c>
      <c r="Q27" s="84">
        <f t="shared" si="3"/>
        <v>4.7619047619047672E-2</v>
      </c>
      <c r="R27" s="38">
        <f t="shared" si="4"/>
        <v>1703430.1223861924</v>
      </c>
      <c r="S27" s="93"/>
      <c r="T27" s="43">
        <f t="shared" si="5"/>
        <v>34068602.447723806</v>
      </c>
    </row>
    <row r="28" spans="1:20" x14ac:dyDescent="0.3">
      <c r="A28" s="1" t="s">
        <v>69</v>
      </c>
      <c r="B28" s="2" t="s">
        <v>70</v>
      </c>
      <c r="C28" s="2" t="s">
        <v>71</v>
      </c>
      <c r="D28" s="49">
        <f>VLOOKUP(A28,'Claims Data'!$A$3:$V$31,9,FALSE)</f>
        <v>86</v>
      </c>
      <c r="E28" s="47">
        <f>VLOOKUP(A28,'Reconciliation Data'!$A$3:$M$31,13,FALSE)</f>
        <v>1458</v>
      </c>
      <c r="F28" s="47">
        <f>VLOOKUP(A28,'Claims Data'!$A$3:$V$31,4,FALSE)</f>
        <v>382</v>
      </c>
      <c r="G28" s="47">
        <f>VLOOKUP(A28,'Claims Data'!$A$3:$V$31,15,FALSE)</f>
        <v>0</v>
      </c>
      <c r="H28" s="47">
        <f t="shared" si="0"/>
        <v>1076</v>
      </c>
      <c r="I28" s="50">
        <f t="shared" si="1"/>
        <v>1544</v>
      </c>
      <c r="J28" s="93"/>
      <c r="K28" s="39">
        <f>VLOOKUP(A28,'Hospital Specific Rev Neutral'!$A$7:$P$35,16,FALSE)</f>
        <v>8454338.1488000005</v>
      </c>
      <c r="L28" s="34">
        <f>VLOOKUP(A28,'BH and Rehab payments'!$A$7:$U$35,7,FALSE)</f>
        <v>2459925</v>
      </c>
      <c r="M28" s="34">
        <f>VLOOKUP(A28,'BH and Rehab payments'!$A$7:$U$35,16,FALSE)</f>
        <v>561600</v>
      </c>
      <c r="N28" s="34">
        <f>VLOOKUP(A28,'BH and Rehab payments'!$A$7:$U$35,21,FALSE)</f>
        <v>0</v>
      </c>
      <c r="O28" s="34">
        <v>8069.31</v>
      </c>
      <c r="P28" s="34">
        <f t="shared" si="2"/>
        <v>5424743.838800001</v>
      </c>
      <c r="Q28" s="83">
        <f t="shared" si="3"/>
        <v>4.7619047619047672E-2</v>
      </c>
      <c r="R28" s="37">
        <f t="shared" si="4"/>
        <v>258321.13518095273</v>
      </c>
      <c r="S28" s="93"/>
      <c r="T28" s="42">
        <f t="shared" si="5"/>
        <v>5166422.703619048</v>
      </c>
    </row>
    <row r="29" spans="1:20" x14ac:dyDescent="0.3">
      <c r="A29" s="1" t="s">
        <v>72</v>
      </c>
      <c r="B29" s="2" t="s">
        <v>73</v>
      </c>
      <c r="C29" s="2" t="s">
        <v>74</v>
      </c>
      <c r="D29" s="49">
        <f>VLOOKUP(A29,'Claims Data'!$A$3:$V$31,9,FALSE)</f>
        <v>200</v>
      </c>
      <c r="E29" s="47">
        <f>VLOOKUP(A29,'Reconciliation Data'!$A$3:$M$31,13,FALSE)</f>
        <v>3501</v>
      </c>
      <c r="F29" s="47">
        <f>VLOOKUP(A29,'Claims Data'!$A$3:$V$31,4,FALSE)</f>
        <v>795</v>
      </c>
      <c r="G29" s="47">
        <f>VLOOKUP(A29,'Claims Data'!$A$3:$V$31,15,FALSE)</f>
        <v>14</v>
      </c>
      <c r="H29" s="47">
        <f t="shared" si="0"/>
        <v>2692</v>
      </c>
      <c r="I29" s="50">
        <f t="shared" si="1"/>
        <v>3701</v>
      </c>
      <c r="J29" s="93"/>
      <c r="K29" s="39">
        <f>VLOOKUP(A29,'Hospital Specific Rev Neutral'!$A$7:$P$35,16,FALSE)</f>
        <v>22848800.581599995</v>
      </c>
      <c r="L29" s="34">
        <f>VLOOKUP(A29,'BH and Rehab payments'!$A$7:$U$35,7,FALSE)</f>
        <v>6331650</v>
      </c>
      <c r="M29" s="34">
        <f>VLOOKUP(A29,'BH and Rehab payments'!$A$7:$U$35,16,FALSE)</f>
        <v>2577363.75</v>
      </c>
      <c r="N29" s="34">
        <f>VLOOKUP(A29,'BH and Rehab payments'!$A$7:$U$35,21,FALSE)</f>
        <v>416480</v>
      </c>
      <c r="O29" s="34">
        <v>100687.06</v>
      </c>
      <c r="P29" s="34">
        <f t="shared" si="2"/>
        <v>13422619.771599995</v>
      </c>
      <c r="Q29" s="83">
        <f t="shared" si="3"/>
        <v>4.7619047619047672E-2</v>
      </c>
      <c r="R29" s="37">
        <f t="shared" si="4"/>
        <v>639172.37007619091</v>
      </c>
      <c r="S29" s="93"/>
      <c r="T29" s="42">
        <f t="shared" si="5"/>
        <v>12783447.401523804</v>
      </c>
    </row>
    <row r="30" spans="1:20" x14ac:dyDescent="0.3">
      <c r="A30" s="1" t="s">
        <v>75</v>
      </c>
      <c r="B30" s="2" t="s">
        <v>76</v>
      </c>
      <c r="C30" s="2" t="s">
        <v>77</v>
      </c>
      <c r="D30" s="49">
        <f>VLOOKUP(A30,'Claims Data'!$A$3:$V$31,9,FALSE)</f>
        <v>6</v>
      </c>
      <c r="E30" s="47">
        <f>VLOOKUP(A30,'Reconciliation Data'!$A$3:$M$31,13,FALSE)</f>
        <v>1198</v>
      </c>
      <c r="F30" s="47">
        <f>VLOOKUP(A30,'Claims Data'!$A$3:$V$31,4,FALSE)</f>
        <v>352</v>
      </c>
      <c r="G30" s="47">
        <f>VLOOKUP(A30,'Claims Data'!$A$3:$V$31,15,FALSE)</f>
        <v>0</v>
      </c>
      <c r="H30" s="47">
        <f t="shared" si="0"/>
        <v>846</v>
      </c>
      <c r="I30" s="50">
        <f t="shared" si="1"/>
        <v>1204</v>
      </c>
      <c r="J30" s="93"/>
      <c r="K30" s="39">
        <f>VLOOKUP(A30,'Hospital Specific Rev Neutral'!$A$7:$P$35,16,FALSE)</f>
        <v>4908471.4568000007</v>
      </c>
      <c r="L30" s="34">
        <f>VLOOKUP(A30,'BH and Rehab payments'!$A$7:$U$35,7,FALSE)</f>
        <v>1538550</v>
      </c>
      <c r="M30" s="34">
        <f>VLOOKUP(A30,'BH and Rehab payments'!$A$7:$U$35,16,FALSE)</f>
        <v>21450</v>
      </c>
      <c r="N30" s="34">
        <f>VLOOKUP(A30,'BH and Rehab payments'!$A$7:$U$35,21,FALSE)</f>
        <v>0</v>
      </c>
      <c r="O30" s="34">
        <v>0</v>
      </c>
      <c r="P30" s="34">
        <f t="shared" si="2"/>
        <v>3348471.4568000007</v>
      </c>
      <c r="Q30" s="83">
        <f t="shared" si="3"/>
        <v>4.7619047619047672E-2</v>
      </c>
      <c r="R30" s="37">
        <f t="shared" si="4"/>
        <v>159451.02175238117</v>
      </c>
      <c r="S30" s="93"/>
      <c r="T30" s="42">
        <f t="shared" si="5"/>
        <v>3189020.4350476195</v>
      </c>
    </row>
    <row r="31" spans="1:20" x14ac:dyDescent="0.3">
      <c r="A31" s="1" t="s">
        <v>78</v>
      </c>
      <c r="B31" s="2" t="s">
        <v>79</v>
      </c>
      <c r="C31" s="2" t="s">
        <v>80</v>
      </c>
      <c r="D31" s="49">
        <f>VLOOKUP(A31,'Claims Data'!$A$3:$V$31,9,FALSE)</f>
        <v>2</v>
      </c>
      <c r="E31" s="47">
        <f>VLOOKUP(A31,'Reconciliation Data'!$A$3:$M$31,13,FALSE)</f>
        <v>988</v>
      </c>
      <c r="F31" s="47">
        <f>VLOOKUP(A31,'Claims Data'!$A$3:$V$31,4,FALSE)</f>
        <v>148</v>
      </c>
      <c r="G31" s="47">
        <f>VLOOKUP(A31,'Claims Data'!$A$3:$V$31,15,FALSE)</f>
        <v>0</v>
      </c>
      <c r="H31" s="47">
        <f t="shared" si="0"/>
        <v>840</v>
      </c>
      <c r="I31" s="50">
        <f t="shared" si="1"/>
        <v>990</v>
      </c>
      <c r="J31" s="93"/>
      <c r="K31" s="39">
        <f>VLOOKUP(A31,'Hospital Specific Rev Neutral'!$A$7:$P$35,16,FALSE)</f>
        <v>4664740.92</v>
      </c>
      <c r="L31" s="34">
        <f>VLOOKUP(A31,'BH and Rehab payments'!$A$7:$U$35,7,FALSE)</f>
        <v>872625</v>
      </c>
      <c r="M31" s="34">
        <f>VLOOKUP(A31,'BH and Rehab payments'!$A$7:$U$35,16,FALSE)</f>
        <v>9750</v>
      </c>
      <c r="N31" s="34">
        <f>VLOOKUP(A31,'BH and Rehab payments'!$A$7:$U$35,21,FALSE)</f>
        <v>0</v>
      </c>
      <c r="O31" s="34">
        <v>0</v>
      </c>
      <c r="P31" s="34">
        <f t="shared" si="2"/>
        <v>3782365.92</v>
      </c>
      <c r="Q31" s="83">
        <f t="shared" si="3"/>
        <v>4.7619047619047672E-2</v>
      </c>
      <c r="R31" s="37">
        <f t="shared" si="4"/>
        <v>180112.66285714306</v>
      </c>
      <c r="S31" s="93"/>
      <c r="T31" s="42">
        <f t="shared" si="5"/>
        <v>3602253.2571428567</v>
      </c>
    </row>
    <row r="32" spans="1:20" x14ac:dyDescent="0.3">
      <c r="A32" s="3" t="s">
        <v>81</v>
      </c>
      <c r="B32" s="4" t="s">
        <v>41</v>
      </c>
      <c r="C32" s="4" t="s">
        <v>82</v>
      </c>
      <c r="D32" s="51">
        <f>VLOOKUP(A32,'Claims Data'!$A$3:$V$31,9,FALSE)</f>
        <v>4</v>
      </c>
      <c r="E32" s="48">
        <f>VLOOKUP(A32,'Reconciliation Data'!$A$3:$M$31,13,FALSE)</f>
        <v>2474</v>
      </c>
      <c r="F32" s="48">
        <f>VLOOKUP(A32,'Claims Data'!$A$3:$V$31,4,FALSE)</f>
        <v>225</v>
      </c>
      <c r="G32" s="48">
        <f>VLOOKUP(A32,'Claims Data'!$A$3:$V$31,15,FALSE)</f>
        <v>20</v>
      </c>
      <c r="H32" s="48">
        <f t="shared" si="0"/>
        <v>2229</v>
      </c>
      <c r="I32" s="52">
        <f t="shared" si="1"/>
        <v>2478</v>
      </c>
      <c r="J32" s="93"/>
      <c r="K32" s="40">
        <f>VLOOKUP(A32,'Hospital Specific Rev Neutral'!$A$7:$P$35,16,FALSE)</f>
        <v>15056629.681600001</v>
      </c>
      <c r="L32" s="35">
        <f>VLOOKUP(A32,'BH and Rehab payments'!$A$7:$U$35,7,FALSE)</f>
        <v>1679925</v>
      </c>
      <c r="M32" s="35">
        <f>VLOOKUP(A32,'BH and Rehab payments'!$A$7:$U$35,16,FALSE)</f>
        <v>40950</v>
      </c>
      <c r="N32" s="35">
        <f>VLOOKUP(A32,'BH and Rehab payments'!$A$7:$U$35,21,FALSE)</f>
        <v>437030</v>
      </c>
      <c r="O32" s="35">
        <v>358081.57</v>
      </c>
      <c r="P32" s="35">
        <f t="shared" si="2"/>
        <v>12540643.1116</v>
      </c>
      <c r="Q32" s="84">
        <f t="shared" si="3"/>
        <v>4.7619047619047672E-2</v>
      </c>
      <c r="R32" s="38">
        <f t="shared" si="4"/>
        <v>597173.48150476255</v>
      </c>
      <c r="S32" s="93"/>
      <c r="T32" s="43">
        <f t="shared" si="5"/>
        <v>11943469.630095238</v>
      </c>
    </row>
    <row r="33" spans="1:20" x14ac:dyDescent="0.3">
      <c r="A33" s="1" t="s">
        <v>83</v>
      </c>
      <c r="B33" s="2" t="s">
        <v>84</v>
      </c>
      <c r="C33" s="2" t="s">
        <v>85</v>
      </c>
      <c r="D33" s="49">
        <f>VLOOKUP(A33,'Claims Data'!$A$3:$V$31,9,FALSE)</f>
        <v>2</v>
      </c>
      <c r="E33" s="47">
        <f>VLOOKUP(A33,'Reconciliation Data'!$A$3:$M$31,13,FALSE)</f>
        <v>2318</v>
      </c>
      <c r="F33" s="47">
        <f>VLOOKUP(A33,'Claims Data'!$A$3:$V$31,4,FALSE)</f>
        <v>195</v>
      </c>
      <c r="G33" s="47">
        <f>VLOOKUP(A33,'Claims Data'!$A$3:$V$31,15,FALSE)</f>
        <v>6</v>
      </c>
      <c r="H33" s="47">
        <f t="shared" si="0"/>
        <v>2117</v>
      </c>
      <c r="I33" s="50">
        <f t="shared" si="1"/>
        <v>2320</v>
      </c>
      <c r="J33" s="93"/>
      <c r="K33" s="39">
        <f>VLOOKUP(A33,'Hospital Specific Rev Neutral'!$A$7:$P$35,16,FALSE)</f>
        <v>15076385.2444</v>
      </c>
      <c r="L33" s="34">
        <f>VLOOKUP(A33,'BH and Rehab payments'!$A$7:$U$35,7,FALSE)</f>
        <v>1144125</v>
      </c>
      <c r="M33" s="34">
        <f>VLOOKUP(A33,'BH and Rehab payments'!$A$7:$U$35,16,FALSE)</f>
        <v>16875</v>
      </c>
      <c r="N33" s="34">
        <f>VLOOKUP(A33,'BH and Rehab payments'!$A$7:$U$35,21,FALSE)</f>
        <v>182210</v>
      </c>
      <c r="O33" s="34">
        <v>276047.33</v>
      </c>
      <c r="P33" s="34">
        <f t="shared" si="2"/>
        <v>13457127.9144</v>
      </c>
      <c r="Q33" s="83">
        <f t="shared" si="3"/>
        <v>4.7619047619047672E-2</v>
      </c>
      <c r="R33" s="37">
        <f t="shared" si="4"/>
        <v>640815.61497142934</v>
      </c>
      <c r="S33" s="93"/>
      <c r="T33" s="42">
        <f t="shared" si="5"/>
        <v>12816312.299428571</v>
      </c>
    </row>
    <row r="34" spans="1:20" x14ac:dyDescent="0.3">
      <c r="A34" s="1" t="s">
        <v>86</v>
      </c>
      <c r="B34" s="2" t="s">
        <v>87</v>
      </c>
      <c r="C34" s="2" t="s">
        <v>88</v>
      </c>
      <c r="D34" s="49">
        <f>VLOOKUP(A34,'Claims Data'!$A$3:$V$31,9,FALSE)</f>
        <v>9</v>
      </c>
      <c r="E34" s="47">
        <f>VLOOKUP(A34,'Reconciliation Data'!$A$3:$M$31,13,FALSE)</f>
        <v>3325</v>
      </c>
      <c r="F34" s="47">
        <f>VLOOKUP(A34,'Claims Data'!$A$3:$V$31,4,FALSE)</f>
        <v>348</v>
      </c>
      <c r="G34" s="47">
        <f>VLOOKUP(A34,'Claims Data'!$A$3:$V$31,15,FALSE)</f>
        <v>0</v>
      </c>
      <c r="H34" s="47">
        <f t="shared" si="0"/>
        <v>2977</v>
      </c>
      <c r="I34" s="50">
        <f t="shared" si="1"/>
        <v>3334</v>
      </c>
      <c r="J34" s="93"/>
      <c r="K34" s="39">
        <f>VLOOKUP(A34,'Hospital Specific Rev Neutral'!$A$7:$P$35,16,FALSE)</f>
        <v>15649406.832800001</v>
      </c>
      <c r="L34" s="34">
        <f>VLOOKUP(A34,'BH and Rehab payments'!$A$7:$U$35,7,FALSE)</f>
        <v>2638350</v>
      </c>
      <c r="M34" s="34">
        <f>VLOOKUP(A34,'BH and Rehab payments'!$A$7:$U$35,16,FALSE)</f>
        <v>52650</v>
      </c>
      <c r="N34" s="34">
        <f>VLOOKUP(A34,'BH and Rehab payments'!$A$7:$U$35,21,FALSE)</f>
        <v>0</v>
      </c>
      <c r="O34" s="34">
        <v>250705.83</v>
      </c>
      <c r="P34" s="34">
        <f t="shared" si="2"/>
        <v>12707701.002800001</v>
      </c>
      <c r="Q34" s="83">
        <f t="shared" si="3"/>
        <v>4.7619047619047672E-2</v>
      </c>
      <c r="R34" s="37">
        <f t="shared" si="4"/>
        <v>605128.61918095313</v>
      </c>
      <c r="S34" s="93"/>
      <c r="T34" s="42">
        <f t="shared" si="5"/>
        <v>12102572.383619048</v>
      </c>
    </row>
    <row r="35" spans="1:20" x14ac:dyDescent="0.3">
      <c r="A35" s="1" t="s">
        <v>89</v>
      </c>
      <c r="B35" s="2" t="s">
        <v>90</v>
      </c>
      <c r="C35" s="2" t="s">
        <v>91</v>
      </c>
      <c r="D35" s="49">
        <f>VLOOKUP(A35,'Claims Data'!$A$3:$V$31,9,FALSE)</f>
        <v>0</v>
      </c>
      <c r="E35" s="47">
        <f>VLOOKUP(A35,'Reconciliation Data'!$A$3:$M$31,13,FALSE)</f>
        <v>1609</v>
      </c>
      <c r="F35" s="47">
        <f>VLOOKUP(A35,'Claims Data'!$A$3:$V$31,4,FALSE)</f>
        <v>232</v>
      </c>
      <c r="G35" s="47">
        <f>VLOOKUP(A35,'Claims Data'!$A$3:$V$31,15,FALSE)</f>
        <v>0</v>
      </c>
      <c r="H35" s="47">
        <f t="shared" si="0"/>
        <v>1377</v>
      </c>
      <c r="I35" s="50">
        <f t="shared" si="1"/>
        <v>1609</v>
      </c>
      <c r="J35" s="93"/>
      <c r="K35" s="39">
        <f>VLOOKUP(A35,'Hospital Specific Rev Neutral'!$A$7:$P$35,16,FALSE)</f>
        <v>19108625.643199999</v>
      </c>
      <c r="L35" s="34">
        <f>VLOOKUP(A35,'BH and Rehab payments'!$A$7:$U$35,7,FALSE)</f>
        <v>1856250</v>
      </c>
      <c r="M35" s="34">
        <f>VLOOKUP(A35,'BH and Rehab payments'!$A$7:$U$35,16,FALSE)</f>
        <v>0</v>
      </c>
      <c r="N35" s="34">
        <f>VLOOKUP(A35,'BH and Rehab payments'!$A$7:$U$35,21,FALSE)</f>
        <v>0</v>
      </c>
      <c r="O35" s="34">
        <v>494316.93</v>
      </c>
      <c r="P35" s="34">
        <f t="shared" si="2"/>
        <v>16758058.713199999</v>
      </c>
      <c r="Q35" s="83">
        <f t="shared" si="3"/>
        <v>4.7619047619047672E-2</v>
      </c>
      <c r="R35" s="37">
        <f t="shared" si="4"/>
        <v>798002.79586666753</v>
      </c>
      <c r="S35" s="93"/>
      <c r="T35" s="42">
        <f t="shared" si="5"/>
        <v>15960055.917333331</v>
      </c>
    </row>
    <row r="36" spans="1:20" x14ac:dyDescent="0.3">
      <c r="A36" s="3" t="s">
        <v>92</v>
      </c>
      <c r="B36" s="4" t="s">
        <v>93</v>
      </c>
      <c r="C36" s="4" t="s">
        <v>94</v>
      </c>
      <c r="D36" s="51">
        <f>VLOOKUP(A36,'Claims Data'!$A$3:$V$31,9,FALSE)</f>
        <v>16</v>
      </c>
      <c r="E36" s="48">
        <f>VLOOKUP(A36,'Reconciliation Data'!$A$3:$M$31,13,FALSE)</f>
        <v>2461</v>
      </c>
      <c r="F36" s="48">
        <f>VLOOKUP(A36,'Claims Data'!$A$3:$V$31,4,FALSE)</f>
        <v>0</v>
      </c>
      <c r="G36" s="48">
        <f>VLOOKUP(A36,'Claims Data'!$A$3:$V$31,15,FALSE)</f>
        <v>0</v>
      </c>
      <c r="H36" s="48">
        <f t="shared" si="0"/>
        <v>2461</v>
      </c>
      <c r="I36" s="52">
        <f t="shared" si="1"/>
        <v>2477</v>
      </c>
      <c r="J36" s="93"/>
      <c r="K36" s="44">
        <f>VLOOKUP(A36,'Hospital Specific Rev Neutral'!$A$7:$P$35,16,FALSE)</f>
        <v>39547629.590000004</v>
      </c>
      <c r="L36" s="45">
        <f>VLOOKUP(A36,'BH and Rehab payments'!$A$7:$U$35,7,FALSE)</f>
        <v>0</v>
      </c>
      <c r="M36" s="45">
        <f>VLOOKUP(A36,'BH and Rehab payments'!$A$7:$U$35,16,FALSE)</f>
        <v>156975</v>
      </c>
      <c r="N36" s="45">
        <f>VLOOKUP(A36,'BH and Rehab payments'!$A$7:$U$35,21,FALSE)</f>
        <v>0</v>
      </c>
      <c r="O36" s="45">
        <v>2893138.69</v>
      </c>
      <c r="P36" s="45">
        <f t="shared" si="2"/>
        <v>36497515.900000006</v>
      </c>
      <c r="Q36" s="85">
        <f t="shared" si="3"/>
        <v>4.7619047619047672E-2</v>
      </c>
      <c r="R36" s="46">
        <f t="shared" si="4"/>
        <v>1737976.9476190498</v>
      </c>
      <c r="S36" s="93"/>
      <c r="T36" s="43">
        <f t="shared" si="5"/>
        <v>34759538.952380955</v>
      </c>
    </row>
    <row r="37" spans="1:20" x14ac:dyDescent="0.3">
      <c r="D37" s="53">
        <f>SUM(D8:D36)</f>
        <v>1811</v>
      </c>
      <c r="E37" s="53">
        <f>SUM(E8:E36)</f>
        <v>70070</v>
      </c>
      <c r="F37" s="53">
        <f t="shared" ref="F37:I37" si="6">SUM(F8:F36)</f>
        <v>8841</v>
      </c>
      <c r="G37" s="53">
        <f t="shared" si="6"/>
        <v>115</v>
      </c>
      <c r="H37" s="53">
        <f t="shared" si="6"/>
        <v>61114</v>
      </c>
      <c r="I37" s="53">
        <f t="shared" si="6"/>
        <v>71881</v>
      </c>
      <c r="J37" s="25"/>
      <c r="K37" s="36">
        <f t="shared" ref="K37:L37" si="7">SUM(K8:K36)</f>
        <v>485603733.75540996</v>
      </c>
      <c r="L37" s="36">
        <f t="shared" si="7"/>
        <v>64290000</v>
      </c>
      <c r="M37" s="36">
        <f t="shared" ref="M37" si="8">SUM(M8:M36)</f>
        <v>16359641.25</v>
      </c>
      <c r="N37" s="36">
        <f t="shared" ref="N37:P37" si="9">SUM(N8:N36)</f>
        <v>2476960</v>
      </c>
      <c r="O37" s="36">
        <f t="shared" si="9"/>
        <v>18776289.669999998</v>
      </c>
      <c r="P37" s="36">
        <f t="shared" si="9"/>
        <v>383700842.83540988</v>
      </c>
      <c r="Q37" s="31"/>
      <c r="R37" s="36">
        <f t="shared" ref="R37:T37" si="10">SUM(R8:R36)</f>
        <v>18271468.706448119</v>
      </c>
      <c r="S37" s="31"/>
      <c r="T37" s="36">
        <f t="shared" si="10"/>
        <v>365429374.12896192</v>
      </c>
    </row>
    <row r="39" spans="1:20" x14ac:dyDescent="0.3">
      <c r="A39" s="94"/>
      <c r="B39" s="95"/>
      <c r="C39" s="96" t="s">
        <v>272</v>
      </c>
      <c r="D39" s="106">
        <f>+D18+D32</f>
        <v>4</v>
      </c>
      <c r="E39" s="102">
        <f t="shared" ref="E39:G39" si="11">+E18+E32</f>
        <v>2701</v>
      </c>
      <c r="F39" s="102">
        <f t="shared" si="11"/>
        <v>233</v>
      </c>
      <c r="G39" s="102">
        <f t="shared" si="11"/>
        <v>20</v>
      </c>
      <c r="H39" s="102">
        <f t="shared" ref="H39" si="12">E39-F39-G39</f>
        <v>2448</v>
      </c>
      <c r="I39" s="107">
        <f t="shared" ref="I39" si="13">H39+G39+F39+D39</f>
        <v>2705</v>
      </c>
      <c r="J39" s="98"/>
      <c r="K39" s="105">
        <f t="shared" ref="K39:O39" si="14">+K18+K32</f>
        <v>16618574.6304</v>
      </c>
      <c r="L39" s="100">
        <f t="shared" si="14"/>
        <v>1725750</v>
      </c>
      <c r="M39" s="100">
        <f t="shared" si="14"/>
        <v>40950</v>
      </c>
      <c r="N39" s="100">
        <f t="shared" si="14"/>
        <v>437030</v>
      </c>
      <c r="O39" s="100">
        <f t="shared" si="14"/>
        <v>378640.42</v>
      </c>
      <c r="P39" s="100">
        <f t="shared" ref="P39" si="15">K39-L39-M39-N39-O39</f>
        <v>14036204.2104</v>
      </c>
      <c r="Q39" s="101">
        <f t="shared" ref="Q39" si="16">(1-1/(1+0.05))</f>
        <v>4.7619047619047672E-2</v>
      </c>
      <c r="R39" s="103">
        <f t="shared" ref="R39" si="17">P39*Q39</f>
        <v>668390.67668571509</v>
      </c>
      <c r="S39" s="98"/>
      <c r="T39" s="104">
        <f t="shared" ref="T39" si="18">P39-R39</f>
        <v>13367813.533714285</v>
      </c>
    </row>
    <row r="40" spans="1:20" x14ac:dyDescent="0.3">
      <c r="C40" s="97"/>
      <c r="D40" s="97"/>
    </row>
    <row r="43" spans="1:20" x14ac:dyDescent="0.3">
      <c r="M43" s="20"/>
      <c r="N43" s="26"/>
      <c r="O43" s="26"/>
      <c r="P43" s="26"/>
      <c r="Q43" s="26"/>
    </row>
    <row r="44" spans="1:20" x14ac:dyDescent="0.3">
      <c r="M44" s="20"/>
      <c r="N44" s="20"/>
      <c r="O44" s="20"/>
      <c r="P44" s="20"/>
      <c r="Q44" s="20"/>
    </row>
    <row r="45" spans="1:20" x14ac:dyDescent="0.3">
      <c r="M45" s="20"/>
      <c r="N45" s="20"/>
      <c r="O45" s="20"/>
      <c r="P45" s="20"/>
      <c r="Q45" s="20"/>
    </row>
    <row r="46" spans="1:20" x14ac:dyDescent="0.3">
      <c r="M46" s="20"/>
      <c r="N46" s="20"/>
      <c r="O46" s="20"/>
      <c r="P46" s="20"/>
      <c r="Q46" s="20"/>
    </row>
    <row r="47" spans="1:20" x14ac:dyDescent="0.3">
      <c r="M47" s="20"/>
      <c r="N47" s="20"/>
      <c r="O47" s="20"/>
      <c r="P47" s="20"/>
      <c r="Q47" s="20"/>
    </row>
    <row r="48" spans="1:20" x14ac:dyDescent="0.3">
      <c r="M48" s="20"/>
      <c r="N48" s="20"/>
      <c r="O48" s="20"/>
      <c r="P48" s="20"/>
      <c r="Q48" s="20"/>
    </row>
  </sheetData>
  <mergeCells count="2">
    <mergeCell ref="D5:I5"/>
    <mergeCell ref="K5:R5"/>
  </mergeCells>
  <pageMargins left="0.7" right="0.7" top="0.75" bottom="0.75" header="0.3" footer="0.3"/>
  <pageSetup paperSize="5" scale="58" orientation="landscape" r:id="rId1"/>
  <headerFooter>
    <oddHeader>&amp;R&amp;"-,Bold"&amp;12&amp;K03-024MERCER</oddHeader>
    <oddFooter>&amp;LMyers and Stauffer LC&amp;R&amp;D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K39"/>
  <sheetViews>
    <sheetView workbookViewId="0">
      <selection activeCell="L37" sqref="L37"/>
    </sheetView>
  </sheetViews>
  <sheetFormatPr defaultRowHeight="14.4" x14ac:dyDescent="0.3"/>
  <cols>
    <col min="1" max="1" width="10.109375" customWidth="1"/>
    <col min="2" max="2" width="11.109375" customWidth="1"/>
    <col min="3" max="3" width="40.109375" bestFit="1" customWidth="1"/>
    <col min="4" max="4" width="13.6640625" bestFit="1" customWidth="1"/>
    <col min="5" max="5" width="2.6640625" customWidth="1"/>
    <col min="6" max="6" width="15.109375" customWidth="1"/>
    <col min="7" max="7" width="12.5546875" bestFit="1" customWidth="1"/>
    <col min="9" max="9" width="2.6640625" customWidth="1"/>
    <col min="10" max="10" width="13.6640625" style="19" customWidth="1"/>
    <col min="11" max="11" width="13.33203125" customWidth="1"/>
  </cols>
  <sheetData>
    <row r="1" spans="1:11" s="19" customFormat="1" ht="18" x14ac:dyDescent="0.25">
      <c r="A1" s="86" t="s">
        <v>267</v>
      </c>
    </row>
    <row r="2" spans="1:11" s="19" customFormat="1" ht="18" x14ac:dyDescent="0.25">
      <c r="A2" s="86" t="s">
        <v>229</v>
      </c>
    </row>
    <row r="3" spans="1:11" s="19" customFormat="1" ht="15.75" x14ac:dyDescent="0.25">
      <c r="A3" s="87" t="s">
        <v>168</v>
      </c>
    </row>
    <row r="4" spans="1:11" s="19" customFormat="1" ht="15.75" x14ac:dyDescent="0.25">
      <c r="A4" s="87" t="s">
        <v>197</v>
      </c>
    </row>
    <row r="5" spans="1:11" s="19" customFormat="1" ht="15" x14ac:dyDescent="0.25"/>
    <row r="6" spans="1:11" s="19" customFormat="1" ht="60" x14ac:dyDescent="0.25">
      <c r="A6" s="88" t="s">
        <v>0</v>
      </c>
      <c r="B6" s="89" t="s">
        <v>1</v>
      </c>
      <c r="C6" s="89" t="s">
        <v>2</v>
      </c>
      <c r="D6" s="89" t="s">
        <v>222</v>
      </c>
      <c r="E6" s="89"/>
      <c r="F6" s="89" t="s">
        <v>244</v>
      </c>
      <c r="G6" s="89" t="s">
        <v>234</v>
      </c>
      <c r="H6" s="89" t="s">
        <v>162</v>
      </c>
      <c r="I6" s="89"/>
      <c r="J6" s="89" t="s">
        <v>235</v>
      </c>
      <c r="K6" s="90" t="s">
        <v>245</v>
      </c>
    </row>
    <row r="7" spans="1:11" s="19" customFormat="1" ht="15" x14ac:dyDescent="0.25">
      <c r="A7" s="32" t="s">
        <v>169</v>
      </c>
      <c r="B7" s="28" t="s">
        <v>170</v>
      </c>
      <c r="C7" s="28" t="s">
        <v>171</v>
      </c>
      <c r="D7" s="28" t="s">
        <v>172</v>
      </c>
      <c r="E7" s="92"/>
      <c r="F7" s="28" t="s">
        <v>173</v>
      </c>
      <c r="G7" s="28" t="s">
        <v>174</v>
      </c>
      <c r="H7" s="28" t="s">
        <v>274</v>
      </c>
      <c r="I7" s="92"/>
      <c r="J7" s="30" t="s">
        <v>176</v>
      </c>
      <c r="K7" s="29" t="s">
        <v>275</v>
      </c>
    </row>
    <row r="8" spans="1:11" ht="15" x14ac:dyDescent="0.25">
      <c r="A8" s="1" t="s">
        <v>11</v>
      </c>
      <c r="B8" s="6" t="s">
        <v>111</v>
      </c>
      <c r="C8" s="2" t="s">
        <v>13</v>
      </c>
      <c r="D8" s="34">
        <f>VLOOKUP(A8,'DRG Revenue'!$A$8:$T$36,20,FALSE)</f>
        <v>32945801.628190469</v>
      </c>
      <c r="E8" s="93"/>
      <c r="F8" s="23">
        <v>5158</v>
      </c>
      <c r="G8" s="59">
        <v>4183.2551999999996</v>
      </c>
      <c r="H8" s="56">
        <f>IF(G8&gt;0,G8/F8,0)</f>
        <v>0.81102272198526548</v>
      </c>
      <c r="I8" s="93"/>
      <c r="J8" s="68">
        <f>VLOOKUP(A8,'DRG Revenue'!$A$8:$I$36,8,FALSE)</f>
        <v>5055</v>
      </c>
      <c r="K8" s="77">
        <f>D8/(J8*H8)</f>
        <v>8036.1104553908453</v>
      </c>
    </row>
    <row r="9" spans="1:11" ht="15" x14ac:dyDescent="0.25">
      <c r="A9" s="1" t="s">
        <v>14</v>
      </c>
      <c r="B9" s="2" t="s">
        <v>15</v>
      </c>
      <c r="C9" s="2" t="s">
        <v>16</v>
      </c>
      <c r="D9" s="34">
        <f>VLOOKUP(A9,'DRG Revenue'!$A$8:$T$36,20,FALSE)</f>
        <v>2979338.4495238094</v>
      </c>
      <c r="E9" s="93"/>
      <c r="F9" s="23">
        <v>802</v>
      </c>
      <c r="G9" s="59">
        <v>354.42540000000002</v>
      </c>
      <c r="H9" s="56">
        <f t="shared" ref="H9:H36" si="0">IF(G9&gt;0,G9/F9,0)</f>
        <v>0.44192693266832922</v>
      </c>
      <c r="I9" s="93"/>
      <c r="J9" s="68">
        <f>VLOOKUP(A9,'DRG Revenue'!$A$8:$I$36,8,FALSE)</f>
        <v>814</v>
      </c>
      <c r="K9" s="77">
        <f t="shared" ref="K9:K37" si="1">D9/(J9*H9)</f>
        <v>8282.1857524304924</v>
      </c>
    </row>
    <row r="10" spans="1:11" ht="15" x14ac:dyDescent="0.25">
      <c r="A10" s="1" t="s">
        <v>17</v>
      </c>
      <c r="B10" s="2" t="s">
        <v>18</v>
      </c>
      <c r="C10" s="2" t="s">
        <v>19</v>
      </c>
      <c r="D10" s="34">
        <f>VLOOKUP(A10,'DRG Revenue'!$A$8:$T$36,20,FALSE)</f>
        <v>505283.20304761903</v>
      </c>
      <c r="E10" s="93"/>
      <c r="F10" s="23">
        <v>130</v>
      </c>
      <c r="G10" s="59">
        <v>62.253100000000003</v>
      </c>
      <c r="H10" s="56">
        <f t="shared" si="0"/>
        <v>0.47887000000000002</v>
      </c>
      <c r="I10" s="93"/>
      <c r="J10" s="68">
        <f>VLOOKUP(A10,'DRG Revenue'!$A$8:$I$36,8,FALSE)</f>
        <v>128</v>
      </c>
      <c r="K10" s="77">
        <f t="shared" si="1"/>
        <v>8243.4168434220628</v>
      </c>
    </row>
    <row r="11" spans="1:11" ht="15" x14ac:dyDescent="0.25">
      <c r="A11" s="1" t="s">
        <v>20</v>
      </c>
      <c r="B11" s="2" t="s">
        <v>21</v>
      </c>
      <c r="C11" s="2" t="s">
        <v>22</v>
      </c>
      <c r="D11" s="34">
        <f>VLOOKUP(A11,'DRG Revenue'!$A$8:$T$36,20,FALSE)</f>
        <v>9584136.8019047622</v>
      </c>
      <c r="E11" s="93"/>
      <c r="F11" s="23">
        <v>2081</v>
      </c>
      <c r="G11" s="59">
        <v>1335.9154000000001</v>
      </c>
      <c r="H11" s="56">
        <f t="shared" si="0"/>
        <v>0.64195838539163863</v>
      </c>
      <c r="I11" s="93"/>
      <c r="J11" s="68">
        <f>VLOOKUP(A11,'DRG Revenue'!$A$8:$I$36,8,FALSE)</f>
        <v>2053</v>
      </c>
      <c r="K11" s="77">
        <f t="shared" si="1"/>
        <v>7272.0553983287209</v>
      </c>
    </row>
    <row r="12" spans="1:11" ht="15" x14ac:dyDescent="0.25">
      <c r="A12" s="3" t="s">
        <v>23</v>
      </c>
      <c r="B12" s="4" t="s">
        <v>24</v>
      </c>
      <c r="C12" s="4" t="s">
        <v>25</v>
      </c>
      <c r="D12" s="35">
        <f>VLOOKUP(A12,'DRG Revenue'!$A$8:$T$36,20,FALSE)</f>
        <v>10450521.741714284</v>
      </c>
      <c r="E12" s="93"/>
      <c r="F12" s="24">
        <v>2187</v>
      </c>
      <c r="G12" s="60">
        <v>1470.2511999999999</v>
      </c>
      <c r="H12" s="57">
        <f t="shared" si="0"/>
        <v>0.67226849565614999</v>
      </c>
      <c r="I12" s="93"/>
      <c r="J12" s="69">
        <f>VLOOKUP(A12,'DRG Revenue'!$A$8:$I$36,8,FALSE)</f>
        <v>2186</v>
      </c>
      <c r="K12" s="78">
        <f t="shared" si="1"/>
        <v>7111.2354142261283</v>
      </c>
    </row>
    <row r="13" spans="1:11" ht="15" x14ac:dyDescent="0.25">
      <c r="A13" s="1" t="s">
        <v>26</v>
      </c>
      <c r="B13" s="2" t="s">
        <v>27</v>
      </c>
      <c r="C13" s="2" t="s">
        <v>28</v>
      </c>
      <c r="D13" s="34">
        <f>VLOOKUP(A13,'DRG Revenue'!$A$8:$T$36,20,FALSE)</f>
        <v>9135708.7249523811</v>
      </c>
      <c r="E13" s="93"/>
      <c r="F13" s="23">
        <v>2097</v>
      </c>
      <c r="G13" s="59">
        <v>1270.8344</v>
      </c>
      <c r="H13" s="56">
        <f t="shared" si="0"/>
        <v>0.60602498807820693</v>
      </c>
      <c r="I13" s="93"/>
      <c r="J13" s="68">
        <f>VLOOKUP(A13,'DRG Revenue'!$A$8:$I$36,8,FALSE)</f>
        <v>2005</v>
      </c>
      <c r="K13" s="77">
        <f t="shared" si="1"/>
        <v>7518.606153376998</v>
      </c>
    </row>
    <row r="14" spans="1:11" ht="15" x14ac:dyDescent="0.25">
      <c r="A14" s="1" t="s">
        <v>29</v>
      </c>
      <c r="B14" s="2" t="s">
        <v>30</v>
      </c>
      <c r="C14" s="2" t="s">
        <v>31</v>
      </c>
      <c r="D14" s="34">
        <f>VLOOKUP(A14,'DRG Revenue'!$A$8:$T$36,20,FALSE)</f>
        <v>917812.10095238115</v>
      </c>
      <c r="E14" s="93"/>
      <c r="F14" s="23">
        <v>324</v>
      </c>
      <c r="G14" s="59">
        <v>174.2645</v>
      </c>
      <c r="H14" s="56">
        <f t="shared" si="0"/>
        <v>0.53785339506172836</v>
      </c>
      <c r="I14" s="93"/>
      <c r="J14" s="68">
        <f>VLOOKUP(A14,'DRG Revenue'!$A$8:$I$36,8,FALSE)</f>
        <v>323</v>
      </c>
      <c r="K14" s="77">
        <f t="shared" si="1"/>
        <v>5283.0818926674201</v>
      </c>
    </row>
    <row r="15" spans="1:11" ht="15" x14ac:dyDescent="0.25">
      <c r="A15" s="1" t="s">
        <v>32</v>
      </c>
      <c r="B15" s="2" t="s">
        <v>33</v>
      </c>
      <c r="C15" s="2" t="s">
        <v>34</v>
      </c>
      <c r="D15" s="34">
        <f>VLOOKUP(A15,'DRG Revenue'!$A$8:$T$36,20,FALSE)</f>
        <v>24473031.701047618</v>
      </c>
      <c r="E15" s="93"/>
      <c r="F15" s="23">
        <v>3897</v>
      </c>
      <c r="G15" s="59">
        <v>2575.9764</v>
      </c>
      <c r="H15" s="56">
        <f t="shared" si="0"/>
        <v>0.66101524249422638</v>
      </c>
      <c r="I15" s="93"/>
      <c r="J15" s="68">
        <f>VLOOKUP(A15,'DRG Revenue'!$A$8:$I$36,8,FALSE)</f>
        <v>3789</v>
      </c>
      <c r="K15" s="77">
        <f t="shared" si="1"/>
        <v>9771.2852884065323</v>
      </c>
    </row>
    <row r="16" spans="1:11" ht="15" x14ac:dyDescent="0.25">
      <c r="A16" s="15" t="s">
        <v>35</v>
      </c>
      <c r="B16" s="10" t="s">
        <v>36</v>
      </c>
      <c r="C16" s="2" t="s">
        <v>37</v>
      </c>
      <c r="D16" s="34">
        <f>VLOOKUP(A16,'DRG Revenue'!$A$8:$T$36,20,FALSE)</f>
        <v>2673628.3078095238</v>
      </c>
      <c r="E16" s="93"/>
      <c r="F16" s="23">
        <v>651</v>
      </c>
      <c r="G16" s="59">
        <v>462.2448</v>
      </c>
      <c r="H16" s="56">
        <f t="shared" si="0"/>
        <v>0.7100534562211982</v>
      </c>
      <c r="I16" s="93"/>
      <c r="J16" s="68">
        <f>VLOOKUP(A16,'DRG Revenue'!$A$8:$I$36,8,FALSE)</f>
        <v>634</v>
      </c>
      <c r="K16" s="77">
        <f t="shared" si="1"/>
        <v>5939.1012224628539</v>
      </c>
    </row>
    <row r="17" spans="1:11" ht="15" x14ac:dyDescent="0.25">
      <c r="A17" s="3" t="s">
        <v>38</v>
      </c>
      <c r="B17" s="4" t="s">
        <v>12</v>
      </c>
      <c r="C17" s="4" t="s">
        <v>39</v>
      </c>
      <c r="D17" s="35">
        <f>VLOOKUP(A17,'DRG Revenue'!$A$8:$T$36,20,FALSE)</f>
        <v>906830.34666666656</v>
      </c>
      <c r="E17" s="93"/>
      <c r="F17" s="24">
        <v>188</v>
      </c>
      <c r="G17" s="60">
        <v>169.4639</v>
      </c>
      <c r="H17" s="57">
        <f t="shared" si="0"/>
        <v>0.90140372340425534</v>
      </c>
      <c r="I17" s="93"/>
      <c r="J17" s="69">
        <f>VLOOKUP(A17,'DRG Revenue'!$A$8:$I$36,8,FALSE)</f>
        <v>190</v>
      </c>
      <c r="K17" s="78">
        <f t="shared" si="1"/>
        <v>5294.8431144932656</v>
      </c>
    </row>
    <row r="18" spans="1:11" ht="15" x14ac:dyDescent="0.25">
      <c r="A18" s="1" t="s">
        <v>40</v>
      </c>
      <c r="B18" s="2" t="s">
        <v>137</v>
      </c>
      <c r="C18" s="2" t="s">
        <v>42</v>
      </c>
      <c r="D18" s="34">
        <f>VLOOKUP(A18,'DRG Revenue'!$A$8:$T$36,20,FALSE)</f>
        <v>1424343.9036190473</v>
      </c>
      <c r="E18" s="93"/>
      <c r="F18" s="23">
        <v>218</v>
      </c>
      <c r="G18" s="59">
        <v>100.4374</v>
      </c>
      <c r="H18" s="56">
        <f t="shared" si="0"/>
        <v>0.46072201834862386</v>
      </c>
      <c r="I18" s="93"/>
      <c r="J18" s="68">
        <f>VLOOKUP(A18,'DRG Revenue'!$A$8:$I$36,8,FALSE)</f>
        <v>219</v>
      </c>
      <c r="K18" s="77">
        <f t="shared" si="1"/>
        <v>14116.654256062626</v>
      </c>
    </row>
    <row r="19" spans="1:11" ht="15" x14ac:dyDescent="0.25">
      <c r="A19" s="1" t="s">
        <v>43</v>
      </c>
      <c r="B19" s="2" t="s">
        <v>44</v>
      </c>
      <c r="C19" s="2" t="s">
        <v>45</v>
      </c>
      <c r="D19" s="34">
        <f>VLOOKUP(A19,'DRG Revenue'!$A$8:$T$36,20,FALSE)</f>
        <v>11166123.193904761</v>
      </c>
      <c r="E19" s="93"/>
      <c r="F19" s="23">
        <v>2159</v>
      </c>
      <c r="G19" s="59">
        <v>1564.9445000000001</v>
      </c>
      <c r="H19" s="56">
        <f t="shared" si="0"/>
        <v>0.72484691987031036</v>
      </c>
      <c r="I19" s="93"/>
      <c r="J19" s="68">
        <f>VLOOKUP(A19,'DRG Revenue'!$A$8:$I$36,8,FALSE)</f>
        <v>2149</v>
      </c>
      <c r="K19" s="77">
        <f t="shared" si="1"/>
        <v>7168.3582503325615</v>
      </c>
    </row>
    <row r="20" spans="1:11" ht="15" x14ac:dyDescent="0.25">
      <c r="A20" s="1" t="s">
        <v>46</v>
      </c>
      <c r="B20" s="2" t="s">
        <v>47</v>
      </c>
      <c r="C20" s="2" t="s">
        <v>48</v>
      </c>
      <c r="D20" s="34">
        <f>VLOOKUP(A20,'DRG Revenue'!$A$8:$T$36,20,FALSE)</f>
        <v>6508905.067809524</v>
      </c>
      <c r="E20" s="93"/>
      <c r="F20" s="23">
        <v>1576</v>
      </c>
      <c r="G20" s="59">
        <v>922.98779999999999</v>
      </c>
      <c r="H20" s="56">
        <f t="shared" si="0"/>
        <v>0.5856521573604061</v>
      </c>
      <c r="I20" s="93"/>
      <c r="J20" s="68">
        <f>VLOOKUP(A20,'DRG Revenue'!$A$8:$I$36,8,FALSE)</f>
        <v>1572</v>
      </c>
      <c r="K20" s="77">
        <f t="shared" si="1"/>
        <v>7069.9387004017917</v>
      </c>
    </row>
    <row r="21" spans="1:11" ht="15" x14ac:dyDescent="0.25">
      <c r="A21" s="1" t="s">
        <v>49</v>
      </c>
      <c r="B21" s="2" t="s">
        <v>50</v>
      </c>
      <c r="C21" s="2" t="s">
        <v>51</v>
      </c>
      <c r="D21" s="34">
        <f>VLOOKUP(A21,'DRG Revenue'!$A$8:$T$36,20,FALSE)</f>
        <v>2123223.4182857145</v>
      </c>
      <c r="E21" s="93"/>
      <c r="F21" s="23">
        <v>325</v>
      </c>
      <c r="G21" s="59">
        <v>217.66040000000001</v>
      </c>
      <c r="H21" s="56">
        <f t="shared" si="0"/>
        <v>0.66972430769230773</v>
      </c>
      <c r="I21" s="93"/>
      <c r="J21" s="68">
        <f>VLOOKUP(A21,'DRG Revenue'!$A$8:$I$36,8,FALSE)</f>
        <v>332</v>
      </c>
      <c r="K21" s="77">
        <f t="shared" si="1"/>
        <v>9549.0803998634437</v>
      </c>
    </row>
    <row r="22" spans="1:11" ht="15" x14ac:dyDescent="0.25">
      <c r="A22" s="3" t="s">
        <v>52</v>
      </c>
      <c r="B22" s="4" t="s">
        <v>53</v>
      </c>
      <c r="C22" s="4" t="s">
        <v>54</v>
      </c>
      <c r="D22" s="35">
        <f>VLOOKUP(A22,'DRG Revenue'!$A$8:$T$36,20,FALSE)</f>
        <v>835856.04266666656</v>
      </c>
      <c r="E22" s="93"/>
      <c r="F22" s="24">
        <v>214</v>
      </c>
      <c r="G22" s="60">
        <v>155.542</v>
      </c>
      <c r="H22" s="57">
        <f t="shared" si="0"/>
        <v>0.7268317757009346</v>
      </c>
      <c r="I22" s="93"/>
      <c r="J22" s="69">
        <f>VLOOKUP(A22,'DRG Revenue'!$A$8:$I$36,8,FALSE)</f>
        <v>213</v>
      </c>
      <c r="K22" s="78">
        <f t="shared" si="1"/>
        <v>5399.057807150155</v>
      </c>
    </row>
    <row r="23" spans="1:11" ht="15" x14ac:dyDescent="0.25">
      <c r="A23" s="1" t="s">
        <v>55</v>
      </c>
      <c r="B23" s="2" t="s">
        <v>56</v>
      </c>
      <c r="C23" s="2" t="s">
        <v>57</v>
      </c>
      <c r="D23" s="34">
        <f>VLOOKUP(A23,'DRG Revenue'!$A$8:$T$36,20,FALSE)</f>
        <v>7021046.2620952381</v>
      </c>
      <c r="E23" s="93"/>
      <c r="F23" s="23">
        <v>1530</v>
      </c>
      <c r="G23" s="59">
        <v>966.01340000000005</v>
      </c>
      <c r="H23" s="56">
        <f t="shared" si="0"/>
        <v>0.63138130718954255</v>
      </c>
      <c r="I23" s="93"/>
      <c r="J23" s="68">
        <f>VLOOKUP(A23,'DRG Revenue'!$A$8:$I$36,8,FALSE)</f>
        <v>1497</v>
      </c>
      <c r="K23" s="77">
        <f t="shared" si="1"/>
        <v>7428.2808343933075</v>
      </c>
    </row>
    <row r="24" spans="1:11" ht="15" x14ac:dyDescent="0.25">
      <c r="A24" s="1" t="s">
        <v>58</v>
      </c>
      <c r="B24" s="2" t="s">
        <v>59</v>
      </c>
      <c r="C24" s="2" t="s">
        <v>60</v>
      </c>
      <c r="D24" s="34">
        <f>VLOOKUP(A24,'DRG Revenue'!$A$8:$T$36,20,FALSE)</f>
        <v>3124173.3196190475</v>
      </c>
      <c r="E24" s="93"/>
      <c r="F24" s="23">
        <v>735</v>
      </c>
      <c r="G24" s="59">
        <v>414.96929999999998</v>
      </c>
      <c r="H24" s="56">
        <f t="shared" si="0"/>
        <v>0.56458408163265306</v>
      </c>
      <c r="I24" s="93"/>
      <c r="J24" s="68">
        <f>VLOOKUP(A24,'DRG Revenue'!$A$8:$I$36,8,FALSE)</f>
        <v>733</v>
      </c>
      <c r="K24" s="77">
        <f t="shared" si="1"/>
        <v>7549.2275380667388</v>
      </c>
    </row>
    <row r="25" spans="1:11" ht="15" x14ac:dyDescent="0.25">
      <c r="A25" s="1" t="s">
        <v>61</v>
      </c>
      <c r="B25" s="2" t="s">
        <v>10</v>
      </c>
      <c r="C25" s="2" t="s">
        <v>62</v>
      </c>
      <c r="D25" s="34">
        <f>VLOOKUP(A25,'DRG Revenue'!$A$8:$T$36,20,FALSE)</f>
        <v>85745095.414095253</v>
      </c>
      <c r="E25" s="93"/>
      <c r="F25" s="23">
        <v>14114</v>
      </c>
      <c r="G25" s="59">
        <v>12062.6968</v>
      </c>
      <c r="H25" s="56">
        <f t="shared" si="0"/>
        <v>0.85466181096783334</v>
      </c>
      <c r="I25" s="93"/>
      <c r="J25" s="68">
        <f>VLOOKUP(A25,'DRG Revenue'!$A$8:$I$36,8,FALSE)</f>
        <v>13845</v>
      </c>
      <c r="K25" s="77">
        <f t="shared" si="1"/>
        <v>7246.3954249953067</v>
      </c>
    </row>
    <row r="26" spans="1:11" x14ac:dyDescent="0.3">
      <c r="A26" s="1" t="s">
        <v>63</v>
      </c>
      <c r="B26" s="2" t="s">
        <v>64</v>
      </c>
      <c r="C26" s="2" t="s">
        <v>65</v>
      </c>
      <c r="D26" s="34">
        <f>VLOOKUP(A26,'DRG Revenue'!$A$8:$T$36,20,FALSE)</f>
        <v>6516819.0731428573</v>
      </c>
      <c r="E26" s="93"/>
      <c r="F26" s="23">
        <v>1566</v>
      </c>
      <c r="G26" s="59">
        <v>1052.1275000000001</v>
      </c>
      <c r="H26" s="56">
        <f t="shared" si="0"/>
        <v>0.67185664112388255</v>
      </c>
      <c r="I26" s="93"/>
      <c r="J26" s="68">
        <f>VLOOKUP(A26,'DRG Revenue'!$A$8:$I$36,8,FALSE)</f>
        <v>1560</v>
      </c>
      <c r="K26" s="77">
        <f t="shared" si="1"/>
        <v>6217.7671070148008</v>
      </c>
    </row>
    <row r="27" spans="1:11" x14ac:dyDescent="0.3">
      <c r="A27" s="3" t="s">
        <v>66</v>
      </c>
      <c r="B27" s="4" t="s">
        <v>67</v>
      </c>
      <c r="C27" s="4" t="s">
        <v>68</v>
      </c>
      <c r="D27" s="35">
        <f>VLOOKUP(A27,'DRG Revenue'!$A$8:$T$36,20,FALSE)</f>
        <v>34068602.447723806</v>
      </c>
      <c r="E27" s="93"/>
      <c r="F27" s="24">
        <v>5196</v>
      </c>
      <c r="G27" s="60">
        <v>4921.5910999999996</v>
      </c>
      <c r="H27" s="57">
        <f t="shared" si="0"/>
        <v>0.94718843341031556</v>
      </c>
      <c r="I27" s="93"/>
      <c r="J27" s="69">
        <f>VLOOKUP(A27,'DRG Revenue'!$A$8:$I$36,8,FALSE)</f>
        <v>5202</v>
      </c>
      <c r="K27" s="78">
        <f t="shared" si="1"/>
        <v>6914.289900112185</v>
      </c>
    </row>
    <row r="28" spans="1:11" x14ac:dyDescent="0.3">
      <c r="A28" s="1" t="s">
        <v>69</v>
      </c>
      <c r="B28" s="2" t="s">
        <v>70</v>
      </c>
      <c r="C28" s="2" t="s">
        <v>71</v>
      </c>
      <c r="D28" s="34">
        <f>VLOOKUP(A28,'DRG Revenue'!$A$8:$T$36,20,FALSE)</f>
        <v>5166422.703619048</v>
      </c>
      <c r="E28" s="93"/>
      <c r="F28" s="23">
        <v>1093</v>
      </c>
      <c r="G28" s="59">
        <v>634.18740000000003</v>
      </c>
      <c r="H28" s="56">
        <f t="shared" si="0"/>
        <v>0.58022634949679786</v>
      </c>
      <c r="I28" s="93"/>
      <c r="J28" s="68">
        <f>VLOOKUP(A28,'DRG Revenue'!$A$8:$I$36,8,FALSE)</f>
        <v>1076</v>
      </c>
      <c r="K28" s="77">
        <f t="shared" si="1"/>
        <v>8275.2327484427442</v>
      </c>
    </row>
    <row r="29" spans="1:11" x14ac:dyDescent="0.3">
      <c r="A29" s="1" t="s">
        <v>72</v>
      </c>
      <c r="B29" s="2" t="s">
        <v>73</v>
      </c>
      <c r="C29" s="2" t="s">
        <v>74</v>
      </c>
      <c r="D29" s="34">
        <f>VLOOKUP(A29,'DRG Revenue'!$A$8:$T$36,20,FALSE)</f>
        <v>12783447.401523804</v>
      </c>
      <c r="E29" s="93"/>
      <c r="F29" s="23">
        <v>2722</v>
      </c>
      <c r="G29" s="59">
        <v>2072.3993</v>
      </c>
      <c r="H29" s="56">
        <f t="shared" si="0"/>
        <v>0.76135168993387214</v>
      </c>
      <c r="I29" s="93"/>
      <c r="J29" s="68">
        <f>VLOOKUP(A29,'DRG Revenue'!$A$8:$I$36,8,FALSE)</f>
        <v>2692</v>
      </c>
      <c r="K29" s="77">
        <f t="shared" si="1"/>
        <v>6237.1705157890447</v>
      </c>
    </row>
    <row r="30" spans="1:11" x14ac:dyDescent="0.3">
      <c r="A30" s="1" t="s">
        <v>75</v>
      </c>
      <c r="B30" s="2" t="s">
        <v>76</v>
      </c>
      <c r="C30" s="2" t="s">
        <v>77</v>
      </c>
      <c r="D30" s="34">
        <f>VLOOKUP(A30,'DRG Revenue'!$A$8:$T$36,20,FALSE)</f>
        <v>3189020.4350476195</v>
      </c>
      <c r="E30" s="93"/>
      <c r="F30" s="23">
        <v>859</v>
      </c>
      <c r="G30" s="59">
        <v>516.65539999999999</v>
      </c>
      <c r="H30" s="56">
        <f t="shared" si="0"/>
        <v>0.60146146682188595</v>
      </c>
      <c r="I30" s="93"/>
      <c r="J30" s="68">
        <f>VLOOKUP(A30,'DRG Revenue'!$A$8:$I$36,8,FALSE)</f>
        <v>846</v>
      </c>
      <c r="K30" s="77">
        <f t="shared" si="1"/>
        <v>6267.2804642333058</v>
      </c>
    </row>
    <row r="31" spans="1:11" x14ac:dyDescent="0.3">
      <c r="A31" s="1" t="s">
        <v>78</v>
      </c>
      <c r="B31" s="2" t="s">
        <v>79</v>
      </c>
      <c r="C31" s="2" t="s">
        <v>80</v>
      </c>
      <c r="D31" s="34">
        <f>VLOOKUP(A31,'DRG Revenue'!$A$8:$T$36,20,FALSE)</f>
        <v>3602253.2571428567</v>
      </c>
      <c r="E31" s="93"/>
      <c r="F31" s="23">
        <v>850</v>
      </c>
      <c r="G31" s="59">
        <v>451.57400000000001</v>
      </c>
      <c r="H31" s="56">
        <f t="shared" si="0"/>
        <v>0.53126352941176469</v>
      </c>
      <c r="I31" s="93"/>
      <c r="J31" s="68">
        <f>VLOOKUP(A31,'DRG Revenue'!$A$8:$I$36,8,FALSE)</f>
        <v>840</v>
      </c>
      <c r="K31" s="77">
        <f t="shared" si="1"/>
        <v>8072.0706340263068</v>
      </c>
    </row>
    <row r="32" spans="1:11" x14ac:dyDescent="0.3">
      <c r="A32" s="3" t="s">
        <v>81</v>
      </c>
      <c r="B32" s="4" t="s">
        <v>41</v>
      </c>
      <c r="C32" s="4" t="s">
        <v>82</v>
      </c>
      <c r="D32" s="35">
        <f>VLOOKUP(A32,'DRG Revenue'!$A$8:$T$36,20,FALSE)</f>
        <v>11943469.630095238</v>
      </c>
      <c r="E32" s="93"/>
      <c r="F32" s="24">
        <v>2228</v>
      </c>
      <c r="G32" s="60">
        <v>1387.0888</v>
      </c>
      <c r="H32" s="57">
        <f t="shared" si="0"/>
        <v>0.62257127468581686</v>
      </c>
      <c r="I32" s="93"/>
      <c r="J32" s="69">
        <f>VLOOKUP(A32,'DRG Revenue'!$A$8:$I$36,8,FALSE)</f>
        <v>2229</v>
      </c>
      <c r="K32" s="78">
        <f t="shared" si="1"/>
        <v>8606.5949139874338</v>
      </c>
    </row>
    <row r="33" spans="1:11" x14ac:dyDescent="0.3">
      <c r="A33" s="1" t="s">
        <v>83</v>
      </c>
      <c r="B33" s="2" t="s">
        <v>84</v>
      </c>
      <c r="C33" s="2" t="s">
        <v>85</v>
      </c>
      <c r="D33" s="34">
        <f>VLOOKUP(A33,'DRG Revenue'!$A$8:$T$36,20,FALSE)</f>
        <v>12816312.299428571</v>
      </c>
      <c r="E33" s="93"/>
      <c r="F33" s="23">
        <v>2113</v>
      </c>
      <c r="G33" s="59">
        <v>1194.6635000000001</v>
      </c>
      <c r="H33" s="56">
        <f t="shared" si="0"/>
        <v>0.56538736393752964</v>
      </c>
      <c r="I33" s="93"/>
      <c r="J33" s="68">
        <f>VLOOKUP(A33,'DRG Revenue'!$A$8:$I$36,8,FALSE)</f>
        <v>2117</v>
      </c>
      <c r="K33" s="77">
        <f t="shared" si="1"/>
        <v>10707.69828508162</v>
      </c>
    </row>
    <row r="34" spans="1:11" x14ac:dyDescent="0.3">
      <c r="A34" s="1" t="s">
        <v>86</v>
      </c>
      <c r="B34" s="2" t="s">
        <v>87</v>
      </c>
      <c r="C34" s="2" t="s">
        <v>88</v>
      </c>
      <c r="D34" s="34">
        <f>VLOOKUP(A34,'DRG Revenue'!$A$8:$T$36,20,FALSE)</f>
        <v>12102572.383619048</v>
      </c>
      <c r="E34" s="93"/>
      <c r="F34" s="23">
        <v>3008</v>
      </c>
      <c r="G34" s="59">
        <v>1935.2213999999999</v>
      </c>
      <c r="H34" s="56">
        <f t="shared" si="0"/>
        <v>0.64335817819148933</v>
      </c>
      <c r="I34" s="93"/>
      <c r="J34" s="68">
        <f>VLOOKUP(A34,'DRG Revenue'!$A$8:$I$36,8,FALSE)</f>
        <v>2977</v>
      </c>
      <c r="K34" s="77">
        <f t="shared" si="1"/>
        <v>6318.9661392043236</v>
      </c>
    </row>
    <row r="35" spans="1:11" x14ac:dyDescent="0.3">
      <c r="A35" s="1" t="s">
        <v>89</v>
      </c>
      <c r="B35" s="2" t="s">
        <v>90</v>
      </c>
      <c r="C35" s="2" t="s">
        <v>91</v>
      </c>
      <c r="D35" s="34">
        <f>VLOOKUP(A35,'DRG Revenue'!$A$8:$T$36,20,FALSE)</f>
        <v>15960055.917333331</v>
      </c>
      <c r="E35" s="93"/>
      <c r="F35" s="23">
        <v>1399</v>
      </c>
      <c r="G35" s="59">
        <v>1371.6423</v>
      </c>
      <c r="H35" s="56">
        <f t="shared" si="0"/>
        <v>0.9804448177269478</v>
      </c>
      <c r="I35" s="93"/>
      <c r="J35" s="68">
        <f>VLOOKUP(A35,'DRG Revenue'!$A$8:$I$36,8,FALSE)</f>
        <v>1377</v>
      </c>
      <c r="K35" s="77">
        <f t="shared" si="1"/>
        <v>11821.628654544278</v>
      </c>
    </row>
    <row r="36" spans="1:11" x14ac:dyDescent="0.3">
      <c r="A36" s="3" t="s">
        <v>92</v>
      </c>
      <c r="B36" s="4" t="s">
        <v>93</v>
      </c>
      <c r="C36" s="4" t="s">
        <v>94</v>
      </c>
      <c r="D36" s="35">
        <f>VLOOKUP(A36,'DRG Revenue'!$A$8:$T$36,20,FALSE)</f>
        <v>34759538.952380955</v>
      </c>
      <c r="E36" s="93"/>
      <c r="F36" s="24">
        <v>2537</v>
      </c>
      <c r="G36" s="60">
        <v>3158.5214000000001</v>
      </c>
      <c r="H36" s="57">
        <f t="shared" si="0"/>
        <v>1.2449828143476547</v>
      </c>
      <c r="I36" s="93"/>
      <c r="J36" s="69">
        <f>VLOOKUP(A36,'DRG Revenue'!$A$8:$I$36,8,FALSE)</f>
        <v>2461</v>
      </c>
      <c r="K36" s="78">
        <f t="shared" si="1"/>
        <v>11344.857290366519</v>
      </c>
    </row>
    <row r="37" spans="1:11" x14ac:dyDescent="0.3">
      <c r="D37" s="36">
        <f>SUM(D8:D36)</f>
        <v>365429374.12896192</v>
      </c>
      <c r="F37" s="53">
        <f>SUM(F8:F36)</f>
        <v>61957</v>
      </c>
      <c r="G37" s="61">
        <f>SUM(G8:G36)</f>
        <v>47159.808000000005</v>
      </c>
      <c r="H37" s="58">
        <f>G37/F37</f>
        <v>0.76116997272301767</v>
      </c>
      <c r="J37" s="70">
        <f>SUM(J8:J36)</f>
        <v>61114</v>
      </c>
      <c r="K37" s="121">
        <f t="shared" si="1"/>
        <v>7855.6313875040687</v>
      </c>
    </row>
    <row r="39" spans="1:11" x14ac:dyDescent="0.3">
      <c r="A39" s="11"/>
      <c r="B39" s="95"/>
      <c r="C39" s="96" t="s">
        <v>272</v>
      </c>
      <c r="D39" s="100">
        <f>+D18+D32</f>
        <v>13367813.533714285</v>
      </c>
      <c r="E39" s="98"/>
      <c r="F39" s="99">
        <f>+F18+F32</f>
        <v>2446</v>
      </c>
      <c r="G39" s="108">
        <f>+G18+G32</f>
        <v>1487.5262</v>
      </c>
      <c r="H39" s="109">
        <f t="shared" ref="H39" si="2">IF(G39&gt;0,G39/F39,0)</f>
        <v>0.60814644317252653</v>
      </c>
      <c r="I39" s="98"/>
      <c r="J39" s="99">
        <f>+J18+J32</f>
        <v>2448</v>
      </c>
      <c r="K39" s="110">
        <f t="shared" ref="K39" si="3">D39/(J39*H39)</f>
        <v>8979.2651164252238</v>
      </c>
    </row>
  </sheetData>
  <pageMargins left="0.25" right="0.25" top="0.75" bottom="0.75" header="0.3" footer="0.3"/>
  <pageSetup scale="79" orientation="landscape" r:id="rId1"/>
  <headerFooter>
    <oddHeader>&amp;R&amp;"-,Bold"&amp;12&amp;K03-024MERCER</oddHeader>
    <oddFooter>&amp;LMyers and Stauffer LC&amp;R&amp;D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W39"/>
  <sheetViews>
    <sheetView topLeftCell="A10" workbookViewId="0">
      <selection activeCell="B39" sqref="B39"/>
    </sheetView>
  </sheetViews>
  <sheetFormatPr defaultRowHeight="14.4" x14ac:dyDescent="0.3"/>
  <cols>
    <col min="2" max="2" width="9.44140625" customWidth="1"/>
    <col min="3" max="3" width="40.109375" bestFit="1" customWidth="1"/>
    <col min="4" max="4" width="10.88671875" customWidth="1"/>
    <col min="5" max="5" width="11" bestFit="1" customWidth="1"/>
    <col min="7" max="7" width="2.6640625" customWidth="1"/>
    <col min="8" max="8" width="10.44140625" bestFit="1" customWidth="1"/>
    <col min="9" max="9" width="15.44140625" customWidth="1"/>
    <col min="12" max="12" width="12.33203125" customWidth="1"/>
    <col min="13" max="13" width="12.33203125" style="19" customWidth="1"/>
    <col min="14" max="14" width="13.44140625" style="19" customWidth="1"/>
    <col min="15" max="15" width="2.6640625" customWidth="1"/>
    <col min="16" max="16" width="10.6640625" customWidth="1"/>
    <col min="19" max="19" width="2.6640625" customWidth="1"/>
    <col min="20" max="21" width="10.5546875" bestFit="1" customWidth="1"/>
  </cols>
  <sheetData>
    <row r="1" spans="1:23" s="19" customFormat="1" ht="18" x14ac:dyDescent="0.25">
      <c r="A1" s="86" t="s">
        <v>267</v>
      </c>
    </row>
    <row r="2" spans="1:23" s="19" customFormat="1" ht="18" x14ac:dyDescent="0.25">
      <c r="A2" s="86" t="s">
        <v>240</v>
      </c>
    </row>
    <row r="3" spans="1:23" s="19" customFormat="1" ht="15.75" x14ac:dyDescent="0.25">
      <c r="A3" s="87" t="s">
        <v>168</v>
      </c>
    </row>
    <row r="4" spans="1:23" s="19" customFormat="1" ht="15" x14ac:dyDescent="0.25"/>
    <row r="5" spans="1:23" s="19" customFormat="1" ht="15" x14ac:dyDescent="0.25">
      <c r="L5" s="4"/>
      <c r="M5" s="20"/>
      <c r="N5" s="20"/>
    </row>
    <row r="6" spans="1:23" s="19" customFormat="1" ht="60" x14ac:dyDescent="0.25">
      <c r="A6" s="88" t="s">
        <v>0</v>
      </c>
      <c r="B6" s="89" t="s">
        <v>1</v>
      </c>
      <c r="C6" s="89" t="s">
        <v>2</v>
      </c>
      <c r="D6" s="89" t="s">
        <v>156</v>
      </c>
      <c r="E6" s="89" t="s">
        <v>230</v>
      </c>
      <c r="F6" s="89" t="s">
        <v>157</v>
      </c>
      <c r="G6" s="89"/>
      <c r="H6" s="89" t="s">
        <v>158</v>
      </c>
      <c r="I6" s="89" t="s">
        <v>256</v>
      </c>
      <c r="J6" s="89" t="s">
        <v>231</v>
      </c>
      <c r="K6" s="89" t="s">
        <v>159</v>
      </c>
      <c r="L6" s="89" t="s">
        <v>241</v>
      </c>
      <c r="M6" s="89" t="s">
        <v>243</v>
      </c>
      <c r="N6" s="89" t="s">
        <v>242</v>
      </c>
      <c r="O6" s="89"/>
      <c r="P6" s="89" t="s">
        <v>160</v>
      </c>
      <c r="Q6" s="89" t="s">
        <v>232</v>
      </c>
      <c r="R6" s="89" t="s">
        <v>161</v>
      </c>
      <c r="S6" s="89"/>
      <c r="T6" s="89" t="s">
        <v>252</v>
      </c>
      <c r="U6" s="89" t="s">
        <v>253</v>
      </c>
      <c r="V6" s="90" t="s">
        <v>162</v>
      </c>
      <c r="W6" s="1"/>
    </row>
    <row r="7" spans="1:23" ht="15" x14ac:dyDescent="0.25">
      <c r="A7" s="32" t="s">
        <v>169</v>
      </c>
      <c r="B7" s="28" t="s">
        <v>170</v>
      </c>
      <c r="C7" s="28" t="s">
        <v>171</v>
      </c>
      <c r="D7" s="30" t="s">
        <v>172</v>
      </c>
      <c r="E7" s="28" t="s">
        <v>173</v>
      </c>
      <c r="F7" s="28" t="s">
        <v>246</v>
      </c>
      <c r="G7" s="92"/>
      <c r="H7" s="28" t="s">
        <v>175</v>
      </c>
      <c r="I7" s="28" t="s">
        <v>176</v>
      </c>
      <c r="J7" s="28" t="s">
        <v>177</v>
      </c>
      <c r="K7" s="28" t="s">
        <v>247</v>
      </c>
      <c r="L7" s="28" t="s">
        <v>248</v>
      </c>
      <c r="M7" s="28" t="s">
        <v>249</v>
      </c>
      <c r="N7" s="28" t="s">
        <v>250</v>
      </c>
      <c r="O7" s="92"/>
      <c r="P7" s="28" t="s">
        <v>182</v>
      </c>
      <c r="Q7" s="28" t="s">
        <v>183</v>
      </c>
      <c r="R7" s="29" t="s">
        <v>251</v>
      </c>
      <c r="S7" s="92"/>
      <c r="T7" s="82" t="s">
        <v>254</v>
      </c>
      <c r="U7" s="82" t="s">
        <v>255</v>
      </c>
      <c r="V7" s="82" t="s">
        <v>195</v>
      </c>
      <c r="W7" s="1"/>
    </row>
    <row r="8" spans="1:23" ht="15" x14ac:dyDescent="0.25">
      <c r="A8" s="1" t="s">
        <v>11</v>
      </c>
      <c r="B8" s="6" t="s">
        <v>111</v>
      </c>
      <c r="C8" s="20" t="s">
        <v>13</v>
      </c>
      <c r="D8" s="49">
        <v>5130</v>
      </c>
      <c r="E8" s="54">
        <v>4167.7951000000003</v>
      </c>
      <c r="F8" s="56">
        <f t="shared" ref="F8:F36" si="0">E8/D8</f>
        <v>0.81243569200779731</v>
      </c>
      <c r="G8" s="93"/>
      <c r="H8" s="1">
        <v>13</v>
      </c>
      <c r="I8" s="59">
        <v>49.980800000000002</v>
      </c>
      <c r="J8" s="59">
        <v>38.567399999999999</v>
      </c>
      <c r="K8" s="72">
        <f t="shared" ref="K8:K39" si="1">IF(J8&gt;0,J8/H8,0)</f>
        <v>2.9667230769230768</v>
      </c>
      <c r="L8" s="5">
        <f>I8-J8</f>
        <v>11.413400000000003</v>
      </c>
      <c r="M8" s="5">
        <f>E8-L8</f>
        <v>4156.3816999999999</v>
      </c>
      <c r="N8" s="74">
        <f>M8/(H8+D8)</f>
        <v>0.80816288158662253</v>
      </c>
      <c r="O8" s="93"/>
      <c r="P8" s="49">
        <v>28</v>
      </c>
      <c r="Q8" s="62">
        <v>26.8735</v>
      </c>
      <c r="R8" s="65">
        <f t="shared" ref="R8:R39" si="2">IF(Q8&gt;0,Q8/P8,0)</f>
        <v>0.95976785714285717</v>
      </c>
      <c r="S8" s="93"/>
      <c r="T8" s="81">
        <f>P8+D8</f>
        <v>5158</v>
      </c>
      <c r="U8" s="5">
        <f>Q8+M8</f>
        <v>4183.2551999999996</v>
      </c>
      <c r="V8" s="74">
        <f>+U8/T8</f>
        <v>0.81102272198526548</v>
      </c>
      <c r="W8" s="1"/>
    </row>
    <row r="9" spans="1:23" ht="15" x14ac:dyDescent="0.25">
      <c r="A9" s="1" t="s">
        <v>14</v>
      </c>
      <c r="B9" s="20" t="s">
        <v>15</v>
      </c>
      <c r="C9" s="20" t="s">
        <v>16</v>
      </c>
      <c r="D9" s="49">
        <v>801</v>
      </c>
      <c r="E9" s="54">
        <v>359.6859</v>
      </c>
      <c r="F9" s="56">
        <f t="shared" si="0"/>
        <v>0.44904606741573033</v>
      </c>
      <c r="G9" s="93"/>
      <c r="H9" s="1">
        <v>26</v>
      </c>
      <c r="I9" s="59">
        <v>22.177600000000002</v>
      </c>
      <c r="J9" s="59">
        <v>16.180099999999999</v>
      </c>
      <c r="K9" s="72">
        <f t="shared" si="1"/>
        <v>0.62231153846153842</v>
      </c>
      <c r="L9" s="5">
        <f t="shared" ref="L9:L36" si="3">I9-J9</f>
        <v>5.9975000000000023</v>
      </c>
      <c r="M9" s="5">
        <f t="shared" ref="M9:M36" si="4">E9-L9</f>
        <v>353.6884</v>
      </c>
      <c r="N9" s="74">
        <f t="shared" ref="N9:N37" si="5">M9/(H9+D9)</f>
        <v>0.42767642079806528</v>
      </c>
      <c r="O9" s="93"/>
      <c r="P9" s="49">
        <v>1</v>
      </c>
      <c r="Q9" s="62">
        <v>0.73699999999999999</v>
      </c>
      <c r="R9" s="65">
        <f t="shared" si="2"/>
        <v>0.73699999999999999</v>
      </c>
      <c r="S9" s="93"/>
      <c r="T9" s="81">
        <f t="shared" ref="T9:T36" si="6">P9+D9</f>
        <v>802</v>
      </c>
      <c r="U9" s="5">
        <f t="shared" ref="U9:U36" si="7">Q9+M9</f>
        <v>354.42540000000002</v>
      </c>
      <c r="V9" s="74">
        <f t="shared" ref="V9:V36" si="8">+U9/T9</f>
        <v>0.44192693266832922</v>
      </c>
      <c r="W9" s="1"/>
    </row>
    <row r="10" spans="1:23" ht="15" x14ac:dyDescent="0.25">
      <c r="A10" s="1" t="s">
        <v>17</v>
      </c>
      <c r="B10" s="20" t="s">
        <v>18</v>
      </c>
      <c r="C10" s="20" t="s">
        <v>19</v>
      </c>
      <c r="D10" s="49">
        <v>130</v>
      </c>
      <c r="E10" s="54">
        <v>62.253100000000003</v>
      </c>
      <c r="F10" s="56">
        <f t="shared" si="0"/>
        <v>0.47887000000000002</v>
      </c>
      <c r="G10" s="93"/>
      <c r="H10" s="1">
        <v>0</v>
      </c>
      <c r="I10" s="59">
        <v>0</v>
      </c>
      <c r="J10" s="59">
        <v>0</v>
      </c>
      <c r="K10" s="72">
        <f t="shared" si="1"/>
        <v>0</v>
      </c>
      <c r="L10" s="5">
        <f t="shared" si="3"/>
        <v>0</v>
      </c>
      <c r="M10" s="5">
        <f t="shared" si="4"/>
        <v>62.253100000000003</v>
      </c>
      <c r="N10" s="74">
        <f t="shared" si="5"/>
        <v>0.47887000000000002</v>
      </c>
      <c r="O10" s="93"/>
      <c r="P10" s="49">
        <v>0</v>
      </c>
      <c r="Q10" s="62">
        <v>0</v>
      </c>
      <c r="R10" s="65">
        <f t="shared" si="2"/>
        <v>0</v>
      </c>
      <c r="S10" s="93"/>
      <c r="T10" s="81">
        <f t="shared" si="6"/>
        <v>130</v>
      </c>
      <c r="U10" s="5">
        <f t="shared" si="7"/>
        <v>62.253100000000003</v>
      </c>
      <c r="V10" s="74">
        <f t="shared" si="8"/>
        <v>0.47887000000000002</v>
      </c>
      <c r="W10" s="1"/>
    </row>
    <row r="11" spans="1:23" ht="15" x14ac:dyDescent="0.25">
      <c r="A11" s="1" t="s">
        <v>20</v>
      </c>
      <c r="B11" s="20" t="s">
        <v>21</v>
      </c>
      <c r="C11" s="20" t="s">
        <v>22</v>
      </c>
      <c r="D11" s="49">
        <v>2071</v>
      </c>
      <c r="E11" s="54">
        <v>1329.4023</v>
      </c>
      <c r="F11" s="56">
        <f t="shared" si="0"/>
        <v>0.64191323032351522</v>
      </c>
      <c r="G11" s="93"/>
      <c r="H11" s="1">
        <v>19</v>
      </c>
      <c r="I11" s="59">
        <v>18.351800000000001</v>
      </c>
      <c r="J11" s="59">
        <v>14.379899999999999</v>
      </c>
      <c r="K11" s="72">
        <f t="shared" si="1"/>
        <v>0.75683684210526314</v>
      </c>
      <c r="L11" s="5">
        <f t="shared" si="3"/>
        <v>3.9719000000000015</v>
      </c>
      <c r="M11" s="5">
        <f t="shared" si="4"/>
        <v>1325.4304</v>
      </c>
      <c r="N11" s="74">
        <f t="shared" si="5"/>
        <v>0.63417722488038275</v>
      </c>
      <c r="O11" s="93"/>
      <c r="P11" s="49">
        <v>10</v>
      </c>
      <c r="Q11" s="62">
        <v>10.484999999999999</v>
      </c>
      <c r="R11" s="65">
        <f t="shared" si="2"/>
        <v>1.0485</v>
      </c>
      <c r="S11" s="93"/>
      <c r="T11" s="81">
        <f t="shared" si="6"/>
        <v>2081</v>
      </c>
      <c r="U11" s="5">
        <f t="shared" si="7"/>
        <v>1335.9153999999999</v>
      </c>
      <c r="V11" s="74">
        <f t="shared" si="8"/>
        <v>0.64195838539163852</v>
      </c>
      <c r="W11" s="1"/>
    </row>
    <row r="12" spans="1:23" ht="15" x14ac:dyDescent="0.25">
      <c r="A12" s="3" t="s">
        <v>23</v>
      </c>
      <c r="B12" s="4" t="s">
        <v>24</v>
      </c>
      <c r="C12" s="4" t="s">
        <v>25</v>
      </c>
      <c r="D12" s="51">
        <v>2166</v>
      </c>
      <c r="E12" s="55">
        <v>1442.9819000000002</v>
      </c>
      <c r="F12" s="57">
        <f t="shared" si="0"/>
        <v>0.66619662973222538</v>
      </c>
      <c r="G12" s="93"/>
      <c r="H12" s="3">
        <v>9</v>
      </c>
      <c r="I12" s="60">
        <v>21.119299999999999</v>
      </c>
      <c r="J12" s="60">
        <v>15.7477</v>
      </c>
      <c r="K12" s="73">
        <f t="shared" si="1"/>
        <v>1.7497444444444445</v>
      </c>
      <c r="L12" s="55">
        <f t="shared" si="3"/>
        <v>5.371599999999999</v>
      </c>
      <c r="M12" s="55">
        <f t="shared" si="4"/>
        <v>1437.6103000000003</v>
      </c>
      <c r="N12" s="75">
        <f t="shared" si="5"/>
        <v>0.66097025287356337</v>
      </c>
      <c r="O12" s="93"/>
      <c r="P12" s="51">
        <v>21</v>
      </c>
      <c r="Q12" s="63">
        <v>32.640900000000002</v>
      </c>
      <c r="R12" s="66">
        <f t="shared" si="2"/>
        <v>1.5543285714285715</v>
      </c>
      <c r="S12" s="93"/>
      <c r="T12" s="51">
        <f t="shared" si="6"/>
        <v>2187</v>
      </c>
      <c r="U12" s="55">
        <f t="shared" si="7"/>
        <v>1470.2512000000004</v>
      </c>
      <c r="V12" s="75">
        <f t="shared" si="8"/>
        <v>0.6722684956561501</v>
      </c>
      <c r="W12" s="1"/>
    </row>
    <row r="13" spans="1:23" ht="15" x14ac:dyDescent="0.25">
      <c r="A13" s="1" t="s">
        <v>26</v>
      </c>
      <c r="B13" s="20" t="s">
        <v>27</v>
      </c>
      <c r="C13" s="20" t="s">
        <v>28</v>
      </c>
      <c r="D13" s="49">
        <v>2086</v>
      </c>
      <c r="E13" s="54">
        <v>1276.1519000000001</v>
      </c>
      <c r="F13" s="56">
        <f t="shared" si="0"/>
        <v>0.61176984659635669</v>
      </c>
      <c r="G13" s="93"/>
      <c r="H13" s="1">
        <v>45</v>
      </c>
      <c r="I13" s="59">
        <v>61.0154</v>
      </c>
      <c r="J13" s="59">
        <v>43.712699999999998</v>
      </c>
      <c r="K13" s="72">
        <f t="shared" si="1"/>
        <v>0.97139333333333333</v>
      </c>
      <c r="L13" s="5">
        <f t="shared" si="3"/>
        <v>17.302700000000002</v>
      </c>
      <c r="M13" s="5">
        <f t="shared" si="4"/>
        <v>1258.8492000000001</v>
      </c>
      <c r="N13" s="74">
        <f t="shared" si="5"/>
        <v>0.5907316752698264</v>
      </c>
      <c r="O13" s="93"/>
      <c r="P13" s="49">
        <v>11</v>
      </c>
      <c r="Q13" s="62">
        <v>11.985200000000001</v>
      </c>
      <c r="R13" s="65">
        <f t="shared" si="2"/>
        <v>1.0895636363636365</v>
      </c>
      <c r="S13" s="93"/>
      <c r="T13" s="81">
        <f t="shared" si="6"/>
        <v>2097</v>
      </c>
      <c r="U13" s="5">
        <f t="shared" si="7"/>
        <v>1270.8344000000002</v>
      </c>
      <c r="V13" s="74">
        <f t="shared" si="8"/>
        <v>0.60602498807820704</v>
      </c>
      <c r="W13" s="1"/>
    </row>
    <row r="14" spans="1:23" ht="15" x14ac:dyDescent="0.25">
      <c r="A14" s="1" t="s">
        <v>29</v>
      </c>
      <c r="B14" s="20" t="s">
        <v>30</v>
      </c>
      <c r="C14" s="20" t="s">
        <v>31</v>
      </c>
      <c r="D14" s="49">
        <v>320</v>
      </c>
      <c r="E14" s="54">
        <v>171.41800000000001</v>
      </c>
      <c r="F14" s="56">
        <f t="shared" si="0"/>
        <v>0.53568125</v>
      </c>
      <c r="G14" s="93"/>
      <c r="H14" s="1">
        <v>9</v>
      </c>
      <c r="I14" s="59">
        <v>6.9965000000000002</v>
      </c>
      <c r="J14" s="59">
        <v>6.25</v>
      </c>
      <c r="K14" s="72">
        <f t="shared" si="1"/>
        <v>0.69444444444444442</v>
      </c>
      <c r="L14" s="5">
        <f t="shared" si="3"/>
        <v>0.74650000000000016</v>
      </c>
      <c r="M14" s="5">
        <f t="shared" si="4"/>
        <v>170.67150000000001</v>
      </c>
      <c r="N14" s="74">
        <f t="shared" si="5"/>
        <v>0.51875835866261399</v>
      </c>
      <c r="O14" s="93"/>
      <c r="P14" s="49">
        <v>4</v>
      </c>
      <c r="Q14" s="62">
        <v>3.593</v>
      </c>
      <c r="R14" s="65">
        <f t="shared" si="2"/>
        <v>0.89824999999999999</v>
      </c>
      <c r="S14" s="93"/>
      <c r="T14" s="81">
        <f t="shared" si="6"/>
        <v>324</v>
      </c>
      <c r="U14" s="5">
        <f t="shared" si="7"/>
        <v>174.2645</v>
      </c>
      <c r="V14" s="74">
        <f t="shared" si="8"/>
        <v>0.53785339506172836</v>
      </c>
      <c r="W14" s="1"/>
    </row>
    <row r="15" spans="1:23" ht="15" x14ac:dyDescent="0.25">
      <c r="A15" s="1" t="s">
        <v>32</v>
      </c>
      <c r="B15" s="20" t="s">
        <v>33</v>
      </c>
      <c r="C15" s="20" t="s">
        <v>34</v>
      </c>
      <c r="D15" s="49">
        <v>3871</v>
      </c>
      <c r="E15" s="54">
        <v>2531.4806000000003</v>
      </c>
      <c r="F15" s="56">
        <f t="shared" si="0"/>
        <v>0.65396037199690016</v>
      </c>
      <c r="G15" s="93"/>
      <c r="H15" s="1">
        <v>25</v>
      </c>
      <c r="I15" s="59">
        <v>47.819299999999998</v>
      </c>
      <c r="J15" s="59">
        <v>42.552999999999997</v>
      </c>
      <c r="K15" s="72">
        <f t="shared" si="1"/>
        <v>1.7021199999999999</v>
      </c>
      <c r="L15" s="5">
        <f t="shared" si="3"/>
        <v>5.2663000000000011</v>
      </c>
      <c r="M15" s="5">
        <f t="shared" si="4"/>
        <v>2526.2143000000005</v>
      </c>
      <c r="N15" s="74">
        <f t="shared" si="5"/>
        <v>0.6484122946611911</v>
      </c>
      <c r="O15" s="93"/>
      <c r="P15" s="49">
        <v>26</v>
      </c>
      <c r="Q15" s="62">
        <v>49.762099999999997</v>
      </c>
      <c r="R15" s="65">
        <f t="shared" si="2"/>
        <v>1.9139269230769229</v>
      </c>
      <c r="S15" s="93"/>
      <c r="T15" s="81">
        <f t="shared" si="6"/>
        <v>3897</v>
      </c>
      <c r="U15" s="5">
        <f t="shared" si="7"/>
        <v>2575.9764000000005</v>
      </c>
      <c r="V15" s="74">
        <f t="shared" si="8"/>
        <v>0.6610152424942265</v>
      </c>
      <c r="W15" s="1"/>
    </row>
    <row r="16" spans="1:23" ht="15" x14ac:dyDescent="0.25">
      <c r="A16" s="15" t="s">
        <v>35</v>
      </c>
      <c r="B16" s="10" t="s">
        <v>36</v>
      </c>
      <c r="C16" s="20" t="s">
        <v>37</v>
      </c>
      <c r="D16" s="49">
        <v>651</v>
      </c>
      <c r="E16" s="54">
        <v>464.29910000000001</v>
      </c>
      <c r="F16" s="56">
        <f t="shared" si="0"/>
        <v>0.71320906298003073</v>
      </c>
      <c r="G16" s="93"/>
      <c r="H16" s="1">
        <v>8</v>
      </c>
      <c r="I16" s="59">
        <v>8.8516999999999992</v>
      </c>
      <c r="J16" s="59">
        <v>6.7973999999999997</v>
      </c>
      <c r="K16" s="72">
        <f t="shared" si="1"/>
        <v>0.84967499999999996</v>
      </c>
      <c r="L16" s="5">
        <f t="shared" si="3"/>
        <v>2.0542999999999996</v>
      </c>
      <c r="M16" s="5">
        <f t="shared" si="4"/>
        <v>462.2448</v>
      </c>
      <c r="N16" s="74">
        <f t="shared" si="5"/>
        <v>0.70143368740515932</v>
      </c>
      <c r="O16" s="93"/>
      <c r="P16" s="49">
        <v>0</v>
      </c>
      <c r="Q16" s="62">
        <v>0</v>
      </c>
      <c r="R16" s="65">
        <f t="shared" si="2"/>
        <v>0</v>
      </c>
      <c r="S16" s="93"/>
      <c r="T16" s="81">
        <f t="shared" si="6"/>
        <v>651</v>
      </c>
      <c r="U16" s="5">
        <f t="shared" si="7"/>
        <v>462.2448</v>
      </c>
      <c r="V16" s="74">
        <f t="shared" si="8"/>
        <v>0.7100534562211982</v>
      </c>
      <c r="W16" s="1"/>
    </row>
    <row r="17" spans="1:23" ht="15" x14ac:dyDescent="0.25">
      <c r="A17" s="3" t="s">
        <v>38</v>
      </c>
      <c r="B17" s="4" t="s">
        <v>12</v>
      </c>
      <c r="C17" s="4" t="s">
        <v>39</v>
      </c>
      <c r="D17" s="51">
        <v>186</v>
      </c>
      <c r="E17" s="55">
        <v>167.83459999999999</v>
      </c>
      <c r="F17" s="57">
        <f t="shared" si="0"/>
        <v>0.90233655913978494</v>
      </c>
      <c r="G17" s="93"/>
      <c r="H17" s="3">
        <v>7</v>
      </c>
      <c r="I17" s="60">
        <v>7.9695999999999998</v>
      </c>
      <c r="J17" s="60">
        <v>6.9607000000000001</v>
      </c>
      <c r="K17" s="73">
        <f t="shared" si="1"/>
        <v>0.99438571428571432</v>
      </c>
      <c r="L17" s="55">
        <f t="shared" si="3"/>
        <v>1.0088999999999997</v>
      </c>
      <c r="M17" s="55">
        <f t="shared" si="4"/>
        <v>166.82569999999998</v>
      </c>
      <c r="N17" s="75">
        <f t="shared" si="5"/>
        <v>0.86438186528497396</v>
      </c>
      <c r="O17" s="93"/>
      <c r="P17" s="51">
        <v>2</v>
      </c>
      <c r="Q17" s="63">
        <v>2.6381999999999999</v>
      </c>
      <c r="R17" s="66">
        <f t="shared" si="2"/>
        <v>1.3190999999999999</v>
      </c>
      <c r="S17" s="93"/>
      <c r="T17" s="51">
        <f t="shared" si="6"/>
        <v>188</v>
      </c>
      <c r="U17" s="55">
        <f t="shared" si="7"/>
        <v>169.4639</v>
      </c>
      <c r="V17" s="75">
        <f t="shared" si="8"/>
        <v>0.90140372340425534</v>
      </c>
      <c r="W17" s="1"/>
    </row>
    <row r="18" spans="1:23" ht="15" x14ac:dyDescent="0.25">
      <c r="A18" s="1" t="s">
        <v>40</v>
      </c>
      <c r="B18" s="20" t="s">
        <v>137</v>
      </c>
      <c r="C18" s="20" t="s">
        <v>42</v>
      </c>
      <c r="D18" s="49">
        <v>215</v>
      </c>
      <c r="E18" s="54">
        <v>98.704700000000003</v>
      </c>
      <c r="F18" s="56">
        <f t="shared" si="0"/>
        <v>0.45909162790697677</v>
      </c>
      <c r="G18" s="93"/>
      <c r="H18" s="1">
        <v>11</v>
      </c>
      <c r="I18" s="59">
        <v>7.2420999999999998</v>
      </c>
      <c r="J18" s="59">
        <v>6.3273000000000001</v>
      </c>
      <c r="K18" s="72">
        <f t="shared" si="1"/>
        <v>0.57520909090909089</v>
      </c>
      <c r="L18" s="5">
        <f t="shared" si="3"/>
        <v>0.91479999999999961</v>
      </c>
      <c r="M18" s="54">
        <f t="shared" si="4"/>
        <v>97.789900000000003</v>
      </c>
      <c r="N18" s="74">
        <f t="shared" si="5"/>
        <v>0.43269867256637168</v>
      </c>
      <c r="O18" s="93"/>
      <c r="P18" s="49">
        <v>3</v>
      </c>
      <c r="Q18" s="62">
        <v>2.6475</v>
      </c>
      <c r="R18" s="65">
        <f t="shared" si="2"/>
        <v>0.88249999999999995</v>
      </c>
      <c r="S18" s="93"/>
      <c r="T18" s="81">
        <f t="shared" si="6"/>
        <v>218</v>
      </c>
      <c r="U18" s="5">
        <f t="shared" si="7"/>
        <v>100.4374</v>
      </c>
      <c r="V18" s="74">
        <f t="shared" si="8"/>
        <v>0.46072201834862386</v>
      </c>
      <c r="W18" s="1"/>
    </row>
    <row r="19" spans="1:23" ht="15" x14ac:dyDescent="0.25">
      <c r="A19" s="1" t="s">
        <v>43</v>
      </c>
      <c r="B19" s="20" t="s">
        <v>44</v>
      </c>
      <c r="C19" s="20" t="s">
        <v>45</v>
      </c>
      <c r="D19" s="49">
        <v>2156</v>
      </c>
      <c r="E19" s="54">
        <v>1572.3308999999999</v>
      </c>
      <c r="F19" s="56">
        <f t="shared" si="0"/>
        <v>0.72928149350649352</v>
      </c>
      <c r="G19" s="93"/>
      <c r="H19" s="1">
        <v>24</v>
      </c>
      <c r="I19" s="59">
        <v>36.8048</v>
      </c>
      <c r="J19" s="59">
        <v>25.450500000000002</v>
      </c>
      <c r="K19" s="72">
        <f t="shared" si="1"/>
        <v>1.0604375000000001</v>
      </c>
      <c r="L19" s="5">
        <f t="shared" si="3"/>
        <v>11.354299999999999</v>
      </c>
      <c r="M19" s="5">
        <f t="shared" si="4"/>
        <v>1560.9766</v>
      </c>
      <c r="N19" s="74">
        <f t="shared" si="5"/>
        <v>0.71604431192660545</v>
      </c>
      <c r="O19" s="93"/>
      <c r="P19" s="49">
        <v>3</v>
      </c>
      <c r="Q19" s="62">
        <v>3.9679000000000002</v>
      </c>
      <c r="R19" s="65">
        <f t="shared" si="2"/>
        <v>1.3226333333333333</v>
      </c>
      <c r="S19" s="93"/>
      <c r="T19" s="81">
        <f t="shared" si="6"/>
        <v>2159</v>
      </c>
      <c r="U19" s="5">
        <f t="shared" si="7"/>
        <v>1564.9445000000001</v>
      </c>
      <c r="V19" s="74">
        <f t="shared" si="8"/>
        <v>0.72484691987031036</v>
      </c>
      <c r="W19" s="1"/>
    </row>
    <row r="20" spans="1:23" ht="15" x14ac:dyDescent="0.25">
      <c r="A20" s="1" t="s">
        <v>46</v>
      </c>
      <c r="B20" s="20" t="s">
        <v>47</v>
      </c>
      <c r="C20" s="20" t="s">
        <v>48</v>
      </c>
      <c r="D20" s="49">
        <v>1575</v>
      </c>
      <c r="E20" s="54">
        <v>925.60720000000003</v>
      </c>
      <c r="F20" s="56">
        <f t="shared" si="0"/>
        <v>0.58768711111111116</v>
      </c>
      <c r="G20" s="93"/>
      <c r="H20" s="1">
        <v>38</v>
      </c>
      <c r="I20" s="59">
        <v>33.707700000000003</v>
      </c>
      <c r="J20" s="59">
        <v>28.9072</v>
      </c>
      <c r="K20" s="72">
        <f t="shared" si="1"/>
        <v>0.76071578947368423</v>
      </c>
      <c r="L20" s="5">
        <f t="shared" si="3"/>
        <v>4.8005000000000031</v>
      </c>
      <c r="M20" s="5">
        <f t="shared" si="4"/>
        <v>920.80669999999998</v>
      </c>
      <c r="N20" s="74">
        <f t="shared" si="5"/>
        <v>0.57086590204587728</v>
      </c>
      <c r="O20" s="93"/>
      <c r="P20" s="49">
        <v>1</v>
      </c>
      <c r="Q20" s="62">
        <v>2.1810999999999998</v>
      </c>
      <c r="R20" s="65">
        <f t="shared" si="2"/>
        <v>2.1810999999999998</v>
      </c>
      <c r="S20" s="93"/>
      <c r="T20" s="81">
        <f t="shared" si="6"/>
        <v>1576</v>
      </c>
      <c r="U20" s="5">
        <f t="shared" si="7"/>
        <v>922.98779999999999</v>
      </c>
      <c r="V20" s="74">
        <f t="shared" si="8"/>
        <v>0.5856521573604061</v>
      </c>
      <c r="W20" s="1"/>
    </row>
    <row r="21" spans="1:23" ht="15" x14ac:dyDescent="0.25">
      <c r="A21" s="1" t="s">
        <v>49</v>
      </c>
      <c r="B21" s="20" t="s">
        <v>50</v>
      </c>
      <c r="C21" s="20" t="s">
        <v>51</v>
      </c>
      <c r="D21" s="49">
        <v>320</v>
      </c>
      <c r="E21" s="54">
        <v>210.0702</v>
      </c>
      <c r="F21" s="56">
        <f t="shared" si="0"/>
        <v>0.65646937500000002</v>
      </c>
      <c r="G21" s="93"/>
      <c r="H21" s="1">
        <v>8</v>
      </c>
      <c r="I21" s="59">
        <v>9.9222999999999999</v>
      </c>
      <c r="J21" s="59">
        <v>9.0609999999999999</v>
      </c>
      <c r="K21" s="72">
        <f t="shared" si="1"/>
        <v>1.132625</v>
      </c>
      <c r="L21" s="5">
        <f t="shared" si="3"/>
        <v>0.86129999999999995</v>
      </c>
      <c r="M21" s="5">
        <f t="shared" si="4"/>
        <v>209.2089</v>
      </c>
      <c r="N21" s="74">
        <f t="shared" si="5"/>
        <v>0.63783201219512198</v>
      </c>
      <c r="O21" s="93"/>
      <c r="P21" s="49">
        <v>5</v>
      </c>
      <c r="Q21" s="62">
        <v>8.4514999999999993</v>
      </c>
      <c r="R21" s="65">
        <f t="shared" si="2"/>
        <v>1.6902999999999999</v>
      </c>
      <c r="S21" s="93"/>
      <c r="T21" s="81">
        <f t="shared" si="6"/>
        <v>325</v>
      </c>
      <c r="U21" s="5">
        <f t="shared" si="7"/>
        <v>217.66040000000001</v>
      </c>
      <c r="V21" s="74">
        <f t="shared" si="8"/>
        <v>0.66972430769230773</v>
      </c>
      <c r="W21" s="1"/>
    </row>
    <row r="22" spans="1:23" ht="15" x14ac:dyDescent="0.25">
      <c r="A22" s="3" t="s">
        <v>52</v>
      </c>
      <c r="B22" s="4" t="s">
        <v>53</v>
      </c>
      <c r="C22" s="4" t="s">
        <v>54</v>
      </c>
      <c r="D22" s="51">
        <v>214</v>
      </c>
      <c r="E22" s="55">
        <v>155.7047</v>
      </c>
      <c r="F22" s="57">
        <f t="shared" si="0"/>
        <v>0.7275920560747664</v>
      </c>
      <c r="G22" s="93"/>
      <c r="H22" s="3">
        <v>5</v>
      </c>
      <c r="I22" s="60">
        <v>3.5030999999999999</v>
      </c>
      <c r="J22" s="60">
        <v>3.3403999999999998</v>
      </c>
      <c r="K22" s="73">
        <f t="shared" si="1"/>
        <v>0.66808000000000001</v>
      </c>
      <c r="L22" s="55">
        <f t="shared" si="3"/>
        <v>0.16270000000000007</v>
      </c>
      <c r="M22" s="55">
        <f t="shared" si="4"/>
        <v>155.542</v>
      </c>
      <c r="N22" s="75">
        <f t="shared" si="5"/>
        <v>0.71023744292237445</v>
      </c>
      <c r="O22" s="93"/>
      <c r="P22" s="51">
        <v>0</v>
      </c>
      <c r="Q22" s="63">
        <v>0</v>
      </c>
      <c r="R22" s="66">
        <f t="shared" si="2"/>
        <v>0</v>
      </c>
      <c r="S22" s="93"/>
      <c r="T22" s="51">
        <f t="shared" si="6"/>
        <v>214</v>
      </c>
      <c r="U22" s="55">
        <f t="shared" si="7"/>
        <v>155.542</v>
      </c>
      <c r="V22" s="75">
        <f t="shared" si="8"/>
        <v>0.7268317757009346</v>
      </c>
      <c r="W22" s="1"/>
    </row>
    <row r="23" spans="1:23" ht="15" x14ac:dyDescent="0.25">
      <c r="A23" s="1" t="s">
        <v>55</v>
      </c>
      <c r="B23" s="20" t="s">
        <v>56</v>
      </c>
      <c r="C23" s="20" t="s">
        <v>57</v>
      </c>
      <c r="D23" s="49">
        <v>1521</v>
      </c>
      <c r="E23" s="54">
        <v>962.79679999999996</v>
      </c>
      <c r="F23" s="56">
        <f t="shared" si="0"/>
        <v>0.63300249835634448</v>
      </c>
      <c r="G23" s="93"/>
      <c r="H23" s="1">
        <v>30</v>
      </c>
      <c r="I23" s="59">
        <v>29.610199999999999</v>
      </c>
      <c r="J23" s="59">
        <v>22.9222</v>
      </c>
      <c r="K23" s="72">
        <f t="shared" si="1"/>
        <v>0.76407333333333338</v>
      </c>
      <c r="L23" s="54">
        <f t="shared" si="3"/>
        <v>6.6879999999999988</v>
      </c>
      <c r="M23" s="5">
        <f t="shared" si="4"/>
        <v>956.10879999999997</v>
      </c>
      <c r="N23" s="74">
        <f t="shared" si="5"/>
        <v>0.61644667956157317</v>
      </c>
      <c r="O23" s="93"/>
      <c r="P23" s="49">
        <v>9</v>
      </c>
      <c r="Q23" s="62">
        <v>9.9046000000000003</v>
      </c>
      <c r="R23" s="65">
        <f t="shared" si="2"/>
        <v>1.1005111111111112</v>
      </c>
      <c r="S23" s="93"/>
      <c r="T23" s="81">
        <f t="shared" si="6"/>
        <v>1530</v>
      </c>
      <c r="U23" s="5">
        <f t="shared" si="7"/>
        <v>966.01339999999993</v>
      </c>
      <c r="V23" s="74">
        <f t="shared" si="8"/>
        <v>0.63138130718954244</v>
      </c>
      <c r="W23" s="1"/>
    </row>
    <row r="24" spans="1:23" ht="15" x14ac:dyDescent="0.25">
      <c r="A24" s="1" t="s">
        <v>58</v>
      </c>
      <c r="B24" s="20" t="s">
        <v>59</v>
      </c>
      <c r="C24" s="20" t="s">
        <v>60</v>
      </c>
      <c r="D24" s="49">
        <v>735</v>
      </c>
      <c r="E24" s="54">
        <v>419.37079999999997</v>
      </c>
      <c r="F24" s="56">
        <f t="shared" si="0"/>
        <v>0.57057251700680267</v>
      </c>
      <c r="G24" s="93"/>
      <c r="H24" s="1">
        <v>26</v>
      </c>
      <c r="I24" s="59">
        <v>22.462900000000001</v>
      </c>
      <c r="J24" s="59">
        <v>18.061399999999999</v>
      </c>
      <c r="K24" s="72">
        <f t="shared" si="1"/>
        <v>0.69466923076923071</v>
      </c>
      <c r="L24" s="5">
        <f t="shared" si="3"/>
        <v>4.4015000000000022</v>
      </c>
      <c r="M24" s="5">
        <f t="shared" si="4"/>
        <v>414.96929999999998</v>
      </c>
      <c r="N24" s="74">
        <f t="shared" si="5"/>
        <v>0.54529474375821285</v>
      </c>
      <c r="O24" s="93"/>
      <c r="P24" s="49">
        <v>0</v>
      </c>
      <c r="Q24" s="62">
        <v>0</v>
      </c>
      <c r="R24" s="65">
        <f t="shared" si="2"/>
        <v>0</v>
      </c>
      <c r="S24" s="93"/>
      <c r="T24" s="81">
        <f t="shared" si="6"/>
        <v>735</v>
      </c>
      <c r="U24" s="5">
        <f t="shared" si="7"/>
        <v>414.96929999999998</v>
      </c>
      <c r="V24" s="74">
        <f t="shared" si="8"/>
        <v>0.56458408163265306</v>
      </c>
      <c r="W24" s="1"/>
    </row>
    <row r="25" spans="1:23" ht="15" x14ac:dyDescent="0.25">
      <c r="A25" s="1" t="s">
        <v>61</v>
      </c>
      <c r="B25" s="20" t="s">
        <v>10</v>
      </c>
      <c r="C25" s="20" t="s">
        <v>62</v>
      </c>
      <c r="D25" s="49">
        <v>13694</v>
      </c>
      <c r="E25" s="54">
        <v>11366.424299999999</v>
      </c>
      <c r="F25" s="56">
        <f t="shared" si="0"/>
        <v>0.83002952387907103</v>
      </c>
      <c r="G25" s="93"/>
      <c r="H25" s="1">
        <v>97</v>
      </c>
      <c r="I25" s="59">
        <v>186.8416</v>
      </c>
      <c r="J25" s="59">
        <v>154.16069999999999</v>
      </c>
      <c r="K25" s="72">
        <f t="shared" si="1"/>
        <v>1.5892855670103092</v>
      </c>
      <c r="L25" s="5">
        <f t="shared" si="3"/>
        <v>32.680900000000008</v>
      </c>
      <c r="M25" s="5">
        <f t="shared" si="4"/>
        <v>11333.743399999999</v>
      </c>
      <c r="N25" s="74">
        <f t="shared" si="5"/>
        <v>0.82182172431295764</v>
      </c>
      <c r="O25" s="93"/>
      <c r="P25" s="49">
        <v>420</v>
      </c>
      <c r="Q25" s="62">
        <v>728.95339999999999</v>
      </c>
      <c r="R25" s="65">
        <f t="shared" si="2"/>
        <v>1.7356033333333334</v>
      </c>
      <c r="S25" s="93"/>
      <c r="T25" s="81">
        <f t="shared" si="6"/>
        <v>14114</v>
      </c>
      <c r="U25" s="5">
        <f t="shared" si="7"/>
        <v>12062.6968</v>
      </c>
      <c r="V25" s="74">
        <f t="shared" si="8"/>
        <v>0.85466181096783334</v>
      </c>
      <c r="W25" s="1"/>
    </row>
    <row r="26" spans="1:23" ht="15" x14ac:dyDescent="0.25">
      <c r="A26" s="1" t="s">
        <v>63</v>
      </c>
      <c r="B26" s="20" t="s">
        <v>64</v>
      </c>
      <c r="C26" s="20" t="s">
        <v>65</v>
      </c>
      <c r="D26" s="49">
        <v>1551</v>
      </c>
      <c r="E26" s="54">
        <v>1044.0543</v>
      </c>
      <c r="F26" s="56">
        <f t="shared" si="0"/>
        <v>0.67314912959381046</v>
      </c>
      <c r="G26" s="93"/>
      <c r="H26" s="1">
        <v>28</v>
      </c>
      <c r="I26" s="59">
        <v>28.116099999999999</v>
      </c>
      <c r="J26" s="59">
        <v>19.109000000000002</v>
      </c>
      <c r="K26" s="72">
        <f t="shared" si="1"/>
        <v>0.68246428571428575</v>
      </c>
      <c r="L26" s="5">
        <f t="shared" si="3"/>
        <v>9.0070999999999977</v>
      </c>
      <c r="M26" s="5">
        <f t="shared" si="4"/>
        <v>1035.0472</v>
      </c>
      <c r="N26" s="74">
        <f t="shared" si="5"/>
        <v>0.65550804306523114</v>
      </c>
      <c r="O26" s="93"/>
      <c r="P26" s="49">
        <v>15</v>
      </c>
      <c r="Q26" s="62">
        <v>17.080300000000001</v>
      </c>
      <c r="R26" s="65">
        <f t="shared" si="2"/>
        <v>1.1386866666666668</v>
      </c>
      <c r="S26" s="93"/>
      <c r="T26" s="81">
        <f t="shared" si="6"/>
        <v>1566</v>
      </c>
      <c r="U26" s="5">
        <f t="shared" si="7"/>
        <v>1052.1275000000001</v>
      </c>
      <c r="V26" s="74">
        <f t="shared" si="8"/>
        <v>0.67185664112388255</v>
      </c>
      <c r="W26" s="1"/>
    </row>
    <row r="27" spans="1:23" ht="15" x14ac:dyDescent="0.25">
      <c r="A27" s="3" t="s">
        <v>66</v>
      </c>
      <c r="B27" s="4" t="s">
        <v>67</v>
      </c>
      <c r="C27" s="4" t="s">
        <v>68</v>
      </c>
      <c r="D27" s="51">
        <v>5163</v>
      </c>
      <c r="E27" s="55">
        <v>4870.3192000000008</v>
      </c>
      <c r="F27" s="57">
        <f t="shared" si="0"/>
        <v>0.94331187294208807</v>
      </c>
      <c r="G27" s="93"/>
      <c r="H27" s="3">
        <v>15</v>
      </c>
      <c r="I27" s="60">
        <v>16.1143</v>
      </c>
      <c r="J27" s="60">
        <v>11.617599999999999</v>
      </c>
      <c r="K27" s="73">
        <f t="shared" si="1"/>
        <v>0.77450666666666668</v>
      </c>
      <c r="L27" s="55">
        <f t="shared" si="3"/>
        <v>4.4967000000000006</v>
      </c>
      <c r="M27" s="55">
        <f t="shared" si="4"/>
        <v>4865.8225000000011</v>
      </c>
      <c r="N27" s="75">
        <f t="shared" si="5"/>
        <v>0.93971079567400562</v>
      </c>
      <c r="O27" s="93"/>
      <c r="P27" s="51">
        <v>33</v>
      </c>
      <c r="Q27" s="63">
        <v>55.768599999999999</v>
      </c>
      <c r="R27" s="66">
        <f t="shared" si="2"/>
        <v>1.6899575757575758</v>
      </c>
      <c r="S27" s="93"/>
      <c r="T27" s="51">
        <f t="shared" si="6"/>
        <v>5196</v>
      </c>
      <c r="U27" s="55">
        <f t="shared" si="7"/>
        <v>4921.5911000000015</v>
      </c>
      <c r="V27" s="75">
        <f t="shared" si="8"/>
        <v>0.94718843341031589</v>
      </c>
      <c r="W27" s="1"/>
    </row>
    <row r="28" spans="1:23" ht="15" x14ac:dyDescent="0.25">
      <c r="A28" s="1" t="s">
        <v>69</v>
      </c>
      <c r="B28" s="20" t="s">
        <v>70</v>
      </c>
      <c r="C28" s="20" t="s">
        <v>71</v>
      </c>
      <c r="D28" s="49">
        <v>1092</v>
      </c>
      <c r="E28" s="54">
        <v>635.33400000000006</v>
      </c>
      <c r="F28" s="56">
        <f t="shared" si="0"/>
        <v>0.58180769230769236</v>
      </c>
      <c r="G28" s="93"/>
      <c r="H28" s="1">
        <v>13</v>
      </c>
      <c r="I28" s="59">
        <v>9.2222000000000008</v>
      </c>
      <c r="J28" s="59">
        <v>7.3181000000000003</v>
      </c>
      <c r="K28" s="72">
        <f t="shared" si="1"/>
        <v>0.56293076923076923</v>
      </c>
      <c r="L28" s="54">
        <f t="shared" si="3"/>
        <v>1.9041000000000006</v>
      </c>
      <c r="M28" s="54">
        <f t="shared" si="4"/>
        <v>633.42990000000009</v>
      </c>
      <c r="N28" s="74">
        <f t="shared" si="5"/>
        <v>0.57323972850678739</v>
      </c>
      <c r="O28" s="93"/>
      <c r="P28" s="49">
        <v>1</v>
      </c>
      <c r="Q28" s="62">
        <v>0.75749999999999995</v>
      </c>
      <c r="R28" s="65">
        <f t="shared" si="2"/>
        <v>0.75749999999999995</v>
      </c>
      <c r="S28" s="93"/>
      <c r="T28" s="81">
        <f t="shared" si="6"/>
        <v>1093</v>
      </c>
      <c r="U28" s="5">
        <f t="shared" si="7"/>
        <v>634.18740000000014</v>
      </c>
      <c r="V28" s="74">
        <f t="shared" si="8"/>
        <v>0.58022634949679797</v>
      </c>
      <c r="W28" s="1"/>
    </row>
    <row r="29" spans="1:23" ht="15" x14ac:dyDescent="0.25">
      <c r="A29" s="1" t="s">
        <v>72</v>
      </c>
      <c r="B29" s="20" t="s">
        <v>73</v>
      </c>
      <c r="C29" s="20" t="s">
        <v>74</v>
      </c>
      <c r="D29" s="49">
        <v>2707</v>
      </c>
      <c r="E29" s="54">
        <v>2055.2750999999998</v>
      </c>
      <c r="F29" s="56">
        <f t="shared" si="0"/>
        <v>0.75924458810491313</v>
      </c>
      <c r="G29" s="93"/>
      <c r="H29" s="1">
        <v>8</v>
      </c>
      <c r="I29" s="59">
        <v>9.0762</v>
      </c>
      <c r="J29" s="59">
        <v>8.0452999999999992</v>
      </c>
      <c r="K29" s="72">
        <f t="shared" si="1"/>
        <v>1.0056624999999999</v>
      </c>
      <c r="L29" s="5">
        <f t="shared" si="3"/>
        <v>1.0309000000000008</v>
      </c>
      <c r="M29" s="5">
        <f t="shared" si="4"/>
        <v>2054.2441999999996</v>
      </c>
      <c r="N29" s="74">
        <f t="shared" si="5"/>
        <v>0.75662769797421714</v>
      </c>
      <c r="O29" s="93"/>
      <c r="P29" s="49">
        <v>15</v>
      </c>
      <c r="Q29" s="62">
        <v>18.155100000000001</v>
      </c>
      <c r="R29" s="65">
        <f t="shared" si="2"/>
        <v>1.21034</v>
      </c>
      <c r="S29" s="93"/>
      <c r="T29" s="81">
        <f t="shared" si="6"/>
        <v>2722</v>
      </c>
      <c r="U29" s="5">
        <f t="shared" si="7"/>
        <v>2072.3992999999996</v>
      </c>
      <c r="V29" s="74">
        <f t="shared" si="8"/>
        <v>0.76135168993387203</v>
      </c>
      <c r="W29" s="1"/>
    </row>
    <row r="30" spans="1:23" ht="15" x14ac:dyDescent="0.25">
      <c r="A30" s="1" t="s">
        <v>75</v>
      </c>
      <c r="B30" s="20" t="s">
        <v>76</v>
      </c>
      <c r="C30" s="20" t="s">
        <v>77</v>
      </c>
      <c r="D30" s="49">
        <v>859</v>
      </c>
      <c r="E30" s="54">
        <v>520.10069999999996</v>
      </c>
      <c r="F30" s="56">
        <f t="shared" si="0"/>
        <v>0.60547229336437713</v>
      </c>
      <c r="G30" s="93"/>
      <c r="H30" s="1">
        <v>20</v>
      </c>
      <c r="I30" s="59">
        <v>17.250800000000002</v>
      </c>
      <c r="J30" s="59">
        <v>13.8055</v>
      </c>
      <c r="K30" s="72">
        <f t="shared" si="1"/>
        <v>0.69027499999999997</v>
      </c>
      <c r="L30" s="5">
        <f t="shared" si="3"/>
        <v>3.4453000000000014</v>
      </c>
      <c r="M30" s="5">
        <f t="shared" si="4"/>
        <v>516.65539999999999</v>
      </c>
      <c r="N30" s="74">
        <f t="shared" si="5"/>
        <v>0.58777633674630259</v>
      </c>
      <c r="O30" s="93"/>
      <c r="P30" s="49">
        <v>0</v>
      </c>
      <c r="Q30" s="62">
        <v>0</v>
      </c>
      <c r="R30" s="65">
        <f t="shared" si="2"/>
        <v>0</v>
      </c>
      <c r="S30" s="93"/>
      <c r="T30" s="81">
        <f t="shared" si="6"/>
        <v>859</v>
      </c>
      <c r="U30" s="5">
        <f t="shared" si="7"/>
        <v>516.65539999999999</v>
      </c>
      <c r="V30" s="74">
        <f t="shared" si="8"/>
        <v>0.60146146682188595</v>
      </c>
      <c r="W30" s="1"/>
    </row>
    <row r="31" spans="1:23" ht="15" x14ac:dyDescent="0.25">
      <c r="A31" s="1" t="s">
        <v>78</v>
      </c>
      <c r="B31" s="20" t="s">
        <v>79</v>
      </c>
      <c r="C31" s="20" t="s">
        <v>80</v>
      </c>
      <c r="D31" s="49">
        <v>850</v>
      </c>
      <c r="E31" s="54">
        <v>453.42970000000003</v>
      </c>
      <c r="F31" s="56">
        <f t="shared" si="0"/>
        <v>0.53344670588235299</v>
      </c>
      <c r="G31" s="93"/>
      <c r="H31" s="1">
        <v>26</v>
      </c>
      <c r="I31" s="59">
        <v>20.650400000000001</v>
      </c>
      <c r="J31" s="59">
        <v>18.794699999999999</v>
      </c>
      <c r="K31" s="72">
        <f t="shared" si="1"/>
        <v>0.7228730769230769</v>
      </c>
      <c r="L31" s="5">
        <f t="shared" si="3"/>
        <v>1.8557000000000023</v>
      </c>
      <c r="M31" s="5">
        <f t="shared" si="4"/>
        <v>451.57400000000001</v>
      </c>
      <c r="N31" s="74">
        <f t="shared" si="5"/>
        <v>0.51549543378995433</v>
      </c>
      <c r="O31" s="93"/>
      <c r="P31" s="49">
        <v>0</v>
      </c>
      <c r="Q31" s="62">
        <v>0</v>
      </c>
      <c r="R31" s="65">
        <f t="shared" si="2"/>
        <v>0</v>
      </c>
      <c r="S31" s="93"/>
      <c r="T31" s="81">
        <f t="shared" si="6"/>
        <v>850</v>
      </c>
      <c r="U31" s="5">
        <f t="shared" si="7"/>
        <v>451.57400000000001</v>
      </c>
      <c r="V31" s="74">
        <f t="shared" si="8"/>
        <v>0.53126352941176469</v>
      </c>
      <c r="W31" s="1"/>
    </row>
    <row r="32" spans="1:23" ht="15" x14ac:dyDescent="0.25">
      <c r="A32" s="3" t="s">
        <v>81</v>
      </c>
      <c r="B32" s="4" t="s">
        <v>41</v>
      </c>
      <c r="C32" s="4" t="s">
        <v>82</v>
      </c>
      <c r="D32" s="51">
        <v>2208</v>
      </c>
      <c r="E32" s="55">
        <v>1363.7212</v>
      </c>
      <c r="F32" s="57">
        <f t="shared" si="0"/>
        <v>0.6176273550724638</v>
      </c>
      <c r="G32" s="93"/>
      <c r="H32" s="3">
        <v>9</v>
      </c>
      <c r="I32" s="60">
        <v>9.8813999999999993</v>
      </c>
      <c r="J32" s="60">
        <v>7.9436999999999998</v>
      </c>
      <c r="K32" s="73">
        <f t="shared" si="1"/>
        <v>0.88263333333333327</v>
      </c>
      <c r="L32" s="55">
        <f t="shared" si="3"/>
        <v>1.9376999999999995</v>
      </c>
      <c r="M32" s="55">
        <f t="shared" si="4"/>
        <v>1361.7835</v>
      </c>
      <c r="N32" s="75">
        <f t="shared" si="5"/>
        <v>0.61424605322507897</v>
      </c>
      <c r="O32" s="93"/>
      <c r="P32" s="51">
        <v>20</v>
      </c>
      <c r="Q32" s="63">
        <v>25.305299999999999</v>
      </c>
      <c r="R32" s="66">
        <f t="shared" si="2"/>
        <v>1.2652649999999999</v>
      </c>
      <c r="S32" s="93"/>
      <c r="T32" s="51">
        <f t="shared" si="6"/>
        <v>2228</v>
      </c>
      <c r="U32" s="55">
        <f t="shared" si="7"/>
        <v>1387.0888</v>
      </c>
      <c r="V32" s="75">
        <f t="shared" si="8"/>
        <v>0.62257127468581686</v>
      </c>
      <c r="W32" s="1"/>
    </row>
    <row r="33" spans="1:23" x14ac:dyDescent="0.3">
      <c r="A33" s="1" t="s">
        <v>83</v>
      </c>
      <c r="B33" s="20" t="s">
        <v>84</v>
      </c>
      <c r="C33" s="20" t="s">
        <v>85</v>
      </c>
      <c r="D33" s="49">
        <v>2097</v>
      </c>
      <c r="E33" s="54">
        <v>1180.4467</v>
      </c>
      <c r="F33" s="56">
        <f t="shared" si="0"/>
        <v>0.56292164997615635</v>
      </c>
      <c r="G33" s="93"/>
      <c r="H33" s="1">
        <v>36</v>
      </c>
      <c r="I33" s="59">
        <v>34.189599999999999</v>
      </c>
      <c r="J33" s="59">
        <v>25.171099999999999</v>
      </c>
      <c r="K33" s="72">
        <f t="shared" si="1"/>
        <v>0.69919722222222225</v>
      </c>
      <c r="L33" s="5">
        <f t="shared" si="3"/>
        <v>9.0184999999999995</v>
      </c>
      <c r="M33" s="5">
        <f t="shared" si="4"/>
        <v>1171.4282000000001</v>
      </c>
      <c r="N33" s="74">
        <f t="shared" si="5"/>
        <v>0.5491927801218941</v>
      </c>
      <c r="O33" s="93"/>
      <c r="P33" s="49">
        <v>16</v>
      </c>
      <c r="Q33" s="62">
        <v>23.235299999999999</v>
      </c>
      <c r="R33" s="65">
        <f t="shared" si="2"/>
        <v>1.4522062499999999</v>
      </c>
      <c r="S33" s="93"/>
      <c r="T33" s="81">
        <f t="shared" si="6"/>
        <v>2113</v>
      </c>
      <c r="U33" s="5">
        <f t="shared" si="7"/>
        <v>1194.6635000000001</v>
      </c>
      <c r="V33" s="74">
        <f t="shared" si="8"/>
        <v>0.56538736393752964</v>
      </c>
      <c r="W33" s="1"/>
    </row>
    <row r="34" spans="1:23" x14ac:dyDescent="0.3">
      <c r="A34" s="1" t="s">
        <v>86</v>
      </c>
      <c r="B34" s="20" t="s">
        <v>87</v>
      </c>
      <c r="C34" s="20" t="s">
        <v>88</v>
      </c>
      <c r="D34" s="49">
        <v>2989</v>
      </c>
      <c r="E34" s="54">
        <v>1923.0626</v>
      </c>
      <c r="F34" s="56">
        <f t="shared" si="0"/>
        <v>0.6433799263967882</v>
      </c>
      <c r="G34" s="93"/>
      <c r="H34" s="1">
        <v>55</v>
      </c>
      <c r="I34" s="59">
        <v>53.461500000000001</v>
      </c>
      <c r="J34" s="59">
        <v>40.219799999999999</v>
      </c>
      <c r="K34" s="72">
        <f t="shared" si="1"/>
        <v>0.73126909090909087</v>
      </c>
      <c r="L34" s="5">
        <f t="shared" si="3"/>
        <v>13.241700000000002</v>
      </c>
      <c r="M34" s="5">
        <f t="shared" si="4"/>
        <v>1909.8208999999999</v>
      </c>
      <c r="N34" s="74">
        <f t="shared" si="5"/>
        <v>0.62740502628120887</v>
      </c>
      <c r="O34" s="93"/>
      <c r="P34" s="49">
        <v>19</v>
      </c>
      <c r="Q34" s="62">
        <v>25.400500000000001</v>
      </c>
      <c r="R34" s="65">
        <f t="shared" si="2"/>
        <v>1.3368684210526316</v>
      </c>
      <c r="S34" s="93"/>
      <c r="T34" s="81">
        <f t="shared" si="6"/>
        <v>3008</v>
      </c>
      <c r="U34" s="5">
        <f t="shared" si="7"/>
        <v>1935.2213999999999</v>
      </c>
      <c r="V34" s="74">
        <f t="shared" si="8"/>
        <v>0.64335817819148933</v>
      </c>
      <c r="W34" s="1"/>
    </row>
    <row r="35" spans="1:23" x14ac:dyDescent="0.3">
      <c r="A35" s="1" t="s">
        <v>89</v>
      </c>
      <c r="B35" s="20" t="s">
        <v>90</v>
      </c>
      <c r="C35" s="20" t="s">
        <v>91</v>
      </c>
      <c r="D35" s="49">
        <v>1359</v>
      </c>
      <c r="E35" s="54">
        <v>1320.5091</v>
      </c>
      <c r="F35" s="56">
        <f t="shared" si="0"/>
        <v>0.97167704194260485</v>
      </c>
      <c r="G35" s="93"/>
      <c r="H35" s="1">
        <v>7</v>
      </c>
      <c r="I35" s="59">
        <v>5.6942000000000004</v>
      </c>
      <c r="J35" s="59">
        <v>5.2873999999999999</v>
      </c>
      <c r="K35" s="72">
        <f t="shared" si="1"/>
        <v>0.75534285714285709</v>
      </c>
      <c r="L35" s="5">
        <f t="shared" si="3"/>
        <v>0.40680000000000049</v>
      </c>
      <c r="M35" s="5">
        <f t="shared" si="4"/>
        <v>1320.1023</v>
      </c>
      <c r="N35" s="74">
        <f t="shared" si="5"/>
        <v>0.9663999267935578</v>
      </c>
      <c r="O35" s="93"/>
      <c r="P35" s="49">
        <v>40</v>
      </c>
      <c r="Q35" s="62">
        <v>51.54</v>
      </c>
      <c r="R35" s="65">
        <f t="shared" si="2"/>
        <v>1.2885</v>
      </c>
      <c r="S35" s="93"/>
      <c r="T35" s="81">
        <f t="shared" si="6"/>
        <v>1399</v>
      </c>
      <c r="U35" s="5">
        <f t="shared" si="7"/>
        <v>1371.6423</v>
      </c>
      <c r="V35" s="74">
        <f t="shared" si="8"/>
        <v>0.9804448177269478</v>
      </c>
      <c r="W35" s="1"/>
    </row>
    <row r="36" spans="1:23" x14ac:dyDescent="0.3">
      <c r="A36" s="3" t="s">
        <v>92</v>
      </c>
      <c r="B36" s="4" t="s">
        <v>93</v>
      </c>
      <c r="C36" s="4" t="s">
        <v>94</v>
      </c>
      <c r="D36" s="51">
        <v>2446</v>
      </c>
      <c r="E36" s="55">
        <v>2983.8164000000002</v>
      </c>
      <c r="F36" s="57">
        <f t="shared" si="0"/>
        <v>1.2198758789860997</v>
      </c>
      <c r="G36" s="93"/>
      <c r="H36" s="3">
        <v>27</v>
      </c>
      <c r="I36" s="60">
        <v>123.1343</v>
      </c>
      <c r="J36" s="60">
        <v>119.1846</v>
      </c>
      <c r="K36" s="73">
        <f t="shared" si="1"/>
        <v>4.4142444444444449</v>
      </c>
      <c r="L36" s="55">
        <f t="shared" si="3"/>
        <v>3.9496999999999929</v>
      </c>
      <c r="M36" s="55">
        <f t="shared" si="4"/>
        <v>2979.8667</v>
      </c>
      <c r="N36" s="75">
        <f t="shared" si="5"/>
        <v>1.2049602507076425</v>
      </c>
      <c r="O36" s="93"/>
      <c r="P36" s="51">
        <v>91</v>
      </c>
      <c r="Q36" s="63">
        <v>178.65469999999999</v>
      </c>
      <c r="R36" s="66">
        <f t="shared" si="2"/>
        <v>1.9632384615384615</v>
      </c>
      <c r="S36" s="93"/>
      <c r="T36" s="51">
        <f t="shared" si="6"/>
        <v>2537</v>
      </c>
      <c r="U36" s="55">
        <f t="shared" si="7"/>
        <v>3158.5214000000001</v>
      </c>
      <c r="V36" s="27">
        <f t="shared" si="8"/>
        <v>1.2449828143476547</v>
      </c>
      <c r="W36" s="1"/>
    </row>
    <row r="37" spans="1:23" x14ac:dyDescent="0.3">
      <c r="D37" s="53">
        <f>SUM(D8:D36)</f>
        <v>61163</v>
      </c>
      <c r="E37" s="80">
        <f>SUM(E8:E36)</f>
        <v>46034.381100000013</v>
      </c>
      <c r="F37" s="58">
        <f>IF(E37&gt;0,E37/D37,0)</f>
        <v>0.75265080359040615</v>
      </c>
      <c r="H37" s="25">
        <f>SUM(H8:H36)</f>
        <v>644</v>
      </c>
      <c r="I37" s="61">
        <f>SUM(I8:I36)</f>
        <v>901.16769999999997</v>
      </c>
      <c r="J37" s="61">
        <f>SUM(J8:J36)</f>
        <v>735.8764000000001</v>
      </c>
      <c r="K37" s="58">
        <f t="shared" si="1"/>
        <v>1.1426652173913046</v>
      </c>
      <c r="L37" s="61">
        <f>SUM(L8:L36)</f>
        <v>165.29130000000004</v>
      </c>
      <c r="M37" s="61">
        <f>SUM(M8:M36)</f>
        <v>45869.089800000002</v>
      </c>
      <c r="N37" s="76">
        <f t="shared" si="5"/>
        <v>0.74213422104292393</v>
      </c>
      <c r="P37" s="53">
        <f>SUM(P8:P36)</f>
        <v>794</v>
      </c>
      <c r="Q37" s="64">
        <f>SUM(Q8:Q36)</f>
        <v>1290.7181999999998</v>
      </c>
      <c r="R37" s="67">
        <f t="shared" si="2"/>
        <v>1.6255896725440804</v>
      </c>
      <c r="T37" s="53">
        <f>SUM(T8:T36)</f>
        <v>61957</v>
      </c>
      <c r="U37" s="61">
        <f>SUM(U8:U36)</f>
        <v>47159.808000000005</v>
      </c>
      <c r="V37" s="76">
        <f>U37/T37</f>
        <v>0.76116997272301767</v>
      </c>
    </row>
    <row r="39" spans="1:23" x14ac:dyDescent="0.3">
      <c r="A39" s="94"/>
      <c r="B39" s="95"/>
      <c r="C39" s="96" t="s">
        <v>272</v>
      </c>
      <c r="D39" s="102">
        <f>+D18+D32</f>
        <v>2423</v>
      </c>
      <c r="E39" s="111">
        <f>+E18+E32</f>
        <v>1462.4259</v>
      </c>
      <c r="F39" s="109">
        <f t="shared" ref="F39" si="9">E39/D39</f>
        <v>0.60356000825423028</v>
      </c>
      <c r="G39" s="98"/>
      <c r="H39" s="102">
        <f>+H18+H32</f>
        <v>20</v>
      </c>
      <c r="I39" s="111">
        <f>+I18+I32</f>
        <v>17.1235</v>
      </c>
      <c r="J39" s="111">
        <f>+J18+J32</f>
        <v>14.271000000000001</v>
      </c>
      <c r="K39" s="112">
        <f t="shared" si="1"/>
        <v>0.71355000000000002</v>
      </c>
      <c r="L39" s="113">
        <f t="shared" ref="L39" si="10">I39-J39</f>
        <v>2.8524999999999991</v>
      </c>
      <c r="M39" s="113">
        <f t="shared" ref="M39" si="11">E39-L39</f>
        <v>1459.5734</v>
      </c>
      <c r="N39" s="114">
        <f t="shared" ref="N39" si="12">M39/(H39+D39)</f>
        <v>0.59745124846500208</v>
      </c>
      <c r="O39" s="98"/>
      <c r="P39" s="102">
        <f>+P18+P32</f>
        <v>23</v>
      </c>
      <c r="Q39" s="111">
        <f>+Q18+Q32</f>
        <v>27.9528</v>
      </c>
      <c r="R39" s="115">
        <f t="shared" si="2"/>
        <v>1.2153391304347827</v>
      </c>
      <c r="S39" s="98"/>
      <c r="T39" s="102">
        <f t="shared" ref="T39" si="13">P39+D39</f>
        <v>2446</v>
      </c>
      <c r="U39" s="113">
        <f t="shared" ref="U39" si="14">Q39+M39</f>
        <v>1487.5262</v>
      </c>
      <c r="V39" s="116">
        <f t="shared" ref="V39" si="15">+U39/T39</f>
        <v>0.60814644317252653</v>
      </c>
    </row>
  </sheetData>
  <pageMargins left="0.7" right="0.7" top="0.75" bottom="0.75" header="0.3" footer="0.3"/>
  <pageSetup scale="49" orientation="landscape" r:id="rId1"/>
  <headerFooter>
    <oddHeader>&amp;R&amp;"-,Bold"&amp;12&amp;K03-024MERCER</oddHeader>
    <oddFooter>&amp;LMyers and Stauffer LC&amp;R&amp;D</oddFooter>
  </headerFooter>
  <ignoredErrors>
    <ignoredError sqref="K37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A39"/>
  <sheetViews>
    <sheetView workbookViewId="0">
      <selection activeCell="I23" sqref="I23"/>
    </sheetView>
  </sheetViews>
  <sheetFormatPr defaultRowHeight="14.4" x14ac:dyDescent="0.3"/>
  <cols>
    <col min="1" max="1" width="10.109375" customWidth="1"/>
    <col min="2" max="2" width="11.109375" customWidth="1"/>
    <col min="3" max="3" width="40.109375" bestFit="1" customWidth="1"/>
    <col min="4" max="4" width="10.44140625" bestFit="1" customWidth="1"/>
    <col min="5" max="5" width="16.109375" bestFit="1" customWidth="1"/>
    <col min="6" max="6" width="2.6640625" customWidth="1"/>
    <col min="7" max="7" width="14.88671875" customWidth="1"/>
    <col min="8" max="8" width="12.5546875" bestFit="1" customWidth="1"/>
    <col min="9" max="9" width="2.6640625" style="19" customWidth="1"/>
    <col min="10" max="10" width="11" bestFit="1" customWidth="1"/>
    <col min="11" max="11" width="11" style="19" customWidth="1"/>
    <col min="12" max="12" width="12.5546875" bestFit="1" customWidth="1"/>
    <col min="13" max="13" width="2.6640625" style="19" customWidth="1"/>
    <col min="14" max="14" width="12.109375" customWidth="1"/>
    <col min="15" max="15" width="11.5546875" bestFit="1" customWidth="1"/>
    <col min="16" max="16" width="2.6640625" style="19" customWidth="1"/>
    <col min="17" max="17" width="14.6640625" customWidth="1"/>
    <col min="18" max="18" width="12.5546875" bestFit="1" customWidth="1"/>
    <col min="20" max="20" width="15.33203125" bestFit="1" customWidth="1"/>
    <col min="21" max="21" width="12.5546875" bestFit="1" customWidth="1"/>
    <col min="22" max="22" width="13.6640625" bestFit="1" customWidth="1"/>
    <col min="23" max="23" width="2.6640625" customWidth="1"/>
    <col min="24" max="24" width="12.5546875" style="19" bestFit="1" customWidth="1"/>
    <col min="25" max="25" width="18.44140625" customWidth="1"/>
    <col min="27" max="27" width="14.33203125" bestFit="1" customWidth="1"/>
  </cols>
  <sheetData>
    <row r="1" spans="1:27" s="19" customFormat="1" ht="18" x14ac:dyDescent="0.25">
      <c r="A1" s="86" t="s">
        <v>267</v>
      </c>
    </row>
    <row r="2" spans="1:27" s="19" customFormat="1" ht="18" x14ac:dyDescent="0.25">
      <c r="A2" s="86" t="s">
        <v>268</v>
      </c>
    </row>
    <row r="3" spans="1:27" s="19" customFormat="1" ht="15.75" x14ac:dyDescent="0.25">
      <c r="A3" s="87" t="s">
        <v>141</v>
      </c>
    </row>
    <row r="4" spans="1:27" s="19" customFormat="1" ht="15" x14ac:dyDescent="0.25">
      <c r="D4" s="122" t="s">
        <v>167</v>
      </c>
      <c r="E4" s="124"/>
    </row>
    <row r="5" spans="1:27" s="19" customFormat="1" ht="15" x14ac:dyDescent="0.25">
      <c r="D5" s="125" t="s">
        <v>196</v>
      </c>
      <c r="E5" s="126"/>
      <c r="G5" s="122" t="s">
        <v>236</v>
      </c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4"/>
    </row>
    <row r="6" spans="1:27" s="19" customFormat="1" ht="45" x14ac:dyDescent="0.25">
      <c r="A6" s="88" t="s">
        <v>0</v>
      </c>
      <c r="B6" s="89" t="s">
        <v>1</v>
      </c>
      <c r="C6" s="89" t="s">
        <v>2</v>
      </c>
      <c r="D6" s="88" t="s">
        <v>5</v>
      </c>
      <c r="E6" s="90" t="s">
        <v>165</v>
      </c>
      <c r="F6" s="92"/>
      <c r="G6" s="88" t="s">
        <v>261</v>
      </c>
      <c r="H6" s="89" t="s">
        <v>237</v>
      </c>
      <c r="I6" s="89"/>
      <c r="J6" s="89" t="s">
        <v>262</v>
      </c>
      <c r="K6" s="89" t="s">
        <v>264</v>
      </c>
      <c r="L6" s="89" t="s">
        <v>238</v>
      </c>
      <c r="M6" s="89"/>
      <c r="N6" s="89" t="s">
        <v>263</v>
      </c>
      <c r="O6" s="89" t="s">
        <v>9</v>
      </c>
      <c r="P6" s="89"/>
      <c r="Q6" s="89" t="s">
        <v>233</v>
      </c>
      <c r="R6" s="89" t="s">
        <v>144</v>
      </c>
      <c r="S6" s="89" t="s">
        <v>245</v>
      </c>
      <c r="T6" s="89" t="s">
        <v>163</v>
      </c>
      <c r="U6" s="89" t="s">
        <v>164</v>
      </c>
      <c r="V6" s="89" t="s">
        <v>239</v>
      </c>
      <c r="W6" s="89"/>
      <c r="X6" s="89" t="s">
        <v>207</v>
      </c>
      <c r="Y6" s="90" t="s">
        <v>166</v>
      </c>
    </row>
    <row r="7" spans="1:27" s="19" customFormat="1" ht="15" x14ac:dyDescent="0.25">
      <c r="A7" s="30" t="s">
        <v>169</v>
      </c>
      <c r="B7" s="28" t="s">
        <v>170</v>
      </c>
      <c r="C7" s="28" t="s">
        <v>171</v>
      </c>
      <c r="D7" s="30" t="s">
        <v>172</v>
      </c>
      <c r="E7" s="29" t="s">
        <v>173</v>
      </c>
      <c r="F7" s="92"/>
      <c r="G7" s="32" t="s">
        <v>174</v>
      </c>
      <c r="H7" s="28" t="s">
        <v>175</v>
      </c>
      <c r="I7" s="92"/>
      <c r="J7" s="28" t="s">
        <v>176</v>
      </c>
      <c r="K7" s="28" t="s">
        <v>177</v>
      </c>
      <c r="L7" s="28" t="s">
        <v>178</v>
      </c>
      <c r="M7" s="92"/>
      <c r="N7" s="28" t="s">
        <v>179</v>
      </c>
      <c r="O7" s="28" t="s">
        <v>180</v>
      </c>
      <c r="P7" s="92"/>
      <c r="Q7" s="28" t="s">
        <v>181</v>
      </c>
      <c r="R7" s="28" t="s">
        <v>182</v>
      </c>
      <c r="S7" s="28" t="s">
        <v>183</v>
      </c>
      <c r="T7" s="28" t="s">
        <v>265</v>
      </c>
      <c r="U7" s="28" t="s">
        <v>185</v>
      </c>
      <c r="V7" s="28" t="s">
        <v>186</v>
      </c>
      <c r="W7" s="92"/>
      <c r="X7" s="28" t="s">
        <v>187</v>
      </c>
      <c r="Y7" s="29" t="s">
        <v>266</v>
      </c>
    </row>
    <row r="8" spans="1:27" ht="15" x14ac:dyDescent="0.25">
      <c r="A8" s="1" t="s">
        <v>11</v>
      </c>
      <c r="B8" s="6" t="s">
        <v>111</v>
      </c>
      <c r="C8" s="2" t="s">
        <v>13</v>
      </c>
      <c r="D8" s="23">
        <f>VLOOKUP(A8,'Reconciliation Data'!$A$3:$M$31,13,FALSE)+VLOOKUP(A8,'BH and Rehab payments'!$A$7:$U$35,10,FALSE)</f>
        <v>5955</v>
      </c>
      <c r="E8" s="37">
        <f>VLOOKUP(A8,'Hospital Specific Rev Neutral'!$A$7:$P$35,16,FALSE)</f>
        <v>41596682.049599998</v>
      </c>
      <c r="F8" s="93"/>
      <c r="G8" s="23">
        <f>VLOOKUP(A8,'BH and Rehab payments'!$A$7:$U$35,6,FALSE)</f>
        <v>4246</v>
      </c>
      <c r="H8" s="34">
        <f>VLOOKUP(A8,'BH and Rehab payments'!$A$7:$U$35,7,FALSE)</f>
        <v>4139850</v>
      </c>
      <c r="I8" s="93"/>
      <c r="J8" s="21">
        <f>VLOOKUP(A8,'BH and Rehab payments'!$A$7:$U$35,11,FALSE)</f>
        <v>2351</v>
      </c>
      <c r="K8" s="21">
        <f>VLOOKUP(A8,'BH and Rehab payments'!$A$7:$U$35,14,FALSE)</f>
        <v>218</v>
      </c>
      <c r="L8" s="34">
        <f>VLOOKUP(A8,'BH and Rehab payments'!$A$7:$U$35,16,FALSE)</f>
        <v>2472892.5</v>
      </c>
      <c r="M8" s="93"/>
      <c r="N8" s="21">
        <f>VLOOKUP(A8,'BH and Rehab payments'!$A$7:$U$35,20,FALSE)</f>
        <v>0</v>
      </c>
      <c r="O8" s="34">
        <f>VLOOKUP(A8,'BH and Rehab payments'!$A$7:$U$35,21,FALSE)</f>
        <v>0</v>
      </c>
      <c r="P8" s="93"/>
      <c r="Q8" s="21">
        <f>VLOOKUP(A8,'DRG Rate'!$A$8:$K$36,10,FALSE)</f>
        <v>5055</v>
      </c>
      <c r="R8" s="16">
        <f>VLOOKUP(A8,'DRG Rate'!$A$8:$K$36,8,FALSE)</f>
        <v>0.81102272198526548</v>
      </c>
      <c r="S8" s="34">
        <f>VLOOKUP(A8,'DRG Rate'!$A$8:$K$36,11,FALSE)</f>
        <v>8036.1104553908453</v>
      </c>
      <c r="T8" s="34">
        <f>Q8*R8*S8</f>
        <v>32945801.628190469</v>
      </c>
      <c r="U8" s="34">
        <f>VLOOKUP(A8,'DRG Revenue'!$A$8:$T$36,15,FALSE)</f>
        <v>390847.84</v>
      </c>
      <c r="V8" s="37">
        <f>SUM(T8:U8)</f>
        <v>33336649.468190469</v>
      </c>
      <c r="W8" s="93"/>
      <c r="X8" s="34">
        <f>VLOOKUP(A8,'DRG Revenue'!$A$8:$T$36,18,FALSE)</f>
        <v>1647290.0814095254</v>
      </c>
      <c r="Y8" s="37">
        <f>V8+O8+L8+H8+X8</f>
        <v>41596682.049599998</v>
      </c>
      <c r="AA8" s="5"/>
    </row>
    <row r="9" spans="1:27" ht="15" x14ac:dyDescent="0.25">
      <c r="A9" s="1" t="s">
        <v>14</v>
      </c>
      <c r="B9" s="2" t="s">
        <v>15</v>
      </c>
      <c r="C9" s="2" t="s">
        <v>16</v>
      </c>
      <c r="D9" s="23">
        <f>VLOOKUP(A9,'Reconciliation Data'!$A$3:$M$31,13,FALSE)+VLOOKUP(A9,'BH and Rehab payments'!$A$7:$U$35,10,FALSE)</f>
        <v>1075</v>
      </c>
      <c r="E9" s="37">
        <f>VLOOKUP(A9,'Hospital Specific Rev Neutral'!$A$7:$P$35,16,FALSE)</f>
        <v>4535340.3119999999</v>
      </c>
      <c r="F9" s="93"/>
      <c r="G9" s="23">
        <f>VLOOKUP(A9,'BH and Rehab payments'!$A$7:$U$35,6,FALSE)</f>
        <v>1314</v>
      </c>
      <c r="H9" s="34">
        <f>VLOOKUP(A9,'BH and Rehab payments'!$A$7:$U$35,7,FALSE)</f>
        <v>1379700</v>
      </c>
      <c r="I9" s="93"/>
      <c r="J9" s="21">
        <f>VLOOKUP(A9,'BH and Rehab payments'!$A$7:$U$35,11,FALSE)</f>
        <v>24</v>
      </c>
      <c r="K9" s="21">
        <f>VLOOKUP(A9,'BH and Rehab payments'!$A$7:$U$35,14,FALSE)</f>
        <v>0</v>
      </c>
      <c r="L9" s="34">
        <f>VLOOKUP(A9,'BH and Rehab payments'!$A$7:$U$35,16,FALSE)</f>
        <v>25200</v>
      </c>
      <c r="M9" s="93"/>
      <c r="N9" s="21">
        <f>VLOOKUP(A9,'BH and Rehab payments'!$A$7:$U$35,20,FALSE)</f>
        <v>0</v>
      </c>
      <c r="O9" s="34">
        <f>VLOOKUP(A9,'BH and Rehab payments'!$A$7:$U$35,21,FALSE)</f>
        <v>0</v>
      </c>
      <c r="P9" s="93"/>
      <c r="Q9" s="21">
        <f>VLOOKUP(A9,'DRG Rate'!$A$8:$K$36,10,FALSE)</f>
        <v>814</v>
      </c>
      <c r="R9" s="16">
        <f>VLOOKUP(A9,'DRG Rate'!$A$8:$K$36,8,FALSE)</f>
        <v>0.44192693266832922</v>
      </c>
      <c r="S9" s="34">
        <f>VLOOKUP(A9,'DRG Rate'!$A$8:$K$36,11,FALSE)</f>
        <v>8282.1857524304924</v>
      </c>
      <c r="T9" s="34">
        <f t="shared" ref="T9:T36" si="0">Q9*R9*S9</f>
        <v>2979338.4495238098</v>
      </c>
      <c r="U9" s="34">
        <f>VLOOKUP(A9,'DRG Revenue'!$A$8:$T$36,15,FALSE)</f>
        <v>2134.94</v>
      </c>
      <c r="V9" s="37">
        <f t="shared" ref="V9:V39" si="1">SUM(T9:U9)</f>
        <v>2981473.3895238098</v>
      </c>
      <c r="W9" s="93"/>
      <c r="X9" s="34">
        <f>VLOOKUP(A9,'DRG Revenue'!$A$8:$T$36,18,FALSE)</f>
        <v>148966.92247619064</v>
      </c>
      <c r="Y9" s="37">
        <f t="shared" ref="Y9:Y36" si="2">V9+O9+L9+H9+X9</f>
        <v>4535340.3120000008</v>
      </c>
      <c r="AA9" s="5"/>
    </row>
    <row r="10" spans="1:27" ht="15" x14ac:dyDescent="0.25">
      <c r="A10" s="1" t="s">
        <v>17</v>
      </c>
      <c r="B10" s="2" t="s">
        <v>18</v>
      </c>
      <c r="C10" s="2" t="s">
        <v>19</v>
      </c>
      <c r="D10" s="23">
        <f>VLOOKUP(A10,'Reconciliation Data'!$A$3:$M$31,13,FALSE)+VLOOKUP(A10,'BH and Rehab payments'!$A$7:$U$35,10,FALSE)</f>
        <v>135</v>
      </c>
      <c r="E10" s="37">
        <f>VLOOKUP(A10,'Hospital Specific Rev Neutral'!$A$7:$P$35,16,FALSE)</f>
        <v>564672.36320000002</v>
      </c>
      <c r="F10" s="93"/>
      <c r="G10" s="23">
        <f>VLOOKUP(A10,'BH and Rehab payments'!$A$7:$U$35,6,FALSE)</f>
        <v>35</v>
      </c>
      <c r="H10" s="34">
        <f>VLOOKUP(A10,'BH and Rehab payments'!$A$7:$U$35,7,FALSE)</f>
        <v>34125</v>
      </c>
      <c r="I10" s="93"/>
      <c r="J10" s="21">
        <f>VLOOKUP(A10,'BH and Rehab payments'!$A$7:$U$35,11,FALSE)</f>
        <v>0</v>
      </c>
      <c r="K10" s="21">
        <f>VLOOKUP(A10,'BH and Rehab payments'!$A$7:$U$35,14,FALSE)</f>
        <v>0</v>
      </c>
      <c r="L10" s="34">
        <f>VLOOKUP(A10,'BH and Rehab payments'!$A$7:$U$35,16,FALSE)</f>
        <v>0</v>
      </c>
      <c r="M10" s="93"/>
      <c r="N10" s="21">
        <f>VLOOKUP(A10,'BH and Rehab payments'!$A$7:$U$35,20,FALSE)</f>
        <v>0</v>
      </c>
      <c r="O10" s="34">
        <f>VLOOKUP(A10,'BH and Rehab payments'!$A$7:$U$35,21,FALSE)</f>
        <v>0</v>
      </c>
      <c r="P10" s="93"/>
      <c r="Q10" s="21">
        <f>VLOOKUP(A10,'DRG Rate'!$A$8:$K$36,10,FALSE)</f>
        <v>128</v>
      </c>
      <c r="R10" s="16">
        <f>VLOOKUP(A10,'DRG Rate'!$A$8:$K$36,8,FALSE)</f>
        <v>0.47887000000000002</v>
      </c>
      <c r="S10" s="34">
        <f>VLOOKUP(A10,'DRG Rate'!$A$8:$K$36,11,FALSE)</f>
        <v>8243.4168434220628</v>
      </c>
      <c r="T10" s="34">
        <f t="shared" si="0"/>
        <v>505283.20304761897</v>
      </c>
      <c r="U10" s="34">
        <f>VLOOKUP(A10,'DRG Revenue'!$A$8:$T$36,15,FALSE)</f>
        <v>0</v>
      </c>
      <c r="V10" s="37">
        <f t="shared" si="1"/>
        <v>505283.20304761897</v>
      </c>
      <c r="W10" s="93"/>
      <c r="X10" s="34">
        <f>VLOOKUP(A10,'DRG Revenue'!$A$8:$T$36,18,FALSE)</f>
        <v>25264.16015238098</v>
      </c>
      <c r="Y10" s="37">
        <f t="shared" si="2"/>
        <v>564672.36319999991</v>
      </c>
      <c r="AA10" s="5"/>
    </row>
    <row r="11" spans="1:27" ht="15" x14ac:dyDescent="0.25">
      <c r="A11" s="1" t="s">
        <v>20</v>
      </c>
      <c r="B11" s="2" t="s">
        <v>21</v>
      </c>
      <c r="C11" s="2" t="s">
        <v>22</v>
      </c>
      <c r="D11" s="23">
        <f>VLOOKUP(A11,'Reconciliation Data'!$A$3:$M$31,13,FALSE)+VLOOKUP(A11,'BH and Rehab payments'!$A$7:$U$35,10,FALSE)</f>
        <v>2525</v>
      </c>
      <c r="E11" s="37">
        <f>VLOOKUP(A11,'Hospital Specific Rev Neutral'!$A$7:$P$35,16,FALSE)</f>
        <v>13419963.072000001</v>
      </c>
      <c r="F11" s="93"/>
      <c r="G11" s="23">
        <f>VLOOKUP(A11,'BH and Rehab payments'!$A$7:$U$35,6,FALSE)</f>
        <v>2790</v>
      </c>
      <c r="H11" s="34">
        <f>VLOOKUP(A11,'BH and Rehab payments'!$A$7:$U$35,7,FALSE)</f>
        <v>2720250</v>
      </c>
      <c r="I11" s="93"/>
      <c r="J11" s="21">
        <f>VLOOKUP(A11,'BH and Rehab payments'!$A$7:$U$35,11,FALSE)</f>
        <v>524</v>
      </c>
      <c r="K11" s="21">
        <f>VLOOKUP(A11,'BH and Rehab payments'!$A$7:$U$35,14,FALSE)</f>
        <v>32</v>
      </c>
      <c r="L11" s="34">
        <f>VLOOKUP(A11,'BH and Rehab payments'!$A$7:$U$35,16,FALSE)</f>
        <v>537420</v>
      </c>
      <c r="M11" s="93"/>
      <c r="N11" s="21">
        <f>VLOOKUP(A11,'BH and Rehab payments'!$A$7:$U$35,20,FALSE)</f>
        <v>0</v>
      </c>
      <c r="O11" s="34">
        <f>VLOOKUP(A11,'BH and Rehab payments'!$A$7:$U$35,21,FALSE)</f>
        <v>0</v>
      </c>
      <c r="P11" s="93"/>
      <c r="Q11" s="21">
        <f>VLOOKUP(A11,'DRG Rate'!$A$8:$K$36,10,FALSE)</f>
        <v>2053</v>
      </c>
      <c r="R11" s="16">
        <f>VLOOKUP(A11,'DRG Rate'!$A$8:$K$36,8,FALSE)</f>
        <v>0.64195838539163863</v>
      </c>
      <c r="S11" s="34">
        <f>VLOOKUP(A11,'DRG Rate'!$A$8:$K$36,11,FALSE)</f>
        <v>7272.0553983287209</v>
      </c>
      <c r="T11" s="34">
        <f t="shared" si="0"/>
        <v>9584136.8019047622</v>
      </c>
      <c r="U11" s="34">
        <f>VLOOKUP(A11,'DRG Revenue'!$A$8:$T$36,15,FALSE)</f>
        <v>98949.43</v>
      </c>
      <c r="V11" s="37">
        <f t="shared" si="1"/>
        <v>9683086.2319047619</v>
      </c>
      <c r="W11" s="93"/>
      <c r="X11" s="34">
        <f>VLOOKUP(A11,'DRG Revenue'!$A$8:$T$36,18,FALSE)</f>
        <v>479206.84009523864</v>
      </c>
      <c r="Y11" s="37">
        <f t="shared" si="2"/>
        <v>13419963.072000001</v>
      </c>
      <c r="AA11" s="5"/>
    </row>
    <row r="12" spans="1:27" ht="15" x14ac:dyDescent="0.25">
      <c r="A12" s="3" t="s">
        <v>23</v>
      </c>
      <c r="B12" s="4" t="s">
        <v>24</v>
      </c>
      <c r="C12" s="4" t="s">
        <v>25</v>
      </c>
      <c r="D12" s="24">
        <f>VLOOKUP(A12,'Reconciliation Data'!$A$3:$M$31,13,FALSE)+VLOOKUP(A12,'BH and Rehab payments'!$A$7:$U$35,10,FALSE)</f>
        <v>2443</v>
      </c>
      <c r="E12" s="38">
        <f>VLOOKUP(A12,'Hospital Specific Rev Neutral'!$A$7:$P$35,16,FALSE)</f>
        <v>13476191.808799999</v>
      </c>
      <c r="F12" s="93"/>
      <c r="G12" s="24">
        <f>VLOOKUP(A12,'BH and Rehab payments'!$A$7:$U$35,6,FALSE)</f>
        <v>1595</v>
      </c>
      <c r="H12" s="35">
        <f>VLOOKUP(A12,'BH and Rehab payments'!$A$7:$U$35,7,FALSE)</f>
        <v>1794375</v>
      </c>
      <c r="I12" s="93"/>
      <c r="J12" s="22">
        <f>VLOOKUP(A12,'BH and Rehab payments'!$A$7:$U$35,11,FALSE)</f>
        <v>68</v>
      </c>
      <c r="K12" s="22">
        <f>VLOOKUP(A12,'BH and Rehab payments'!$A$7:$U$35,14,FALSE)</f>
        <v>0</v>
      </c>
      <c r="L12" s="35">
        <f>VLOOKUP(A12,'BH and Rehab payments'!$A$7:$U$35,16,FALSE)</f>
        <v>76500</v>
      </c>
      <c r="M12" s="93"/>
      <c r="N12" s="22">
        <f>VLOOKUP(A12,'BH and Rehab payments'!$A$7:$U$35,20,FALSE)</f>
        <v>198</v>
      </c>
      <c r="O12" s="35">
        <f>VLOOKUP(A12,'BH and Rehab payments'!$A$7:$U$35,21,FALSE)</f>
        <v>271260</v>
      </c>
      <c r="P12" s="93"/>
      <c r="Q12" s="22">
        <f>VLOOKUP(A12,'DRG Rate'!$A$8:$K$36,10,FALSE)</f>
        <v>2186</v>
      </c>
      <c r="R12" s="27">
        <f>VLOOKUP(A12,'DRG Rate'!$A$8:$K$36,8,FALSE)</f>
        <v>0.67226849565614999</v>
      </c>
      <c r="S12" s="35">
        <f>VLOOKUP(A12,'DRG Rate'!$A$8:$K$36,11,FALSE)</f>
        <v>7111.2354142261283</v>
      </c>
      <c r="T12" s="35">
        <f t="shared" si="0"/>
        <v>10450521.741714284</v>
      </c>
      <c r="U12" s="35">
        <f>VLOOKUP(A12,'DRG Revenue'!$A$8:$T$36,15,FALSE)</f>
        <v>361008.98</v>
      </c>
      <c r="V12" s="38">
        <f t="shared" si="1"/>
        <v>10811530.721714284</v>
      </c>
      <c r="W12" s="93"/>
      <c r="X12" s="35">
        <f>VLOOKUP(A12,'DRG Revenue'!$A$8:$T$36,18,FALSE)</f>
        <v>522526.0870857148</v>
      </c>
      <c r="Y12" s="38">
        <f t="shared" si="2"/>
        <v>13476191.808799999</v>
      </c>
      <c r="AA12" s="5"/>
    </row>
    <row r="13" spans="1:27" ht="15" x14ac:dyDescent="0.25">
      <c r="A13" s="1" t="s">
        <v>26</v>
      </c>
      <c r="B13" s="2" t="s">
        <v>27</v>
      </c>
      <c r="C13" s="2" t="s">
        <v>28</v>
      </c>
      <c r="D13" s="23">
        <f>VLOOKUP(A13,'Reconciliation Data'!$A$3:$M$31,13,FALSE)+VLOOKUP(A13,'BH and Rehab payments'!$A$7:$U$35,10,FALSE)</f>
        <v>2347</v>
      </c>
      <c r="E13" s="37">
        <f>VLOOKUP(A13,'Hospital Specific Rev Neutral'!$A$7:$P$35,16,FALSE)</f>
        <v>12250838.9712</v>
      </c>
      <c r="F13" s="93"/>
      <c r="G13" s="23">
        <f>VLOOKUP(A13,'BH and Rehab payments'!$A$7:$U$35,6,FALSE)</f>
        <v>2148</v>
      </c>
      <c r="H13" s="34">
        <f>VLOOKUP(A13,'BH and Rehab payments'!$A$7:$U$35,7,FALSE)</f>
        <v>2094300</v>
      </c>
      <c r="I13" s="93"/>
      <c r="J13" s="21">
        <f>VLOOKUP(A13,'BH and Rehab payments'!$A$7:$U$35,11,FALSE)</f>
        <v>36</v>
      </c>
      <c r="K13" s="21">
        <f>VLOOKUP(A13,'BH and Rehab payments'!$A$7:$U$35,14,FALSE)</f>
        <v>0</v>
      </c>
      <c r="L13" s="34">
        <f>VLOOKUP(A13,'BH and Rehab payments'!$A$7:$U$35,16,FALSE)</f>
        <v>35100</v>
      </c>
      <c r="M13" s="93"/>
      <c r="N13" s="21">
        <f>VLOOKUP(A13,'BH and Rehab payments'!$A$7:$U$35,20,FALSE)</f>
        <v>280</v>
      </c>
      <c r="O13" s="34">
        <f>VLOOKUP(A13,'BH and Rehab payments'!$A$7:$U$35,21,FALSE)</f>
        <v>383600</v>
      </c>
      <c r="P13" s="93"/>
      <c r="Q13" s="21">
        <f>VLOOKUP(A13,'DRG Rate'!$A$8:$K$36,10,FALSE)</f>
        <v>2005</v>
      </c>
      <c r="R13" s="16">
        <f>VLOOKUP(A13,'DRG Rate'!$A$8:$K$36,8,FALSE)</f>
        <v>0.60602498807820693</v>
      </c>
      <c r="S13" s="34">
        <f>VLOOKUP(A13,'DRG Rate'!$A$8:$K$36,11,FALSE)</f>
        <v>7518.606153376998</v>
      </c>
      <c r="T13" s="34">
        <f t="shared" si="0"/>
        <v>9135708.7249523811</v>
      </c>
      <c r="U13" s="34">
        <f>VLOOKUP(A13,'DRG Revenue'!$A$8:$T$36,15,FALSE)</f>
        <v>145344.81</v>
      </c>
      <c r="V13" s="37">
        <f t="shared" si="1"/>
        <v>9281053.5349523816</v>
      </c>
      <c r="W13" s="93"/>
      <c r="X13" s="34">
        <f>VLOOKUP(A13,'DRG Revenue'!$A$8:$T$36,18,FALSE)</f>
        <v>456785.43624761957</v>
      </c>
      <c r="Y13" s="37">
        <f t="shared" si="2"/>
        <v>12250838.9712</v>
      </c>
      <c r="AA13" s="5"/>
    </row>
    <row r="14" spans="1:27" ht="15" x14ac:dyDescent="0.25">
      <c r="A14" s="1" t="s">
        <v>29</v>
      </c>
      <c r="B14" s="2" t="s">
        <v>30</v>
      </c>
      <c r="C14" s="2" t="s">
        <v>31</v>
      </c>
      <c r="D14" s="23">
        <f>VLOOKUP(A14,'Reconciliation Data'!$A$3:$M$31,13,FALSE)+VLOOKUP(A14,'BH and Rehab payments'!$A$7:$U$35,10,FALSE)</f>
        <v>463</v>
      </c>
      <c r="E14" s="37">
        <f>VLOOKUP(A14,'Hospital Specific Rev Neutral'!$A$7:$P$35,16,FALSE)</f>
        <v>1913514.9660000002</v>
      </c>
      <c r="F14" s="93"/>
      <c r="G14" s="23">
        <f>VLOOKUP(A14,'BH and Rehab payments'!$A$7:$U$35,6,FALSE)</f>
        <v>921</v>
      </c>
      <c r="H14" s="34">
        <f>VLOOKUP(A14,'BH and Rehab payments'!$A$7:$U$35,7,FALSE)</f>
        <v>897975</v>
      </c>
      <c r="I14" s="93"/>
      <c r="J14" s="21">
        <f>VLOOKUP(A14,'BH and Rehab payments'!$A$7:$U$35,11,FALSE)</f>
        <v>9</v>
      </c>
      <c r="K14" s="21">
        <f>VLOOKUP(A14,'BH and Rehab payments'!$A$7:$U$35,14,FALSE)</f>
        <v>0</v>
      </c>
      <c r="L14" s="34">
        <f>VLOOKUP(A14,'BH and Rehab payments'!$A$7:$U$35,16,FALSE)</f>
        <v>8775</v>
      </c>
      <c r="M14" s="93"/>
      <c r="N14" s="21">
        <f>VLOOKUP(A14,'BH and Rehab payments'!$A$7:$U$35,20,FALSE)</f>
        <v>0</v>
      </c>
      <c r="O14" s="34">
        <f>VLOOKUP(A14,'BH and Rehab payments'!$A$7:$U$35,21,FALSE)</f>
        <v>0</v>
      </c>
      <c r="P14" s="93"/>
      <c r="Q14" s="21">
        <f>VLOOKUP(A14,'DRG Rate'!$A$8:$K$36,10,FALSE)</f>
        <v>323</v>
      </c>
      <c r="R14" s="16">
        <f>VLOOKUP(A14,'DRG Rate'!$A$8:$K$36,8,FALSE)</f>
        <v>0.53785339506172836</v>
      </c>
      <c r="S14" s="34">
        <f>VLOOKUP(A14,'DRG Rate'!$A$8:$K$36,11,FALSE)</f>
        <v>5283.0818926674201</v>
      </c>
      <c r="T14" s="34">
        <f t="shared" si="0"/>
        <v>917812.10095238127</v>
      </c>
      <c r="U14" s="34">
        <f>VLOOKUP(A14,'DRG Revenue'!$A$8:$T$36,15,FALSE)</f>
        <v>43062.26</v>
      </c>
      <c r="V14" s="37">
        <f t="shared" si="1"/>
        <v>960874.36095238128</v>
      </c>
      <c r="W14" s="93"/>
      <c r="X14" s="34">
        <f>VLOOKUP(A14,'DRG Revenue'!$A$8:$T$36,18,FALSE)</f>
        <v>45890.605047619109</v>
      </c>
      <c r="Y14" s="37">
        <f t="shared" si="2"/>
        <v>1913514.9660000005</v>
      </c>
      <c r="AA14" s="5"/>
    </row>
    <row r="15" spans="1:27" ht="15" x14ac:dyDescent="0.25">
      <c r="A15" s="1" t="s">
        <v>32</v>
      </c>
      <c r="B15" s="2" t="s">
        <v>33</v>
      </c>
      <c r="C15" s="2" t="s">
        <v>34</v>
      </c>
      <c r="D15" s="23">
        <f>VLOOKUP(A15,'Reconciliation Data'!$A$3:$M$31,13,FALSE)+VLOOKUP(A15,'BH and Rehab payments'!$A$7:$U$35,10,FALSE)</f>
        <v>4322</v>
      </c>
      <c r="E15" s="37">
        <f>VLOOKUP(A15,'Hospital Specific Rev Neutral'!$A$7:$P$35,16,FALSE)</f>
        <v>30464494.236099999</v>
      </c>
      <c r="F15" s="93"/>
      <c r="G15" s="23">
        <f>VLOOKUP(A15,'BH and Rehab payments'!$A$7:$U$35,6,FALSE)</f>
        <v>3448</v>
      </c>
      <c r="H15" s="34">
        <f>VLOOKUP(A15,'BH and Rehab payments'!$A$7:$U$35,7,FALSE)</f>
        <v>3620400</v>
      </c>
      <c r="I15" s="93"/>
      <c r="J15" s="21">
        <f>VLOOKUP(A15,'BH and Rehab payments'!$A$7:$U$35,11,FALSE)</f>
        <v>5</v>
      </c>
      <c r="K15" s="21">
        <f>VLOOKUP(A15,'BH and Rehab payments'!$A$7:$U$35,14,FALSE)</f>
        <v>0</v>
      </c>
      <c r="L15" s="34">
        <f>VLOOKUP(A15,'BH and Rehab payments'!$A$7:$U$35,16,FALSE)</f>
        <v>5250</v>
      </c>
      <c r="M15" s="93"/>
      <c r="N15" s="21">
        <f>VLOOKUP(A15,'BH and Rehab payments'!$A$7:$U$35,20,FALSE)</f>
        <v>568</v>
      </c>
      <c r="O15" s="34">
        <f>VLOOKUP(A15,'BH and Rehab payments'!$A$7:$U$35,21,FALSE)</f>
        <v>778160</v>
      </c>
      <c r="P15" s="93"/>
      <c r="Q15" s="21">
        <f>VLOOKUP(A15,'DRG Rate'!$A$8:$K$36,10,FALSE)</f>
        <v>3789</v>
      </c>
      <c r="R15" s="16">
        <f>VLOOKUP(A15,'DRG Rate'!$A$8:$K$36,8,FALSE)</f>
        <v>0.66101524249422638</v>
      </c>
      <c r="S15" s="34">
        <f>VLOOKUP(A15,'DRG Rate'!$A$8:$K$36,11,FALSE)</f>
        <v>9771.2852884065323</v>
      </c>
      <c r="T15" s="34">
        <f t="shared" si="0"/>
        <v>24473031.701047618</v>
      </c>
      <c r="U15" s="34">
        <f>VLOOKUP(A15,'DRG Revenue'!$A$8:$T$36,15,FALSE)</f>
        <v>364000.95</v>
      </c>
      <c r="V15" s="37">
        <f t="shared" si="1"/>
        <v>24837032.651047617</v>
      </c>
      <c r="W15" s="93"/>
      <c r="X15" s="34">
        <f>VLOOKUP(A15,'DRG Revenue'!$A$8:$T$36,18,FALSE)</f>
        <v>1223651.5850523824</v>
      </c>
      <c r="Y15" s="37">
        <f t="shared" si="2"/>
        <v>30464494.236099999</v>
      </c>
      <c r="AA15" s="5"/>
    </row>
    <row r="16" spans="1:27" ht="15" x14ac:dyDescent="0.25">
      <c r="A16" s="15" t="s">
        <v>35</v>
      </c>
      <c r="B16" s="10" t="s">
        <v>36</v>
      </c>
      <c r="C16" s="2" t="s">
        <v>37</v>
      </c>
      <c r="D16" s="23">
        <f>VLOOKUP(A16,'Reconciliation Data'!$A$3:$M$31,13,FALSE)+VLOOKUP(A16,'BH and Rehab payments'!$A$7:$U$35,10,FALSE)</f>
        <v>842</v>
      </c>
      <c r="E16" s="37">
        <f>VLOOKUP(A16,'Hospital Specific Rev Neutral'!$A$7:$P$35,16,FALSE)</f>
        <v>3942434.7231999999</v>
      </c>
      <c r="F16" s="93"/>
      <c r="G16" s="23">
        <f>VLOOKUP(A16,'BH and Rehab payments'!$A$7:$U$35,6,FALSE)</f>
        <v>985</v>
      </c>
      <c r="H16" s="34">
        <f>VLOOKUP(A16,'BH and Rehab payments'!$A$7:$U$35,7,FALSE)</f>
        <v>1108125</v>
      </c>
      <c r="I16" s="93"/>
      <c r="J16" s="21">
        <f>VLOOKUP(A16,'BH and Rehab payments'!$A$7:$U$35,11,FALSE)</f>
        <v>24</v>
      </c>
      <c r="K16" s="21">
        <f>VLOOKUP(A16,'BH and Rehab payments'!$A$7:$U$35,14,FALSE)</f>
        <v>0</v>
      </c>
      <c r="L16" s="34">
        <f>VLOOKUP(A16,'BH and Rehab payments'!$A$7:$U$35,16,FALSE)</f>
        <v>27000</v>
      </c>
      <c r="M16" s="93"/>
      <c r="N16" s="21">
        <f>VLOOKUP(A16,'BH and Rehab payments'!$A$7:$U$35,20,FALSE)</f>
        <v>0</v>
      </c>
      <c r="O16" s="34">
        <f>VLOOKUP(A16,'BH and Rehab payments'!$A$7:$U$35,21,FALSE)</f>
        <v>0</v>
      </c>
      <c r="P16" s="93"/>
      <c r="Q16" s="21">
        <f>VLOOKUP(A16,'DRG Rate'!$A$8:$K$36,10,FALSE)</f>
        <v>634</v>
      </c>
      <c r="R16" s="16">
        <f>VLOOKUP(A16,'DRG Rate'!$A$8:$K$36,8,FALSE)</f>
        <v>0.7100534562211982</v>
      </c>
      <c r="S16" s="34">
        <f>VLOOKUP(A16,'DRG Rate'!$A$8:$K$36,11,FALSE)</f>
        <v>5939.1012224628539</v>
      </c>
      <c r="T16" s="34">
        <f t="shared" si="0"/>
        <v>2673628.3078095238</v>
      </c>
      <c r="U16" s="34">
        <f>VLOOKUP(A16,'DRG Revenue'!$A$8:$T$36,15,FALSE)</f>
        <v>0</v>
      </c>
      <c r="V16" s="37">
        <f t="shared" si="1"/>
        <v>2673628.3078095238</v>
      </c>
      <c r="W16" s="93"/>
      <c r="X16" s="34">
        <f>VLOOKUP(A16,'DRG Revenue'!$A$8:$T$36,18,FALSE)</f>
        <v>133681.41539047632</v>
      </c>
      <c r="Y16" s="37">
        <f t="shared" si="2"/>
        <v>3942434.7231999999</v>
      </c>
      <c r="AA16" s="5"/>
    </row>
    <row r="17" spans="1:27" ht="15" x14ac:dyDescent="0.25">
      <c r="A17" s="3" t="s">
        <v>38</v>
      </c>
      <c r="B17" s="4" t="s">
        <v>12</v>
      </c>
      <c r="C17" s="4" t="s">
        <v>39</v>
      </c>
      <c r="D17" s="24">
        <f>VLOOKUP(A17,'Reconciliation Data'!$A$3:$M$31,13,FALSE)+VLOOKUP(A17,'BH and Rehab payments'!$A$7:$U$35,10,FALSE)</f>
        <v>199</v>
      </c>
      <c r="E17" s="38">
        <f>VLOOKUP(A17,'Hospital Specific Rev Neutral'!$A$7:$P$35,16,FALSE)</f>
        <v>1007742.504</v>
      </c>
      <c r="F17" s="93"/>
      <c r="G17" s="24">
        <f>VLOOKUP(A17,'BH and Rehab payments'!$A$7:$U$35,6,FALSE)</f>
        <v>54</v>
      </c>
      <c r="H17" s="35">
        <f>VLOOKUP(A17,'BH and Rehab payments'!$A$7:$U$35,7,FALSE)</f>
        <v>52650</v>
      </c>
      <c r="I17" s="93"/>
      <c r="J17" s="22">
        <f>VLOOKUP(A17,'BH and Rehab payments'!$A$7:$U$35,11,FALSE)</f>
        <v>0</v>
      </c>
      <c r="K17" s="22">
        <f>VLOOKUP(A17,'BH and Rehab payments'!$A$7:$U$35,14,FALSE)</f>
        <v>0</v>
      </c>
      <c r="L17" s="35">
        <f>VLOOKUP(A17,'BH and Rehab payments'!$A$7:$U$35,16,FALSE)</f>
        <v>0</v>
      </c>
      <c r="M17" s="93"/>
      <c r="N17" s="22">
        <f>VLOOKUP(A17,'BH and Rehab payments'!$A$7:$U$35,20,FALSE)</f>
        <v>0</v>
      </c>
      <c r="O17" s="35">
        <f>VLOOKUP(A17,'BH and Rehab payments'!$A$7:$U$35,21,FALSE)</f>
        <v>0</v>
      </c>
      <c r="P17" s="93"/>
      <c r="Q17" s="22">
        <f>VLOOKUP(A17,'DRG Rate'!$A$8:$K$36,10,FALSE)</f>
        <v>190</v>
      </c>
      <c r="R17" s="27">
        <f>VLOOKUP(A17,'DRG Rate'!$A$8:$K$36,8,FALSE)</f>
        <v>0.90140372340425534</v>
      </c>
      <c r="S17" s="35">
        <f>VLOOKUP(A17,'DRG Rate'!$A$8:$K$36,11,FALSE)</f>
        <v>5294.8431144932656</v>
      </c>
      <c r="T17" s="35">
        <f t="shared" si="0"/>
        <v>906830.34666666656</v>
      </c>
      <c r="U17" s="35">
        <f>VLOOKUP(A17,'DRG Revenue'!$A$8:$T$36,15,FALSE)</f>
        <v>2920.64</v>
      </c>
      <c r="V17" s="38">
        <f t="shared" si="1"/>
        <v>909750.98666666658</v>
      </c>
      <c r="W17" s="93"/>
      <c r="X17" s="35">
        <f>VLOOKUP(A17,'DRG Revenue'!$A$8:$T$36,18,FALSE)</f>
        <v>45341.517333333381</v>
      </c>
      <c r="Y17" s="38">
        <f t="shared" si="2"/>
        <v>1007742.504</v>
      </c>
      <c r="AA17" s="5"/>
    </row>
    <row r="18" spans="1:27" ht="15" x14ac:dyDescent="0.25">
      <c r="A18" s="1" t="s">
        <v>40</v>
      </c>
      <c r="B18" s="2" t="s">
        <v>137</v>
      </c>
      <c r="C18" s="2" t="s">
        <v>42</v>
      </c>
      <c r="D18" s="23">
        <f>VLOOKUP(A18,'Reconciliation Data'!$A$3:$M$31,13,FALSE)+VLOOKUP(A18,'BH and Rehab payments'!$A$7:$U$35,10,FALSE)</f>
        <v>227</v>
      </c>
      <c r="E18" s="37">
        <f>VLOOKUP(A18,'Hospital Specific Rev Neutral'!$A$7:$P$35,16,FALSE)</f>
        <v>1561944.9487999999</v>
      </c>
      <c r="F18" s="93"/>
      <c r="G18" s="23">
        <f>VLOOKUP(A18,'BH and Rehab payments'!$A$7:$U$35,6,FALSE)</f>
        <v>47</v>
      </c>
      <c r="H18" s="34">
        <f>VLOOKUP(A18,'BH and Rehab payments'!$A$7:$U$35,7,FALSE)</f>
        <v>45825</v>
      </c>
      <c r="I18" s="93"/>
      <c r="J18" s="21">
        <f>VLOOKUP(A18,'BH and Rehab payments'!$A$7:$U$35,11,FALSE)</f>
        <v>0</v>
      </c>
      <c r="K18" s="21">
        <f>VLOOKUP(A18,'BH and Rehab payments'!$A$7:$U$35,14,FALSE)</f>
        <v>0</v>
      </c>
      <c r="L18" s="34">
        <f>VLOOKUP(A18,'BH and Rehab payments'!$A$7:$U$35,16,FALSE)</f>
        <v>0</v>
      </c>
      <c r="M18" s="93"/>
      <c r="N18" s="21">
        <f>VLOOKUP(A18,'BH and Rehab payments'!$A$7:$U$35,20,FALSE)</f>
        <v>0</v>
      </c>
      <c r="O18" s="34">
        <f>VLOOKUP(A18,'BH and Rehab payments'!$A$7:$U$35,21,FALSE)</f>
        <v>0</v>
      </c>
      <c r="P18" s="93"/>
      <c r="Q18" s="21">
        <f>VLOOKUP(A18,'DRG Rate'!$A$8:$K$36,10,FALSE)</f>
        <v>219</v>
      </c>
      <c r="R18" s="16">
        <f>VLOOKUP(A18,'DRG Rate'!$A$8:$K$36,8,FALSE)</f>
        <v>0.46072201834862386</v>
      </c>
      <c r="S18" s="34">
        <f>VLOOKUP(A18,'DRG Rate'!$A$8:$K$36,11,FALSE)</f>
        <v>14116.654256062626</v>
      </c>
      <c r="T18" s="34">
        <f t="shared" si="0"/>
        <v>1424343.9036190473</v>
      </c>
      <c r="U18" s="34">
        <f>VLOOKUP(A18,'DRG Revenue'!$A$8:$T$36,15,FALSE)</f>
        <v>20558.849999999999</v>
      </c>
      <c r="V18" s="37">
        <f t="shared" si="1"/>
        <v>1444902.7536190473</v>
      </c>
      <c r="W18" s="93"/>
      <c r="X18" s="34">
        <f>VLOOKUP(A18,'DRG Revenue'!$A$8:$T$36,18,FALSE)</f>
        <v>71217.195180952447</v>
      </c>
      <c r="Y18" s="37">
        <f t="shared" si="2"/>
        <v>1561944.9487999999</v>
      </c>
      <c r="AA18" s="5"/>
    </row>
    <row r="19" spans="1:27" ht="15" x14ac:dyDescent="0.25">
      <c r="A19" s="1" t="s">
        <v>43</v>
      </c>
      <c r="B19" s="2" t="s">
        <v>44</v>
      </c>
      <c r="C19" s="2" t="s">
        <v>45</v>
      </c>
      <c r="D19" s="23">
        <f>VLOOKUP(A19,'Reconciliation Data'!$A$3:$M$31,13,FALSE)+VLOOKUP(A19,'BH and Rehab payments'!$A$7:$U$35,10,FALSE)</f>
        <v>2455</v>
      </c>
      <c r="E19" s="37">
        <f>VLOOKUP(A19,'Hospital Specific Rev Neutral'!$A$7:$P$35,16,FALSE)</f>
        <v>13465845.093600001</v>
      </c>
      <c r="F19" s="93"/>
      <c r="G19" s="23">
        <f>VLOOKUP(A19,'BH and Rehab payments'!$A$7:$U$35,6,FALSE)</f>
        <v>1734</v>
      </c>
      <c r="H19" s="34">
        <f>VLOOKUP(A19,'BH and Rehab payments'!$A$7:$U$35,7,FALSE)</f>
        <v>1690650</v>
      </c>
      <c r="I19" s="93"/>
      <c r="J19" s="21">
        <f>VLOOKUP(A19,'BH and Rehab payments'!$A$7:$U$35,11,FALSE)</f>
        <v>32</v>
      </c>
      <c r="K19" s="21">
        <f>VLOOKUP(A19,'BH and Rehab payments'!$A$7:$U$35,14,FALSE)</f>
        <v>0</v>
      </c>
      <c r="L19" s="34">
        <f>VLOOKUP(A19,'BH and Rehab payments'!$A$7:$U$35,16,FALSE)</f>
        <v>31200</v>
      </c>
      <c r="M19" s="93"/>
      <c r="N19" s="21">
        <f>VLOOKUP(A19,'BH and Rehab payments'!$A$7:$U$35,20,FALSE)</f>
        <v>0</v>
      </c>
      <c r="O19" s="34">
        <f>VLOOKUP(A19,'BH and Rehab payments'!$A$7:$U$35,21,FALSE)</f>
        <v>0</v>
      </c>
      <c r="P19" s="93"/>
      <c r="Q19" s="21">
        <f>VLOOKUP(A19,'DRG Rate'!$A$8:$K$36,10,FALSE)</f>
        <v>2149</v>
      </c>
      <c r="R19" s="16">
        <f>VLOOKUP(A19,'DRG Rate'!$A$8:$K$36,8,FALSE)</f>
        <v>0.72484691987031036</v>
      </c>
      <c r="S19" s="34">
        <f>VLOOKUP(A19,'DRG Rate'!$A$8:$K$36,11,FALSE)</f>
        <v>7168.3582503325615</v>
      </c>
      <c r="T19" s="34">
        <f t="shared" si="0"/>
        <v>11166123.193904761</v>
      </c>
      <c r="U19" s="34">
        <f>VLOOKUP(A19,'DRG Revenue'!$A$8:$T$36,15,FALSE)</f>
        <v>19565.740000000002</v>
      </c>
      <c r="V19" s="37">
        <f t="shared" si="1"/>
        <v>11185688.933904761</v>
      </c>
      <c r="W19" s="93"/>
      <c r="X19" s="34">
        <f>VLOOKUP(A19,'DRG Revenue'!$A$8:$T$36,18,FALSE)</f>
        <v>558306.15969523881</v>
      </c>
      <c r="Y19" s="37">
        <f t="shared" si="2"/>
        <v>13465845.093600001</v>
      </c>
      <c r="AA19" s="5"/>
    </row>
    <row r="20" spans="1:27" ht="15" x14ac:dyDescent="0.25">
      <c r="A20" s="1" t="s">
        <v>46</v>
      </c>
      <c r="B20" s="2" t="s">
        <v>47</v>
      </c>
      <c r="C20" s="2" t="s">
        <v>48</v>
      </c>
      <c r="D20" s="23">
        <f>VLOOKUP(A20,'Reconciliation Data'!$A$3:$M$31,13,FALSE)+VLOOKUP(A20,'BH and Rehab payments'!$A$7:$U$35,10,FALSE)</f>
        <v>1715</v>
      </c>
      <c r="E20" s="37">
        <f>VLOOKUP(A20,'Hospital Specific Rev Neutral'!$A$7:$P$35,16,FALSE)</f>
        <v>7967199.1711999997</v>
      </c>
      <c r="F20" s="93"/>
      <c r="G20" s="23">
        <f>VLOOKUP(A20,'BH and Rehab payments'!$A$7:$U$35,6,FALSE)</f>
        <v>1144</v>
      </c>
      <c r="H20" s="34">
        <f>VLOOKUP(A20,'BH and Rehab payments'!$A$7:$U$35,7,FALSE)</f>
        <v>1115400</v>
      </c>
      <c r="I20" s="93"/>
      <c r="J20" s="21">
        <f>VLOOKUP(A20,'BH and Rehab payments'!$A$7:$U$35,11,FALSE)</f>
        <v>4</v>
      </c>
      <c r="K20" s="21">
        <f>VLOOKUP(A20,'BH and Rehab payments'!$A$7:$U$35,14,FALSE)</f>
        <v>0</v>
      </c>
      <c r="L20" s="34">
        <f>VLOOKUP(A20,'BH and Rehab payments'!$A$7:$U$35,16,FALSE)</f>
        <v>3900</v>
      </c>
      <c r="M20" s="93"/>
      <c r="N20" s="21">
        <f>VLOOKUP(A20,'BH and Rehab payments'!$A$7:$U$35,20,FALSE)</f>
        <v>0</v>
      </c>
      <c r="O20" s="34">
        <f>VLOOKUP(A20,'BH and Rehab payments'!$A$7:$U$35,21,FALSE)</f>
        <v>0</v>
      </c>
      <c r="P20" s="93"/>
      <c r="Q20" s="21">
        <f>VLOOKUP(A20,'DRG Rate'!$A$8:$K$36,10,FALSE)</f>
        <v>1572</v>
      </c>
      <c r="R20" s="16">
        <f>VLOOKUP(A20,'DRG Rate'!$A$8:$K$36,8,FALSE)</f>
        <v>0.5856521573604061</v>
      </c>
      <c r="S20" s="34">
        <f>VLOOKUP(A20,'DRG Rate'!$A$8:$K$36,11,FALSE)</f>
        <v>7069.9387004017917</v>
      </c>
      <c r="T20" s="34">
        <f t="shared" si="0"/>
        <v>6508905.067809524</v>
      </c>
      <c r="U20" s="34">
        <f>VLOOKUP(A20,'DRG Revenue'!$A$8:$T$36,15,FALSE)</f>
        <v>13548.85</v>
      </c>
      <c r="V20" s="37">
        <f t="shared" si="1"/>
        <v>6522453.9178095236</v>
      </c>
      <c r="W20" s="93"/>
      <c r="X20" s="34">
        <f>VLOOKUP(A20,'DRG Revenue'!$A$8:$T$36,18,FALSE)</f>
        <v>325445.25339047657</v>
      </c>
      <c r="Y20" s="37">
        <f t="shared" si="2"/>
        <v>7967199.1711999997</v>
      </c>
      <c r="AA20" s="5"/>
    </row>
    <row r="21" spans="1:27" x14ac:dyDescent="0.3">
      <c r="A21" s="1" t="s">
        <v>49</v>
      </c>
      <c r="B21" s="2" t="s">
        <v>50</v>
      </c>
      <c r="C21" s="2" t="s">
        <v>51</v>
      </c>
      <c r="D21" s="23">
        <f>VLOOKUP(A21,'Reconciliation Data'!$A$3:$M$31,13,FALSE)+VLOOKUP(A21,'BH and Rehab payments'!$A$7:$U$35,10,FALSE)</f>
        <v>371</v>
      </c>
      <c r="E21" s="37">
        <f>VLOOKUP(A21,'Hospital Specific Rev Neutral'!$A$7:$P$35,16,FALSE)</f>
        <v>2484920.2192000002</v>
      </c>
      <c r="F21" s="93"/>
      <c r="G21" s="23">
        <f>VLOOKUP(A21,'BH and Rehab payments'!$A$7:$U$35,6,FALSE)</f>
        <v>176</v>
      </c>
      <c r="H21" s="34">
        <f>VLOOKUP(A21,'BH and Rehab payments'!$A$7:$U$35,7,FALSE)</f>
        <v>171600</v>
      </c>
      <c r="I21" s="93"/>
      <c r="J21" s="21">
        <f>VLOOKUP(A21,'BH and Rehab payments'!$A$7:$U$35,11,FALSE)</f>
        <v>0</v>
      </c>
      <c r="K21" s="21">
        <f>VLOOKUP(A21,'BH and Rehab payments'!$A$7:$U$35,14,FALSE)</f>
        <v>0</v>
      </c>
      <c r="L21" s="34">
        <f>VLOOKUP(A21,'BH and Rehab payments'!$A$7:$U$35,16,FALSE)</f>
        <v>0</v>
      </c>
      <c r="M21" s="93"/>
      <c r="N21" s="21">
        <f>VLOOKUP(A21,'BH and Rehab payments'!$A$7:$U$35,20,FALSE)</f>
        <v>0</v>
      </c>
      <c r="O21" s="34">
        <f>VLOOKUP(A21,'BH and Rehab payments'!$A$7:$U$35,21,FALSE)</f>
        <v>0</v>
      </c>
      <c r="P21" s="93"/>
      <c r="Q21" s="21">
        <f>VLOOKUP(A21,'DRG Rate'!$A$8:$K$36,10,FALSE)</f>
        <v>332</v>
      </c>
      <c r="R21" s="16">
        <f>VLOOKUP(A21,'DRG Rate'!$A$8:$K$36,8,FALSE)</f>
        <v>0.66972430769230773</v>
      </c>
      <c r="S21" s="34">
        <f>VLOOKUP(A21,'DRG Rate'!$A$8:$K$36,11,FALSE)</f>
        <v>9549.0803998634437</v>
      </c>
      <c r="T21" s="34">
        <f t="shared" si="0"/>
        <v>2123223.4182857145</v>
      </c>
      <c r="U21" s="34">
        <f>VLOOKUP(A21,'DRG Revenue'!$A$8:$T$36,15,FALSE)</f>
        <v>83935.63</v>
      </c>
      <c r="V21" s="37">
        <f t="shared" si="1"/>
        <v>2207159.0482857144</v>
      </c>
      <c r="W21" s="93"/>
      <c r="X21" s="34">
        <f>VLOOKUP(A21,'DRG Revenue'!$A$8:$T$36,18,FALSE)</f>
        <v>106161.17091428585</v>
      </c>
      <c r="Y21" s="37">
        <f t="shared" si="2"/>
        <v>2484920.2192000002</v>
      </c>
      <c r="AA21" s="5"/>
    </row>
    <row r="22" spans="1:27" x14ac:dyDescent="0.3">
      <c r="A22" s="3" t="s">
        <v>52</v>
      </c>
      <c r="B22" s="4" t="s">
        <v>53</v>
      </c>
      <c r="C22" s="4" t="s">
        <v>54</v>
      </c>
      <c r="D22" s="24">
        <f>VLOOKUP(A22,'Reconciliation Data'!$A$3:$M$31,13,FALSE)+VLOOKUP(A22,'BH and Rehab payments'!$A$7:$U$35,10,FALSE)</f>
        <v>219</v>
      </c>
      <c r="E22" s="38">
        <f>VLOOKUP(A22,'Hospital Specific Rev Neutral'!$A$7:$P$35,16,FALSE)</f>
        <v>926398.84479999996</v>
      </c>
      <c r="F22" s="93"/>
      <c r="G22" s="24">
        <f>VLOOKUP(A22,'BH and Rehab payments'!$A$7:$U$35,6,FALSE)</f>
        <v>50</v>
      </c>
      <c r="H22" s="35">
        <f>VLOOKUP(A22,'BH and Rehab payments'!$A$7:$U$35,7,FALSE)</f>
        <v>48750</v>
      </c>
      <c r="I22" s="93"/>
      <c r="J22" s="22">
        <f>VLOOKUP(A22,'BH and Rehab payments'!$A$7:$U$35,11,FALSE)</f>
        <v>0</v>
      </c>
      <c r="K22" s="22">
        <f>VLOOKUP(A22,'BH and Rehab payments'!$A$7:$U$35,14,FALSE)</f>
        <v>0</v>
      </c>
      <c r="L22" s="35">
        <f>VLOOKUP(A22,'BH and Rehab payments'!$A$7:$U$35,16,FALSE)</f>
        <v>0</v>
      </c>
      <c r="M22" s="93"/>
      <c r="N22" s="22">
        <f>VLOOKUP(A22,'BH and Rehab payments'!$A$7:$U$35,20,FALSE)</f>
        <v>0</v>
      </c>
      <c r="O22" s="35">
        <f>VLOOKUP(A22,'BH and Rehab payments'!$A$7:$U$35,21,FALSE)</f>
        <v>0</v>
      </c>
      <c r="P22" s="93"/>
      <c r="Q22" s="22">
        <f>VLOOKUP(A22,'DRG Rate'!$A$8:$K$36,10,FALSE)</f>
        <v>213</v>
      </c>
      <c r="R22" s="27">
        <f>VLOOKUP(A22,'DRG Rate'!$A$8:$K$36,8,FALSE)</f>
        <v>0.7268317757009346</v>
      </c>
      <c r="S22" s="35">
        <f>VLOOKUP(A22,'DRG Rate'!$A$8:$K$36,11,FALSE)</f>
        <v>5399.057807150155</v>
      </c>
      <c r="T22" s="35">
        <f t="shared" si="0"/>
        <v>835856.04266666644</v>
      </c>
      <c r="U22" s="35">
        <f>VLOOKUP(A22,'DRG Revenue'!$A$8:$T$36,15,FALSE)</f>
        <v>0</v>
      </c>
      <c r="V22" s="38">
        <f t="shared" si="1"/>
        <v>835856.04266666644</v>
      </c>
      <c r="W22" s="93"/>
      <c r="X22" s="35">
        <f>VLOOKUP(A22,'DRG Revenue'!$A$8:$T$36,18,FALSE)</f>
        <v>41792.802133333375</v>
      </c>
      <c r="Y22" s="38">
        <f t="shared" si="2"/>
        <v>926398.84479999985</v>
      </c>
      <c r="AA22" s="5"/>
    </row>
    <row r="23" spans="1:27" x14ac:dyDescent="0.3">
      <c r="A23" s="1" t="s">
        <v>55</v>
      </c>
      <c r="B23" s="2" t="s">
        <v>56</v>
      </c>
      <c r="C23" s="2" t="s">
        <v>57</v>
      </c>
      <c r="D23" s="23">
        <f>VLOOKUP(A23,'Reconciliation Data'!$A$3:$M$31,13,FALSE)+VLOOKUP(A23,'BH and Rehab payments'!$A$7:$U$35,10,FALSE)</f>
        <v>1796</v>
      </c>
      <c r="E23" s="37">
        <f>VLOOKUP(A23,'Hospital Specific Rev Neutral'!$A$7:$P$35,16,FALSE)</f>
        <v>9598513.4252000004</v>
      </c>
      <c r="F23" s="93"/>
      <c r="G23" s="23">
        <f>VLOOKUP(A23,'BH and Rehab payments'!$A$7:$U$35,6,FALSE)</f>
        <v>1919</v>
      </c>
      <c r="H23" s="34">
        <f>VLOOKUP(A23,'BH and Rehab payments'!$A$7:$U$35,7,FALSE)</f>
        <v>2158875</v>
      </c>
      <c r="I23" s="93"/>
      <c r="J23" s="21">
        <f>VLOOKUP(A23,'BH and Rehab payments'!$A$7:$U$35,11,FALSE)</f>
        <v>11</v>
      </c>
      <c r="K23" s="21">
        <f>VLOOKUP(A23,'BH and Rehab payments'!$A$7:$U$35,14,FALSE)</f>
        <v>0</v>
      </c>
      <c r="L23" s="34">
        <f>VLOOKUP(A23,'BH and Rehab payments'!$A$7:$U$35,16,FALSE)</f>
        <v>12375</v>
      </c>
      <c r="M23" s="93"/>
      <c r="N23" s="21">
        <f>VLOOKUP(A23,'BH and Rehab payments'!$A$7:$U$35,20,FALSE)</f>
        <v>0</v>
      </c>
      <c r="O23" s="34">
        <f>VLOOKUP(A23,'BH and Rehab payments'!$A$7:$U$35,21,FALSE)</f>
        <v>0</v>
      </c>
      <c r="P23" s="93"/>
      <c r="Q23" s="21">
        <f>VLOOKUP(A23,'DRG Rate'!$A$8:$K$36,10,FALSE)</f>
        <v>1497</v>
      </c>
      <c r="R23" s="16">
        <f>VLOOKUP(A23,'DRG Rate'!$A$8:$K$36,8,FALSE)</f>
        <v>0.63138130718954255</v>
      </c>
      <c r="S23" s="34">
        <f>VLOOKUP(A23,'DRG Rate'!$A$8:$K$36,11,FALSE)</f>
        <v>7428.2808343933075</v>
      </c>
      <c r="T23" s="34">
        <f t="shared" si="0"/>
        <v>7021046.2620952381</v>
      </c>
      <c r="U23" s="34">
        <f>VLOOKUP(A23,'DRG Revenue'!$A$8:$T$36,15,FALSE)</f>
        <v>55164.85</v>
      </c>
      <c r="V23" s="37">
        <f t="shared" si="1"/>
        <v>7076211.1120952377</v>
      </c>
      <c r="W23" s="93"/>
      <c r="X23" s="34">
        <f>VLOOKUP(A23,'DRG Revenue'!$A$8:$T$36,18,FALSE)</f>
        <v>351052.31310476235</v>
      </c>
      <c r="Y23" s="37">
        <f t="shared" si="2"/>
        <v>9598513.4251999985</v>
      </c>
      <c r="AA23" s="5"/>
    </row>
    <row r="24" spans="1:27" x14ac:dyDescent="0.3">
      <c r="A24" s="1" t="s">
        <v>58</v>
      </c>
      <c r="B24" s="2" t="s">
        <v>59</v>
      </c>
      <c r="C24" s="2" t="s">
        <v>60</v>
      </c>
      <c r="D24" s="23">
        <f>VLOOKUP(A24,'Reconciliation Data'!$A$3:$M$31,13,FALSE)+VLOOKUP(A24,'BH and Rehab payments'!$A$7:$U$35,10,FALSE)</f>
        <v>737</v>
      </c>
      <c r="E24" s="37">
        <f>VLOOKUP(A24,'Hospital Specific Rev Neutral'!$A$7:$P$35,16,FALSE)</f>
        <v>3298906.9856000002</v>
      </c>
      <c r="F24" s="93"/>
      <c r="G24" s="23">
        <f>VLOOKUP(A24,'BH and Rehab payments'!$A$7:$U$35,6,FALSE)</f>
        <v>19</v>
      </c>
      <c r="H24" s="34">
        <f>VLOOKUP(A24,'BH and Rehab payments'!$A$7:$U$35,7,FALSE)</f>
        <v>18525</v>
      </c>
      <c r="I24" s="93"/>
      <c r="J24" s="21">
        <f>VLOOKUP(A24,'BH and Rehab payments'!$A$7:$U$35,11,FALSE)</f>
        <v>0</v>
      </c>
      <c r="K24" s="21">
        <f>VLOOKUP(A24,'BH and Rehab payments'!$A$7:$U$35,14,FALSE)</f>
        <v>0</v>
      </c>
      <c r="L24" s="34">
        <f>VLOOKUP(A24,'BH and Rehab payments'!$A$7:$U$35,16,FALSE)</f>
        <v>0</v>
      </c>
      <c r="M24" s="93"/>
      <c r="N24" s="21">
        <f>VLOOKUP(A24,'BH and Rehab payments'!$A$7:$U$35,20,FALSE)</f>
        <v>0</v>
      </c>
      <c r="O24" s="34">
        <f>VLOOKUP(A24,'BH and Rehab payments'!$A$7:$U$35,21,FALSE)</f>
        <v>0</v>
      </c>
      <c r="P24" s="93"/>
      <c r="Q24" s="21">
        <f>VLOOKUP(A24,'DRG Rate'!$A$8:$K$36,10,FALSE)</f>
        <v>733</v>
      </c>
      <c r="R24" s="16">
        <f>VLOOKUP(A24,'DRG Rate'!$A$8:$K$36,8,FALSE)</f>
        <v>0.56458408163265306</v>
      </c>
      <c r="S24" s="34">
        <f>VLOOKUP(A24,'DRG Rate'!$A$8:$K$36,11,FALSE)</f>
        <v>7549.2275380667388</v>
      </c>
      <c r="T24" s="34">
        <f t="shared" si="0"/>
        <v>3124173.3196190475</v>
      </c>
      <c r="U24" s="34">
        <f>VLOOKUP(A24,'DRG Revenue'!$A$8:$T$36,15,FALSE)</f>
        <v>0</v>
      </c>
      <c r="V24" s="37">
        <f t="shared" si="1"/>
        <v>3124173.3196190475</v>
      </c>
      <c r="W24" s="93"/>
      <c r="X24" s="34">
        <f>VLOOKUP(A24,'DRG Revenue'!$A$8:$T$36,18,FALSE)</f>
        <v>156208.66598095256</v>
      </c>
      <c r="Y24" s="37">
        <f t="shared" si="2"/>
        <v>3298906.9856000002</v>
      </c>
      <c r="AA24" s="5"/>
    </row>
    <row r="25" spans="1:27" x14ac:dyDescent="0.3">
      <c r="A25" s="1" t="s">
        <v>61</v>
      </c>
      <c r="B25" s="2" t="s">
        <v>10</v>
      </c>
      <c r="C25" s="2" t="s">
        <v>62</v>
      </c>
      <c r="D25" s="23">
        <f>VLOOKUP(A25,'Reconciliation Data'!$A$3:$M$31,13,FALSE)+VLOOKUP(A25,'BH and Rehab payments'!$A$7:$U$35,10,FALSE)</f>
        <v>15932</v>
      </c>
      <c r="E25" s="37">
        <f>VLOOKUP(A25,'Hospital Specific Rev Neutral'!$A$7:$P$35,16,FALSE)</f>
        <v>120526861.38480002</v>
      </c>
      <c r="F25" s="93"/>
      <c r="G25" s="23">
        <f>VLOOKUP(A25,'BH and Rehab payments'!$A$7:$U$35,6,FALSE)</f>
        <v>11621</v>
      </c>
      <c r="H25" s="34">
        <f>VLOOKUP(A25,'BH and Rehab payments'!$A$7:$U$35,7,FALSE)</f>
        <v>12202050</v>
      </c>
      <c r="I25" s="93"/>
      <c r="J25" s="21">
        <f>VLOOKUP(A25,'BH and Rehab payments'!$A$7:$U$35,11,FALSE)</f>
        <v>5910</v>
      </c>
      <c r="K25" s="21">
        <f>VLOOKUP(A25,'BH and Rehab payments'!$A$7:$U$35,14,FALSE)</f>
        <v>258</v>
      </c>
      <c r="L25" s="34">
        <f>VLOOKUP(A25,'BH and Rehab payments'!$A$7:$U$35,16,FALSE)</f>
        <v>6435765</v>
      </c>
      <c r="M25" s="93"/>
      <c r="N25" s="21">
        <f>VLOOKUP(A25,'BH and Rehab payments'!$A$7:$U$35,20,FALSE)</f>
        <v>6</v>
      </c>
      <c r="O25" s="34">
        <f>VLOOKUP(A25,'BH and Rehab payments'!$A$7:$U$35,21,FALSE)</f>
        <v>8220</v>
      </c>
      <c r="P25" s="93"/>
      <c r="Q25" s="21">
        <f>VLOOKUP(A25,'DRG Rate'!$A$8:$K$36,10,FALSE)</f>
        <v>13845</v>
      </c>
      <c r="R25" s="16">
        <f>VLOOKUP(A25,'DRG Rate'!$A$8:$K$36,8,FALSE)</f>
        <v>0.85466181096783334</v>
      </c>
      <c r="S25" s="34">
        <f>VLOOKUP(A25,'DRG Rate'!$A$8:$K$36,11,FALSE)</f>
        <v>7246.3954249953067</v>
      </c>
      <c r="T25" s="34">
        <f t="shared" si="0"/>
        <v>85745095.414095253</v>
      </c>
      <c r="U25" s="34">
        <f>VLOOKUP(A25,'DRG Revenue'!$A$8:$T$36,15,FALSE)</f>
        <v>11848476.199999999</v>
      </c>
      <c r="V25" s="37">
        <f t="shared" si="1"/>
        <v>97593571.614095256</v>
      </c>
      <c r="W25" s="93"/>
      <c r="X25" s="34">
        <f>VLOOKUP(A25,'DRG Revenue'!$A$8:$T$36,18,FALSE)</f>
        <v>4287254.7707047677</v>
      </c>
      <c r="Y25" s="37">
        <f t="shared" si="2"/>
        <v>120526861.38480002</v>
      </c>
      <c r="AA25" s="5"/>
    </row>
    <row r="26" spans="1:27" x14ac:dyDescent="0.3">
      <c r="A26" s="1" t="s">
        <v>63</v>
      </c>
      <c r="B26" s="2" t="s">
        <v>64</v>
      </c>
      <c r="C26" s="2" t="s">
        <v>65</v>
      </c>
      <c r="D26" s="23">
        <f>VLOOKUP(A26,'Reconciliation Data'!$A$3:$M$31,13,FALSE)+VLOOKUP(A26,'BH and Rehab payments'!$A$7:$U$35,10,FALSE)</f>
        <v>1757</v>
      </c>
      <c r="E26" s="37">
        <f>VLOOKUP(A26,'Hospital Specific Rev Neutral'!$A$7:$P$35,16,FALSE)</f>
        <v>8519408.4768000003</v>
      </c>
      <c r="F26" s="93"/>
      <c r="G26" s="23">
        <f>VLOOKUP(A26,'BH and Rehab payments'!$A$7:$U$35,6,FALSE)</f>
        <v>1437</v>
      </c>
      <c r="H26" s="34">
        <f>VLOOKUP(A26,'BH and Rehab payments'!$A$7:$U$35,7,FALSE)</f>
        <v>1401075</v>
      </c>
      <c r="I26" s="93"/>
      <c r="J26" s="21">
        <f>VLOOKUP(A26,'BH and Rehab payments'!$A$7:$U$35,11,FALSE)</f>
        <v>23</v>
      </c>
      <c r="K26" s="21">
        <f>VLOOKUP(A26,'BH and Rehab payments'!$A$7:$U$35,14,FALSE)</f>
        <v>0</v>
      </c>
      <c r="L26" s="34">
        <f>VLOOKUP(A26,'BH and Rehab payments'!$A$7:$U$35,16,FALSE)</f>
        <v>22425</v>
      </c>
      <c r="M26" s="93"/>
      <c r="N26" s="21">
        <f>VLOOKUP(A26,'BH and Rehab payments'!$A$7:$U$35,20,FALSE)</f>
        <v>0</v>
      </c>
      <c r="O26" s="34">
        <f>VLOOKUP(A26,'BH and Rehab payments'!$A$7:$U$35,21,FALSE)</f>
        <v>0</v>
      </c>
      <c r="P26" s="93"/>
      <c r="Q26" s="21">
        <f>VLOOKUP(A26,'DRG Rate'!$A$8:$K$36,10,FALSE)</f>
        <v>1560</v>
      </c>
      <c r="R26" s="16">
        <f>VLOOKUP(A26,'DRG Rate'!$A$8:$K$36,8,FALSE)</f>
        <v>0.67185664112388255</v>
      </c>
      <c r="S26" s="34">
        <f>VLOOKUP(A26,'DRG Rate'!$A$8:$K$36,11,FALSE)</f>
        <v>6217.7671070148008</v>
      </c>
      <c r="T26" s="34">
        <f t="shared" si="0"/>
        <v>6516819.0731428573</v>
      </c>
      <c r="U26" s="34">
        <f>VLOOKUP(A26,'DRG Revenue'!$A$8:$T$36,15,FALSE)</f>
        <v>253248.45</v>
      </c>
      <c r="V26" s="37">
        <f t="shared" si="1"/>
        <v>6770067.5231428575</v>
      </c>
      <c r="W26" s="93"/>
      <c r="X26" s="34">
        <f>VLOOKUP(A26,'DRG Revenue'!$A$8:$T$36,18,FALSE)</f>
        <v>325840.95365714323</v>
      </c>
      <c r="Y26" s="37">
        <f t="shared" si="2"/>
        <v>8519408.4768000003</v>
      </c>
      <c r="AA26" s="5"/>
    </row>
    <row r="27" spans="1:27" x14ac:dyDescent="0.3">
      <c r="A27" s="3" t="s">
        <v>66</v>
      </c>
      <c r="B27" s="4" t="s">
        <v>67</v>
      </c>
      <c r="C27" s="4" t="s">
        <v>68</v>
      </c>
      <c r="D27" s="24">
        <f>VLOOKUP(A27,'Reconciliation Data'!$A$3:$M$31,13,FALSE)+VLOOKUP(A27,'BH and Rehab payments'!$A$7:$U$35,10,FALSE)</f>
        <v>6709</v>
      </c>
      <c r="E27" s="38">
        <f>VLOOKUP(A27,'Hospital Specific Rev Neutral'!$A$7:$P$35,16,FALSE)</f>
        <v>48766832.100110002</v>
      </c>
      <c r="F27" s="93"/>
      <c r="G27" s="24">
        <f>VLOOKUP(A27,'BH and Rehab payments'!$A$7:$U$35,6,FALSE)</f>
        <v>8642</v>
      </c>
      <c r="H27" s="35">
        <f>VLOOKUP(A27,'BH and Rehab payments'!$A$7:$U$35,7,FALSE)</f>
        <v>9074100</v>
      </c>
      <c r="I27" s="93"/>
      <c r="J27" s="22">
        <f>VLOOKUP(A27,'BH and Rehab payments'!$A$7:$U$35,11,FALSE)</f>
        <v>2981</v>
      </c>
      <c r="K27" s="22">
        <f>VLOOKUP(A27,'BH and Rehab payments'!$A$7:$U$35,14,FALSE)</f>
        <v>110</v>
      </c>
      <c r="L27" s="35">
        <f>VLOOKUP(A27,'BH and Rehab payments'!$A$7:$U$35,16,FALSE)</f>
        <v>3228225</v>
      </c>
      <c r="M27" s="93"/>
      <c r="N27" s="22">
        <f>VLOOKUP(A27,'BH and Rehab payments'!$A$7:$U$35,20,FALSE)</f>
        <v>0</v>
      </c>
      <c r="O27" s="35">
        <f>VLOOKUP(A27,'BH and Rehab payments'!$A$7:$U$35,21,FALSE)</f>
        <v>0</v>
      </c>
      <c r="P27" s="93"/>
      <c r="Q27" s="22">
        <f>VLOOKUP(A27,'DRG Rate'!$A$8:$K$36,10,FALSE)</f>
        <v>5202</v>
      </c>
      <c r="R27" s="27">
        <f>VLOOKUP(A27,'DRG Rate'!$A$8:$K$36,8,FALSE)</f>
        <v>0.94718843341031556</v>
      </c>
      <c r="S27" s="35">
        <f>VLOOKUP(A27,'DRG Rate'!$A$8:$K$36,11,FALSE)</f>
        <v>6914.289900112185</v>
      </c>
      <c r="T27" s="35">
        <f t="shared" si="0"/>
        <v>34068602.447723806</v>
      </c>
      <c r="U27" s="35">
        <f>VLOOKUP(A27,'DRG Revenue'!$A$8:$T$36,15,FALSE)</f>
        <v>692474.53</v>
      </c>
      <c r="V27" s="38">
        <f t="shared" si="1"/>
        <v>34761076.977723807</v>
      </c>
      <c r="W27" s="93"/>
      <c r="X27" s="35">
        <f>VLOOKUP(A27,'DRG Revenue'!$A$8:$T$36,18,FALSE)</f>
        <v>1703430.1223861924</v>
      </c>
      <c r="Y27" s="38">
        <f t="shared" si="2"/>
        <v>48766832.100110002</v>
      </c>
      <c r="AA27" s="5"/>
    </row>
    <row r="28" spans="1:27" x14ac:dyDescent="0.3">
      <c r="A28" s="1" t="s">
        <v>69</v>
      </c>
      <c r="B28" s="2" t="s">
        <v>70</v>
      </c>
      <c r="C28" s="2" t="s">
        <v>71</v>
      </c>
      <c r="D28" s="23">
        <f>VLOOKUP(A28,'Reconciliation Data'!$A$3:$M$31,13,FALSE)+VLOOKUP(A28,'BH and Rehab payments'!$A$7:$U$35,10,FALSE)</f>
        <v>1544</v>
      </c>
      <c r="E28" s="37">
        <f>VLOOKUP(A28,'Hospital Specific Rev Neutral'!$A$7:$P$35,16,FALSE)</f>
        <v>8454338.1488000005</v>
      </c>
      <c r="F28" s="93"/>
      <c r="G28" s="23">
        <f>VLOOKUP(A28,'BH and Rehab payments'!$A$7:$U$35,6,FALSE)</f>
        <v>2523</v>
      </c>
      <c r="H28" s="34">
        <f>VLOOKUP(A28,'BH and Rehab payments'!$A$7:$U$35,7,FALSE)</f>
        <v>2459925</v>
      </c>
      <c r="I28" s="93"/>
      <c r="J28" s="21">
        <f>VLOOKUP(A28,'BH and Rehab payments'!$A$7:$U$35,11,FALSE)</f>
        <v>576</v>
      </c>
      <c r="K28" s="21">
        <f>VLOOKUP(A28,'BH and Rehab payments'!$A$7:$U$35,14,FALSE)</f>
        <v>0</v>
      </c>
      <c r="L28" s="34">
        <f>VLOOKUP(A28,'BH and Rehab payments'!$A$7:$U$35,16,FALSE)</f>
        <v>561600</v>
      </c>
      <c r="M28" s="93"/>
      <c r="N28" s="21">
        <f>VLOOKUP(A28,'BH and Rehab payments'!$A$7:$U$35,20,FALSE)</f>
        <v>0</v>
      </c>
      <c r="O28" s="34">
        <f>VLOOKUP(A28,'BH and Rehab payments'!$A$7:$U$35,21,FALSE)</f>
        <v>0</v>
      </c>
      <c r="P28" s="93"/>
      <c r="Q28" s="21">
        <f>VLOOKUP(A28,'DRG Rate'!$A$8:$K$36,10,FALSE)</f>
        <v>1076</v>
      </c>
      <c r="R28" s="16">
        <f>VLOOKUP(A28,'DRG Rate'!$A$8:$K$36,8,FALSE)</f>
        <v>0.58022634949679786</v>
      </c>
      <c r="S28" s="34">
        <f>VLOOKUP(A28,'DRG Rate'!$A$8:$K$36,11,FALSE)</f>
        <v>8275.2327484427442</v>
      </c>
      <c r="T28" s="34">
        <f t="shared" si="0"/>
        <v>5166422.703619048</v>
      </c>
      <c r="U28" s="34">
        <f>VLOOKUP(A28,'DRG Revenue'!$A$8:$T$36,15,FALSE)</f>
        <v>8069.31</v>
      </c>
      <c r="V28" s="37">
        <f t="shared" si="1"/>
        <v>5174492.0136190476</v>
      </c>
      <c r="W28" s="93"/>
      <c r="X28" s="34">
        <f>VLOOKUP(A28,'DRG Revenue'!$A$8:$T$36,18,FALSE)</f>
        <v>258321.13518095273</v>
      </c>
      <c r="Y28" s="37">
        <f t="shared" si="2"/>
        <v>8454338.1488000005</v>
      </c>
      <c r="AA28" s="5"/>
    </row>
    <row r="29" spans="1:27" x14ac:dyDescent="0.3">
      <c r="A29" s="1" t="s">
        <v>72</v>
      </c>
      <c r="B29" s="2" t="s">
        <v>73</v>
      </c>
      <c r="C29" s="2" t="s">
        <v>74</v>
      </c>
      <c r="D29" s="23">
        <f>VLOOKUP(A29,'Reconciliation Data'!$A$3:$M$31,13,FALSE)+VLOOKUP(A29,'BH and Rehab payments'!$A$7:$U$35,10,FALSE)</f>
        <v>3701</v>
      </c>
      <c r="E29" s="37">
        <f>VLOOKUP(A29,'Hospital Specific Rev Neutral'!$A$7:$P$35,16,FALSE)</f>
        <v>22848800.581599995</v>
      </c>
      <c r="F29" s="93"/>
      <c r="G29" s="23">
        <f>VLOOKUP(A29,'BH and Rehab payments'!$A$7:$U$35,6,FALSE)</f>
        <v>6494</v>
      </c>
      <c r="H29" s="34">
        <f>VLOOKUP(A29,'BH and Rehab payments'!$A$7:$U$35,7,FALSE)</f>
        <v>6331650</v>
      </c>
      <c r="I29" s="93"/>
      <c r="J29" s="21">
        <f>VLOOKUP(A29,'BH and Rehab payments'!$A$7:$U$35,11,FALSE)</f>
        <v>2510</v>
      </c>
      <c r="K29" s="21">
        <f>VLOOKUP(A29,'BH and Rehab payments'!$A$7:$U$35,14,FALSE)</f>
        <v>157</v>
      </c>
      <c r="L29" s="34">
        <f>VLOOKUP(A29,'BH and Rehab payments'!$A$7:$U$35,16,FALSE)</f>
        <v>2577363.75</v>
      </c>
      <c r="M29" s="93"/>
      <c r="N29" s="21">
        <f>VLOOKUP(A29,'BH and Rehab payments'!$A$7:$U$35,20,FALSE)</f>
        <v>304</v>
      </c>
      <c r="O29" s="34">
        <f>VLOOKUP(A29,'BH and Rehab payments'!$A$7:$U$35,21,FALSE)</f>
        <v>416480</v>
      </c>
      <c r="P29" s="93"/>
      <c r="Q29" s="21">
        <f>VLOOKUP(A29,'DRG Rate'!$A$8:$K$36,10,FALSE)</f>
        <v>2692</v>
      </c>
      <c r="R29" s="16">
        <f>VLOOKUP(A29,'DRG Rate'!$A$8:$K$36,8,FALSE)</f>
        <v>0.76135168993387214</v>
      </c>
      <c r="S29" s="34">
        <f>VLOOKUP(A29,'DRG Rate'!$A$8:$K$36,11,FALSE)</f>
        <v>6237.1705157890447</v>
      </c>
      <c r="T29" s="34">
        <f t="shared" si="0"/>
        <v>12783447.401523804</v>
      </c>
      <c r="U29" s="34">
        <f>VLOOKUP(A29,'DRG Revenue'!$A$8:$T$36,15,FALSE)</f>
        <v>100687.06</v>
      </c>
      <c r="V29" s="37">
        <f t="shared" si="1"/>
        <v>12884134.461523805</v>
      </c>
      <c r="W29" s="93"/>
      <c r="X29" s="34">
        <f>VLOOKUP(A29,'DRG Revenue'!$A$8:$T$36,18,FALSE)</f>
        <v>639172.37007619091</v>
      </c>
      <c r="Y29" s="37">
        <f t="shared" si="2"/>
        <v>22848800.581599995</v>
      </c>
      <c r="AA29" s="5"/>
    </row>
    <row r="30" spans="1:27" x14ac:dyDescent="0.3">
      <c r="A30" s="1" t="s">
        <v>75</v>
      </c>
      <c r="B30" s="2" t="s">
        <v>76</v>
      </c>
      <c r="C30" s="2" t="s">
        <v>77</v>
      </c>
      <c r="D30" s="23">
        <f>VLOOKUP(A30,'Reconciliation Data'!$A$3:$M$31,13,FALSE)+VLOOKUP(A30,'BH and Rehab payments'!$A$7:$U$35,10,FALSE)</f>
        <v>1204</v>
      </c>
      <c r="E30" s="37">
        <f>VLOOKUP(A30,'Hospital Specific Rev Neutral'!$A$7:$P$35,16,FALSE)</f>
        <v>4908471.4568000007</v>
      </c>
      <c r="F30" s="93"/>
      <c r="G30" s="23">
        <f>VLOOKUP(A30,'BH and Rehab payments'!$A$7:$U$35,6,FALSE)</f>
        <v>1578</v>
      </c>
      <c r="H30" s="34">
        <f>VLOOKUP(A30,'BH and Rehab payments'!$A$7:$U$35,7,FALSE)</f>
        <v>1538550</v>
      </c>
      <c r="I30" s="93"/>
      <c r="J30" s="21">
        <f>VLOOKUP(A30,'BH and Rehab payments'!$A$7:$U$35,11,FALSE)</f>
        <v>22</v>
      </c>
      <c r="K30" s="21">
        <f>VLOOKUP(A30,'BH and Rehab payments'!$A$7:$U$35,14,FALSE)</f>
        <v>0</v>
      </c>
      <c r="L30" s="34">
        <f>VLOOKUP(A30,'BH and Rehab payments'!$A$7:$U$35,16,FALSE)</f>
        <v>21450</v>
      </c>
      <c r="M30" s="93"/>
      <c r="N30" s="21">
        <f>VLOOKUP(A30,'BH and Rehab payments'!$A$7:$U$35,20,FALSE)</f>
        <v>0</v>
      </c>
      <c r="O30" s="34">
        <f>VLOOKUP(A30,'BH and Rehab payments'!$A$7:$U$35,21,FALSE)</f>
        <v>0</v>
      </c>
      <c r="P30" s="93"/>
      <c r="Q30" s="21">
        <f>VLOOKUP(A30,'DRG Rate'!$A$8:$K$36,10,FALSE)</f>
        <v>846</v>
      </c>
      <c r="R30" s="16">
        <f>VLOOKUP(A30,'DRG Rate'!$A$8:$K$36,8,FALSE)</f>
        <v>0.60146146682188595</v>
      </c>
      <c r="S30" s="34">
        <f>VLOOKUP(A30,'DRG Rate'!$A$8:$K$36,11,FALSE)</f>
        <v>6267.2804642333058</v>
      </c>
      <c r="T30" s="34">
        <f t="shared" si="0"/>
        <v>3189020.4350476195</v>
      </c>
      <c r="U30" s="34">
        <f>VLOOKUP(A30,'DRG Revenue'!$A$8:$T$36,15,FALSE)</f>
        <v>0</v>
      </c>
      <c r="V30" s="37">
        <f t="shared" si="1"/>
        <v>3189020.4350476195</v>
      </c>
      <c r="W30" s="93"/>
      <c r="X30" s="34">
        <f>VLOOKUP(A30,'DRG Revenue'!$A$8:$T$36,18,FALSE)</f>
        <v>159451.02175238117</v>
      </c>
      <c r="Y30" s="37">
        <f t="shared" si="2"/>
        <v>4908471.4567999998</v>
      </c>
      <c r="AA30" s="5"/>
    </row>
    <row r="31" spans="1:27" x14ac:dyDescent="0.3">
      <c r="A31" s="1" t="s">
        <v>78</v>
      </c>
      <c r="B31" s="2" t="s">
        <v>79</v>
      </c>
      <c r="C31" s="2" t="s">
        <v>80</v>
      </c>
      <c r="D31" s="23">
        <f>VLOOKUP(A31,'Reconciliation Data'!$A$3:$M$31,13,FALSE)+VLOOKUP(A31,'BH and Rehab payments'!$A$7:$U$35,10,FALSE)</f>
        <v>990</v>
      </c>
      <c r="E31" s="37">
        <f>VLOOKUP(A31,'Hospital Specific Rev Neutral'!$A$7:$P$35,16,FALSE)</f>
        <v>4664740.92</v>
      </c>
      <c r="F31" s="93"/>
      <c r="G31" s="23">
        <f>VLOOKUP(A31,'BH and Rehab payments'!$A$7:$U$35,6,FALSE)</f>
        <v>895</v>
      </c>
      <c r="H31" s="34">
        <f>VLOOKUP(A31,'BH and Rehab payments'!$A$7:$U$35,7,FALSE)</f>
        <v>872625</v>
      </c>
      <c r="I31" s="93"/>
      <c r="J31" s="21">
        <f>VLOOKUP(A31,'BH and Rehab payments'!$A$7:$U$35,11,FALSE)</f>
        <v>10</v>
      </c>
      <c r="K31" s="21">
        <f>VLOOKUP(A31,'BH and Rehab payments'!$A$7:$U$35,14,FALSE)</f>
        <v>0</v>
      </c>
      <c r="L31" s="34">
        <f>VLOOKUP(A31,'BH and Rehab payments'!$A$7:$U$35,16,FALSE)</f>
        <v>9750</v>
      </c>
      <c r="M31" s="93"/>
      <c r="N31" s="21">
        <f>VLOOKUP(A31,'BH and Rehab payments'!$A$7:$U$35,20,FALSE)</f>
        <v>0</v>
      </c>
      <c r="O31" s="34">
        <f>VLOOKUP(A31,'BH and Rehab payments'!$A$7:$U$35,21,FALSE)</f>
        <v>0</v>
      </c>
      <c r="P31" s="93"/>
      <c r="Q31" s="21">
        <f>VLOOKUP(A31,'DRG Rate'!$A$8:$K$36,10,FALSE)</f>
        <v>840</v>
      </c>
      <c r="R31" s="16">
        <f>VLOOKUP(A31,'DRG Rate'!$A$8:$K$36,8,FALSE)</f>
        <v>0.53126352941176469</v>
      </c>
      <c r="S31" s="34">
        <f>VLOOKUP(A31,'DRG Rate'!$A$8:$K$36,11,FALSE)</f>
        <v>8072.0706340263068</v>
      </c>
      <c r="T31" s="34">
        <f t="shared" si="0"/>
        <v>3602253.2571428567</v>
      </c>
      <c r="U31" s="34">
        <f>VLOOKUP(A31,'DRG Revenue'!$A$8:$T$36,15,FALSE)</f>
        <v>0</v>
      </c>
      <c r="V31" s="37">
        <f t="shared" si="1"/>
        <v>3602253.2571428567</v>
      </c>
      <c r="W31" s="93"/>
      <c r="X31" s="34">
        <f>VLOOKUP(A31,'DRG Revenue'!$A$8:$T$36,18,FALSE)</f>
        <v>180112.66285714306</v>
      </c>
      <c r="Y31" s="37">
        <f t="shared" si="2"/>
        <v>4664740.92</v>
      </c>
      <c r="AA31" s="5"/>
    </row>
    <row r="32" spans="1:27" x14ac:dyDescent="0.3">
      <c r="A32" s="3" t="s">
        <v>81</v>
      </c>
      <c r="B32" s="4" t="s">
        <v>41</v>
      </c>
      <c r="C32" s="4" t="s">
        <v>82</v>
      </c>
      <c r="D32" s="24">
        <f>VLOOKUP(A32,'Reconciliation Data'!$A$3:$M$31,13,FALSE)+VLOOKUP(A32,'BH and Rehab payments'!$A$7:$U$35,10,FALSE)</f>
        <v>2478</v>
      </c>
      <c r="E32" s="38">
        <f>VLOOKUP(A32,'Hospital Specific Rev Neutral'!$A$7:$P$35,16,FALSE)</f>
        <v>15056629.681600001</v>
      </c>
      <c r="F32" s="93"/>
      <c r="G32" s="24">
        <f>VLOOKUP(A32,'BH and Rehab payments'!$A$7:$U$35,6,FALSE)</f>
        <v>1723</v>
      </c>
      <c r="H32" s="35">
        <f>VLOOKUP(A32,'BH and Rehab payments'!$A$7:$U$35,7,FALSE)</f>
        <v>1679925</v>
      </c>
      <c r="I32" s="93"/>
      <c r="J32" s="22">
        <f>VLOOKUP(A32,'BH and Rehab payments'!$A$7:$U$35,11,FALSE)</f>
        <v>42</v>
      </c>
      <c r="K32" s="22">
        <f>VLOOKUP(A32,'BH and Rehab payments'!$A$7:$U$35,14,FALSE)</f>
        <v>0</v>
      </c>
      <c r="L32" s="35">
        <f>VLOOKUP(A32,'BH and Rehab payments'!$A$7:$U$35,16,FALSE)</f>
        <v>40950</v>
      </c>
      <c r="M32" s="93"/>
      <c r="N32" s="22">
        <f>VLOOKUP(A32,'BH and Rehab payments'!$A$7:$U$35,20,FALSE)</f>
        <v>319</v>
      </c>
      <c r="O32" s="35">
        <f>VLOOKUP(A32,'BH and Rehab payments'!$A$7:$U$35,21,FALSE)</f>
        <v>437030</v>
      </c>
      <c r="P32" s="93"/>
      <c r="Q32" s="22">
        <f>VLOOKUP(A32,'DRG Rate'!$A$8:$K$36,10,FALSE)</f>
        <v>2229</v>
      </c>
      <c r="R32" s="27">
        <f>VLOOKUP(A32,'DRG Rate'!$A$8:$K$36,8,FALSE)</f>
        <v>0.62257127468581686</v>
      </c>
      <c r="S32" s="35">
        <f>VLOOKUP(A32,'DRG Rate'!$A$8:$K$36,11,FALSE)</f>
        <v>8606.5949139874338</v>
      </c>
      <c r="T32" s="35">
        <f t="shared" si="0"/>
        <v>11943469.630095238</v>
      </c>
      <c r="U32" s="35">
        <f>VLOOKUP(A32,'DRG Revenue'!$A$8:$T$36,15,FALSE)</f>
        <v>358081.57</v>
      </c>
      <c r="V32" s="38">
        <f t="shared" si="1"/>
        <v>12301551.200095238</v>
      </c>
      <c r="W32" s="93"/>
      <c r="X32" s="35">
        <f>VLOOKUP(A32,'DRG Revenue'!$A$8:$T$36,18,FALSE)</f>
        <v>597173.48150476255</v>
      </c>
      <c r="Y32" s="38">
        <f t="shared" si="2"/>
        <v>15056629.681600001</v>
      </c>
      <c r="AA32" s="5"/>
    </row>
    <row r="33" spans="1:27" x14ac:dyDescent="0.3">
      <c r="A33" s="1" t="s">
        <v>83</v>
      </c>
      <c r="B33" s="2" t="s">
        <v>84</v>
      </c>
      <c r="C33" s="2" t="s">
        <v>85</v>
      </c>
      <c r="D33" s="23">
        <f>VLOOKUP(A33,'Reconciliation Data'!$A$3:$M$31,13,FALSE)+VLOOKUP(A33,'BH and Rehab payments'!$A$7:$U$35,10,FALSE)</f>
        <v>2320</v>
      </c>
      <c r="E33" s="37">
        <f>VLOOKUP(A33,'Hospital Specific Rev Neutral'!$A$7:$P$35,16,FALSE)</f>
        <v>15076385.2444</v>
      </c>
      <c r="F33" s="93"/>
      <c r="G33" s="23">
        <f>VLOOKUP(A33,'BH and Rehab payments'!$A$7:$U$35,6,FALSE)</f>
        <v>1017</v>
      </c>
      <c r="H33" s="34">
        <f>VLOOKUP(A33,'BH and Rehab payments'!$A$7:$U$35,7,FALSE)</f>
        <v>1144125</v>
      </c>
      <c r="I33" s="93"/>
      <c r="J33" s="21">
        <f>VLOOKUP(A33,'BH and Rehab payments'!$A$7:$U$35,11,FALSE)</f>
        <v>15</v>
      </c>
      <c r="K33" s="21">
        <f>VLOOKUP(A33,'BH and Rehab payments'!$A$7:$U$35,14,FALSE)</f>
        <v>0</v>
      </c>
      <c r="L33" s="34">
        <f>VLOOKUP(A33,'BH and Rehab payments'!$A$7:$U$35,16,FALSE)</f>
        <v>16875</v>
      </c>
      <c r="M33" s="93"/>
      <c r="N33" s="21">
        <f>VLOOKUP(A33,'BH and Rehab payments'!$A$7:$U$35,20,FALSE)</f>
        <v>133</v>
      </c>
      <c r="O33" s="34">
        <f>VLOOKUP(A33,'BH and Rehab payments'!$A$7:$U$35,21,FALSE)</f>
        <v>182210</v>
      </c>
      <c r="P33" s="93"/>
      <c r="Q33" s="21">
        <f>VLOOKUP(A33,'DRG Rate'!$A$8:$K$36,10,FALSE)</f>
        <v>2117</v>
      </c>
      <c r="R33" s="16">
        <f>VLOOKUP(A33,'DRG Rate'!$A$8:$K$36,8,FALSE)</f>
        <v>0.56538736393752964</v>
      </c>
      <c r="S33" s="34">
        <f>VLOOKUP(A33,'DRG Rate'!$A$8:$K$36,11,FALSE)</f>
        <v>10707.69828508162</v>
      </c>
      <c r="T33" s="34">
        <f t="shared" si="0"/>
        <v>12816312.299428571</v>
      </c>
      <c r="U33" s="34">
        <f>VLOOKUP(A33,'DRG Revenue'!$A$8:$T$36,15,FALSE)</f>
        <v>276047.33</v>
      </c>
      <c r="V33" s="37">
        <f t="shared" si="1"/>
        <v>13092359.629428571</v>
      </c>
      <c r="W33" s="93"/>
      <c r="X33" s="34">
        <f>VLOOKUP(A33,'DRG Revenue'!$A$8:$T$36,18,FALSE)</f>
        <v>640815.61497142934</v>
      </c>
      <c r="Y33" s="37">
        <f t="shared" si="2"/>
        <v>15076385.2444</v>
      </c>
      <c r="AA33" s="5"/>
    </row>
    <row r="34" spans="1:27" x14ac:dyDescent="0.3">
      <c r="A34" s="1" t="s">
        <v>86</v>
      </c>
      <c r="B34" s="2" t="s">
        <v>87</v>
      </c>
      <c r="C34" s="2" t="s">
        <v>88</v>
      </c>
      <c r="D34" s="23">
        <f>VLOOKUP(A34,'Reconciliation Data'!$A$3:$M$31,13,FALSE)+VLOOKUP(A34,'BH and Rehab payments'!$A$7:$U$35,10,FALSE)</f>
        <v>3334</v>
      </c>
      <c r="E34" s="37">
        <f>VLOOKUP(A34,'Hospital Specific Rev Neutral'!$A$7:$P$35,16,FALSE)</f>
        <v>15649406.832800001</v>
      </c>
      <c r="F34" s="93"/>
      <c r="G34" s="23">
        <f>VLOOKUP(A34,'BH and Rehab payments'!$A$7:$U$35,6,FALSE)</f>
        <v>2706</v>
      </c>
      <c r="H34" s="34">
        <f>VLOOKUP(A34,'BH and Rehab payments'!$A$7:$U$35,7,FALSE)</f>
        <v>2638350</v>
      </c>
      <c r="I34" s="93"/>
      <c r="J34" s="21">
        <f>VLOOKUP(A34,'BH and Rehab payments'!$A$7:$U$35,11,FALSE)</f>
        <v>54</v>
      </c>
      <c r="K34" s="21">
        <f>VLOOKUP(A34,'BH and Rehab payments'!$A$7:$U$35,14,FALSE)</f>
        <v>0</v>
      </c>
      <c r="L34" s="34">
        <f>VLOOKUP(A34,'BH and Rehab payments'!$A$7:$U$35,16,FALSE)</f>
        <v>52650</v>
      </c>
      <c r="M34" s="93"/>
      <c r="N34" s="21">
        <f>VLOOKUP(A34,'BH and Rehab payments'!$A$7:$U$35,20,FALSE)</f>
        <v>0</v>
      </c>
      <c r="O34" s="34">
        <f>VLOOKUP(A34,'BH and Rehab payments'!$A$7:$U$35,21,FALSE)</f>
        <v>0</v>
      </c>
      <c r="P34" s="93"/>
      <c r="Q34" s="21">
        <f>VLOOKUP(A34,'DRG Rate'!$A$8:$K$36,10,FALSE)</f>
        <v>2977</v>
      </c>
      <c r="R34" s="16">
        <f>VLOOKUP(A34,'DRG Rate'!$A$8:$K$36,8,FALSE)</f>
        <v>0.64335817819148933</v>
      </c>
      <c r="S34" s="34">
        <f>VLOOKUP(A34,'DRG Rate'!$A$8:$K$36,11,FALSE)</f>
        <v>6318.9661392043236</v>
      </c>
      <c r="T34" s="34">
        <f t="shared" si="0"/>
        <v>12102572.383619048</v>
      </c>
      <c r="U34" s="34">
        <f>VLOOKUP(A34,'DRG Revenue'!$A$8:$T$36,15,FALSE)</f>
        <v>250705.83</v>
      </c>
      <c r="V34" s="37">
        <f t="shared" si="1"/>
        <v>12353278.213619048</v>
      </c>
      <c r="W34" s="93"/>
      <c r="X34" s="34">
        <f>VLOOKUP(A34,'DRG Revenue'!$A$8:$T$36,18,FALSE)</f>
        <v>605128.61918095313</v>
      </c>
      <c r="Y34" s="37">
        <f t="shared" si="2"/>
        <v>15649406.832800001</v>
      </c>
      <c r="AA34" s="5"/>
    </row>
    <row r="35" spans="1:27" x14ac:dyDescent="0.3">
      <c r="A35" s="1" t="s">
        <v>89</v>
      </c>
      <c r="B35" s="2" t="s">
        <v>90</v>
      </c>
      <c r="C35" s="2" t="s">
        <v>91</v>
      </c>
      <c r="D35" s="23">
        <f>VLOOKUP(A35,'Reconciliation Data'!$A$3:$M$31,13,FALSE)+VLOOKUP(A35,'BH and Rehab payments'!$A$7:$U$35,10,FALSE)</f>
        <v>1609</v>
      </c>
      <c r="E35" s="37">
        <f>VLOOKUP(A35,'Hospital Specific Rev Neutral'!$A$7:$P$35,16,FALSE)</f>
        <v>19108625.643199999</v>
      </c>
      <c r="F35" s="93"/>
      <c r="G35" s="23">
        <f>VLOOKUP(A35,'BH and Rehab payments'!$A$7:$U$35,6,FALSE)</f>
        <v>1650</v>
      </c>
      <c r="H35" s="34">
        <f>VLOOKUP(A35,'BH and Rehab payments'!$A$7:$U$35,7,FALSE)</f>
        <v>1856250</v>
      </c>
      <c r="I35" s="93"/>
      <c r="J35" s="21">
        <f>VLOOKUP(A35,'BH and Rehab payments'!$A$7:$U$35,11,FALSE)</f>
        <v>0</v>
      </c>
      <c r="K35" s="21">
        <f>VLOOKUP(A35,'BH and Rehab payments'!$A$7:$U$35,14,FALSE)</f>
        <v>0</v>
      </c>
      <c r="L35" s="34">
        <f>VLOOKUP(A35,'BH and Rehab payments'!$A$7:$U$35,16,FALSE)</f>
        <v>0</v>
      </c>
      <c r="M35" s="93"/>
      <c r="N35" s="21">
        <f>VLOOKUP(A35,'BH and Rehab payments'!$A$7:$U$35,20,FALSE)</f>
        <v>0</v>
      </c>
      <c r="O35" s="34">
        <f>VLOOKUP(A35,'BH and Rehab payments'!$A$7:$U$35,21,FALSE)</f>
        <v>0</v>
      </c>
      <c r="P35" s="93"/>
      <c r="Q35" s="21">
        <f>VLOOKUP(A35,'DRG Rate'!$A$8:$K$36,10,FALSE)</f>
        <v>1377</v>
      </c>
      <c r="R35" s="16">
        <f>VLOOKUP(A35,'DRG Rate'!$A$8:$K$36,8,FALSE)</f>
        <v>0.9804448177269478</v>
      </c>
      <c r="S35" s="34">
        <f>VLOOKUP(A35,'DRG Rate'!$A$8:$K$36,11,FALSE)</f>
        <v>11821.628654544278</v>
      </c>
      <c r="T35" s="34">
        <f t="shared" si="0"/>
        <v>15960055.917333331</v>
      </c>
      <c r="U35" s="34">
        <f>VLOOKUP(A35,'DRG Revenue'!$A$8:$T$36,15,FALSE)</f>
        <v>494316.93</v>
      </c>
      <c r="V35" s="37">
        <f t="shared" si="1"/>
        <v>16454372.847333331</v>
      </c>
      <c r="W35" s="93"/>
      <c r="X35" s="34">
        <f>VLOOKUP(A35,'DRG Revenue'!$A$8:$T$36,18,FALSE)</f>
        <v>798002.79586666753</v>
      </c>
      <c r="Y35" s="37">
        <f t="shared" si="2"/>
        <v>19108625.643199999</v>
      </c>
      <c r="AA35" s="5"/>
    </row>
    <row r="36" spans="1:27" x14ac:dyDescent="0.3">
      <c r="A36" s="3" t="s">
        <v>92</v>
      </c>
      <c r="B36" s="4" t="s">
        <v>93</v>
      </c>
      <c r="C36" s="4" t="s">
        <v>94</v>
      </c>
      <c r="D36" s="24">
        <f>VLOOKUP(A36,'Reconciliation Data'!$A$3:$M$31,13,FALSE)+VLOOKUP(A36,'BH and Rehab payments'!$A$7:$U$35,10,FALSE)</f>
        <v>2477</v>
      </c>
      <c r="E36" s="38">
        <f>VLOOKUP(A36,'Hospital Specific Rev Neutral'!$A$7:$P$35,16,FALSE)</f>
        <v>39547629.590000004</v>
      </c>
      <c r="F36" s="93"/>
      <c r="G36" s="24">
        <f>VLOOKUP(A36,'BH and Rehab payments'!$A$7:$U$35,6,FALSE)</f>
        <v>0</v>
      </c>
      <c r="H36" s="35">
        <f>VLOOKUP(A36,'BH and Rehab payments'!$A$7:$U$35,7,FALSE)</f>
        <v>0</v>
      </c>
      <c r="I36" s="93"/>
      <c r="J36" s="22">
        <f>VLOOKUP(A36,'BH and Rehab payments'!$A$7:$U$35,11,FALSE)</f>
        <v>161</v>
      </c>
      <c r="K36" s="22">
        <f>VLOOKUP(A36,'BH and Rehab payments'!$A$7:$U$35,14,FALSE)</f>
        <v>0</v>
      </c>
      <c r="L36" s="35">
        <f>VLOOKUP(A36,'BH and Rehab payments'!$A$7:$U$35,16,FALSE)</f>
        <v>156975</v>
      </c>
      <c r="M36" s="93"/>
      <c r="N36" s="22">
        <f>VLOOKUP(A36,'BH and Rehab payments'!$A$7:$U$35,20,FALSE)</f>
        <v>0</v>
      </c>
      <c r="O36" s="35">
        <f>VLOOKUP(A36,'BH and Rehab payments'!$A$7:$U$35,21,FALSE)</f>
        <v>0</v>
      </c>
      <c r="P36" s="93"/>
      <c r="Q36" s="22">
        <f>VLOOKUP(A36,'DRG Rate'!$A$8:$K$36,10,FALSE)</f>
        <v>2461</v>
      </c>
      <c r="R36" s="27">
        <f>VLOOKUP(A36,'DRG Rate'!$A$8:$K$36,8,FALSE)</f>
        <v>1.2449828143476547</v>
      </c>
      <c r="S36" s="35">
        <f>VLOOKUP(A36,'DRG Rate'!$A$8:$K$36,11,FALSE)</f>
        <v>11344.857290366519</v>
      </c>
      <c r="T36" s="35">
        <f t="shared" si="0"/>
        <v>34759538.952380955</v>
      </c>
      <c r="U36" s="35">
        <f>VLOOKUP(A36,'DRG Revenue'!$A$8:$T$36,15,FALSE)</f>
        <v>2893138.69</v>
      </c>
      <c r="V36" s="38">
        <f t="shared" si="1"/>
        <v>37652677.642380953</v>
      </c>
      <c r="W36" s="93"/>
      <c r="X36" s="35">
        <f>VLOOKUP(A36,'DRG Revenue'!$A$8:$T$36,18,FALSE)</f>
        <v>1737976.9476190498</v>
      </c>
      <c r="Y36" s="38">
        <f t="shared" si="2"/>
        <v>39547629.590000004</v>
      </c>
      <c r="AA36" s="5"/>
    </row>
    <row r="37" spans="1:27" x14ac:dyDescent="0.3">
      <c r="D37" s="31">
        <f>SUM(D8:D36)</f>
        <v>71881</v>
      </c>
      <c r="E37" s="36">
        <f>SUM(E8:E36)</f>
        <v>485603733.75540996</v>
      </c>
      <c r="G37" s="31">
        <f>SUM(G8:G36)</f>
        <v>62911</v>
      </c>
      <c r="H37" s="36">
        <f t="shared" ref="H37:Q37" si="3">SUM(H8:H36)</f>
        <v>64290000</v>
      </c>
      <c r="I37" s="31"/>
      <c r="J37" s="31">
        <f t="shared" si="3"/>
        <v>15392</v>
      </c>
      <c r="K37" s="31">
        <f t="shared" si="3"/>
        <v>775</v>
      </c>
      <c r="L37" s="36">
        <f t="shared" si="3"/>
        <v>16359641.25</v>
      </c>
      <c r="M37" s="31"/>
      <c r="N37" s="31">
        <f t="shared" si="3"/>
        <v>1808</v>
      </c>
      <c r="O37" s="36">
        <f t="shared" si="3"/>
        <v>2476960</v>
      </c>
      <c r="P37" s="31"/>
      <c r="Q37" s="31">
        <f t="shared" si="3"/>
        <v>61114</v>
      </c>
      <c r="T37" s="36">
        <f>SUM(T8:T36)</f>
        <v>365429374.12896192</v>
      </c>
      <c r="U37" s="36">
        <f>SUM(U8:U36)</f>
        <v>18776289.669999998</v>
      </c>
      <c r="V37" s="36">
        <f t="shared" si="1"/>
        <v>384205663.79896194</v>
      </c>
      <c r="X37" s="36">
        <f>SUM(X8:X36)</f>
        <v>18271468.706448119</v>
      </c>
      <c r="Y37" s="36">
        <f t="shared" ref="Y37" si="4">SUM(Y8:Y36)</f>
        <v>485603733.75540996</v>
      </c>
    </row>
    <row r="39" spans="1:27" x14ac:dyDescent="0.3">
      <c r="A39" s="94"/>
      <c r="B39" s="95"/>
      <c r="C39" s="96" t="s">
        <v>272</v>
      </c>
      <c r="D39" s="99">
        <f>+D18+D32</f>
        <v>2705</v>
      </c>
      <c r="E39" s="100">
        <f>+E18+E32</f>
        <v>16618574.6304</v>
      </c>
      <c r="F39" s="98"/>
      <c r="G39" s="99">
        <f>+G18+G32</f>
        <v>1770</v>
      </c>
      <c r="H39" s="100">
        <f>+H18+H32</f>
        <v>1725750</v>
      </c>
      <c r="I39" s="98"/>
      <c r="J39" s="99">
        <f t="shared" ref="J39:K39" si="5">+J18+J32</f>
        <v>42</v>
      </c>
      <c r="K39" s="99">
        <f t="shared" si="5"/>
        <v>0</v>
      </c>
      <c r="L39" s="100">
        <f>+L18+L32</f>
        <v>40950</v>
      </c>
      <c r="M39" s="98"/>
      <c r="N39" s="99">
        <f t="shared" ref="N39:Q39" si="6">+N18+N32</f>
        <v>319</v>
      </c>
      <c r="O39" s="99">
        <f t="shared" si="6"/>
        <v>437030</v>
      </c>
      <c r="P39" s="98"/>
      <c r="Q39" s="99">
        <f t="shared" si="6"/>
        <v>2448</v>
      </c>
      <c r="R39" s="117">
        <f>'DRG Rate'!H39</f>
        <v>0.60814644317252653</v>
      </c>
      <c r="S39" s="100">
        <f>'DRG Rate'!K39</f>
        <v>8979.2651164252238</v>
      </c>
      <c r="T39" s="100">
        <f t="shared" ref="T39" si="7">Q39*R39*S39</f>
        <v>13367813.533714285</v>
      </c>
      <c r="U39" s="100">
        <f>+U18+U32</f>
        <v>378640.42</v>
      </c>
      <c r="V39" s="103">
        <f t="shared" si="1"/>
        <v>13746453.953714285</v>
      </c>
      <c r="W39" s="98"/>
      <c r="X39" s="100">
        <f>+X18+X32</f>
        <v>668390.67668571498</v>
      </c>
      <c r="Y39" s="103">
        <f t="shared" ref="Y39" si="8">V39+O39+L39+H39+X39</f>
        <v>16618574.6304</v>
      </c>
    </row>
  </sheetData>
  <mergeCells count="3">
    <mergeCell ref="D5:E5"/>
    <mergeCell ref="D4:E4"/>
    <mergeCell ref="G5:Y5"/>
  </mergeCells>
  <pageMargins left="0.25" right="0.25" top="0.75" bottom="0.75" header="0.3" footer="0.3"/>
  <pageSetup paperSize="5" scale="58" orientation="landscape" r:id="rId1"/>
  <headerFooter>
    <oddHeader>&amp;R&amp;"-,Bold"&amp;12&amp;K03-024MERCER</oddHeader>
    <oddFooter>&amp;LMyers and Stauffer LC&amp;R&amp;D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M73"/>
  <sheetViews>
    <sheetView workbookViewId="0">
      <selection activeCell="G17" sqref="G17"/>
    </sheetView>
  </sheetViews>
  <sheetFormatPr defaultRowHeight="14.4" x14ac:dyDescent="0.3"/>
  <cols>
    <col min="1" max="1" width="9.33203125" bestFit="1" customWidth="1"/>
    <col min="2" max="2" width="10.33203125" customWidth="1"/>
    <col min="3" max="3" width="46.6640625" bestFit="1" customWidth="1"/>
    <col min="4" max="4" width="14.33203125" bestFit="1" customWidth="1"/>
    <col min="5" max="5" width="17.44140625" bestFit="1" customWidth="1"/>
    <col min="8" max="8" width="19.88671875" bestFit="1" customWidth="1"/>
    <col min="9" max="10" width="11.109375" customWidth="1"/>
    <col min="11" max="11" width="25.33203125" bestFit="1" customWidth="1"/>
    <col min="12" max="12" width="11.109375" customWidth="1"/>
    <col min="13" max="13" width="12.44140625" customWidth="1"/>
  </cols>
  <sheetData>
    <row r="1" spans="1:13" ht="15" x14ac:dyDescent="0.25">
      <c r="D1" t="s">
        <v>95</v>
      </c>
      <c r="E1" t="s">
        <v>112</v>
      </c>
      <c r="H1" t="s">
        <v>113</v>
      </c>
      <c r="K1" t="s">
        <v>114</v>
      </c>
      <c r="L1" t="s">
        <v>115</v>
      </c>
    </row>
    <row r="2" spans="1:13" ht="30" x14ac:dyDescent="0.25">
      <c r="A2" s="7" t="s">
        <v>0</v>
      </c>
      <c r="B2" s="7" t="s">
        <v>1</v>
      </c>
      <c r="C2" s="7" t="s">
        <v>2</v>
      </c>
      <c r="D2" s="7" t="s">
        <v>116</v>
      </c>
      <c r="E2" s="7" t="s">
        <v>117</v>
      </c>
      <c r="F2" s="7" t="s">
        <v>118</v>
      </c>
      <c r="G2" s="7" t="s">
        <v>119</v>
      </c>
      <c r="H2" s="7"/>
      <c r="I2" s="7" t="s">
        <v>120</v>
      </c>
      <c r="J2" s="7" t="s">
        <v>121</v>
      </c>
      <c r="K2" s="7"/>
      <c r="L2" s="7" t="s">
        <v>122</v>
      </c>
      <c r="M2" s="7" t="s">
        <v>5</v>
      </c>
    </row>
    <row r="3" spans="1:13" ht="15" x14ac:dyDescent="0.25">
      <c r="A3" t="s">
        <v>32</v>
      </c>
      <c r="B3" s="8" t="s">
        <v>33</v>
      </c>
      <c r="C3" t="s">
        <v>34</v>
      </c>
      <c r="D3">
        <v>26207772</v>
      </c>
      <c r="E3">
        <v>33919892</v>
      </c>
      <c r="F3">
        <v>2292487</v>
      </c>
      <c r="G3">
        <v>1203294</v>
      </c>
      <c r="H3">
        <f>+G3+F3</f>
        <v>3495781</v>
      </c>
      <c r="K3">
        <f>SUM(I3:J3)</f>
        <v>0</v>
      </c>
      <c r="L3">
        <v>136377.1305</v>
      </c>
      <c r="M3">
        <v>4321</v>
      </c>
    </row>
    <row r="4" spans="1:13" ht="15" x14ac:dyDescent="0.25">
      <c r="A4" t="s">
        <v>75</v>
      </c>
      <c r="B4" s="8" t="s">
        <v>76</v>
      </c>
      <c r="C4" t="s">
        <v>77</v>
      </c>
      <c r="D4">
        <v>4301287</v>
      </c>
      <c r="E4">
        <v>7437523</v>
      </c>
      <c r="F4">
        <v>321977</v>
      </c>
      <c r="G4">
        <v>181191</v>
      </c>
      <c r="H4">
        <f t="shared" ref="H4:H31" si="0">+G4+F4</f>
        <v>503168</v>
      </c>
      <c r="K4">
        <f t="shared" ref="K4:K31" si="1">SUM(I4:J4)</f>
        <v>0</v>
      </c>
      <c r="M4">
        <v>1198</v>
      </c>
    </row>
    <row r="5" spans="1:13" ht="15" x14ac:dyDescent="0.25">
      <c r="A5" t="s">
        <v>35</v>
      </c>
      <c r="B5" s="8" t="s">
        <v>36</v>
      </c>
      <c r="C5" t="s">
        <v>37</v>
      </c>
      <c r="D5">
        <v>3427876</v>
      </c>
      <c r="E5">
        <v>4930772</v>
      </c>
      <c r="F5">
        <v>277057</v>
      </c>
      <c r="G5">
        <v>145025</v>
      </c>
      <c r="H5">
        <f t="shared" si="0"/>
        <v>422082</v>
      </c>
      <c r="K5">
        <f t="shared" si="1"/>
        <v>0</v>
      </c>
      <c r="M5">
        <v>836</v>
      </c>
    </row>
    <row r="6" spans="1:13" ht="15" x14ac:dyDescent="0.25">
      <c r="A6" t="s">
        <v>92</v>
      </c>
      <c r="B6" s="8" t="s">
        <v>93</v>
      </c>
      <c r="C6" t="s">
        <v>123</v>
      </c>
      <c r="D6" s="19">
        <f>40014478-775408</f>
        <v>39239070</v>
      </c>
      <c r="E6" s="19">
        <v>53062618</v>
      </c>
      <c r="H6">
        <f t="shared" si="0"/>
        <v>0</v>
      </c>
      <c r="I6">
        <v>0</v>
      </c>
      <c r="J6">
        <v>0</v>
      </c>
      <c r="K6">
        <f t="shared" si="1"/>
        <v>0</v>
      </c>
      <c r="L6">
        <v>0</v>
      </c>
      <c r="M6" s="9">
        <v>2461</v>
      </c>
    </row>
    <row r="7" spans="1:13" ht="15" x14ac:dyDescent="0.25">
      <c r="A7" t="s">
        <v>81</v>
      </c>
      <c r="B7" s="8" t="s">
        <v>41</v>
      </c>
      <c r="C7" t="s">
        <v>124</v>
      </c>
      <c r="D7">
        <v>13303415</v>
      </c>
      <c r="E7">
        <v>19181001</v>
      </c>
      <c r="F7">
        <v>802906</v>
      </c>
      <c r="G7">
        <v>660235</v>
      </c>
      <c r="H7">
        <f t="shared" si="0"/>
        <v>1463141</v>
      </c>
      <c r="I7">
        <v>0</v>
      </c>
      <c r="J7">
        <v>0</v>
      </c>
      <c r="K7">
        <f t="shared" si="1"/>
        <v>0</v>
      </c>
      <c r="L7">
        <v>0</v>
      </c>
      <c r="M7">
        <v>2474</v>
      </c>
    </row>
    <row r="8" spans="1:13" ht="15" x14ac:dyDescent="0.25">
      <c r="A8" t="s">
        <v>14</v>
      </c>
      <c r="B8" s="8" t="s">
        <v>15</v>
      </c>
      <c r="C8" t="s">
        <v>16</v>
      </c>
      <c r="D8">
        <v>4129849</v>
      </c>
      <c r="E8">
        <v>5762800</v>
      </c>
      <c r="F8">
        <v>239132</v>
      </c>
      <c r="G8">
        <v>94013</v>
      </c>
      <c r="H8">
        <f t="shared" si="0"/>
        <v>333145</v>
      </c>
      <c r="I8">
        <v>0</v>
      </c>
      <c r="J8">
        <v>0</v>
      </c>
      <c r="K8">
        <f t="shared" si="1"/>
        <v>0</v>
      </c>
      <c r="L8">
        <v>0</v>
      </c>
      <c r="M8">
        <v>1068</v>
      </c>
    </row>
    <row r="9" spans="1:13" ht="15" x14ac:dyDescent="0.25">
      <c r="A9" t="s">
        <v>17</v>
      </c>
      <c r="B9" s="8" t="s">
        <v>18</v>
      </c>
      <c r="C9" t="s">
        <v>125</v>
      </c>
      <c r="D9">
        <v>465363</v>
      </c>
      <c r="E9">
        <v>893958</v>
      </c>
      <c r="F9">
        <v>38958</v>
      </c>
      <c r="G9">
        <v>45374</v>
      </c>
      <c r="H9">
        <f t="shared" si="0"/>
        <v>84332</v>
      </c>
      <c r="I9">
        <v>0</v>
      </c>
      <c r="J9">
        <v>0</v>
      </c>
      <c r="K9">
        <f t="shared" si="1"/>
        <v>0</v>
      </c>
      <c r="L9">
        <v>0</v>
      </c>
      <c r="M9">
        <v>135</v>
      </c>
    </row>
    <row r="10" spans="1:13" ht="15" x14ac:dyDescent="0.25">
      <c r="A10" t="s">
        <v>49</v>
      </c>
      <c r="B10" s="8" t="s">
        <v>50</v>
      </c>
      <c r="C10" t="s">
        <v>51</v>
      </c>
      <c r="D10">
        <v>2179313</v>
      </c>
      <c r="E10">
        <v>3307030</v>
      </c>
      <c r="F10">
        <v>184459</v>
      </c>
      <c r="G10">
        <v>75058</v>
      </c>
      <c r="H10">
        <f t="shared" si="0"/>
        <v>259517</v>
      </c>
      <c r="I10">
        <v>0</v>
      </c>
      <c r="J10">
        <v>0</v>
      </c>
      <c r="K10">
        <f t="shared" si="1"/>
        <v>0</v>
      </c>
      <c r="L10">
        <v>0</v>
      </c>
      <c r="M10">
        <v>371</v>
      </c>
    </row>
    <row r="11" spans="1:13" ht="15" x14ac:dyDescent="0.25">
      <c r="A11" t="s">
        <v>78</v>
      </c>
      <c r="B11" s="8" t="s">
        <v>79</v>
      </c>
      <c r="C11" t="s">
        <v>126</v>
      </c>
      <c r="D11">
        <v>4174488</v>
      </c>
      <c r="E11">
        <v>5613798</v>
      </c>
      <c r="F11">
        <v>305710</v>
      </c>
      <c r="G11">
        <v>104615</v>
      </c>
      <c r="H11">
        <f t="shared" si="0"/>
        <v>410325</v>
      </c>
      <c r="K11">
        <f t="shared" si="1"/>
        <v>0</v>
      </c>
      <c r="M11">
        <v>988</v>
      </c>
    </row>
    <row r="12" spans="1:13" ht="15" x14ac:dyDescent="0.25">
      <c r="A12" t="s">
        <v>66</v>
      </c>
      <c r="B12" s="8" t="s">
        <v>67</v>
      </c>
      <c r="C12" t="s">
        <v>68</v>
      </c>
      <c r="D12">
        <v>41409146</v>
      </c>
      <c r="E12">
        <v>57597407</v>
      </c>
      <c r="F12">
        <v>1757976</v>
      </c>
      <c r="G12">
        <v>1844859</v>
      </c>
      <c r="H12">
        <f t="shared" si="0"/>
        <v>3602835</v>
      </c>
      <c r="I12">
        <v>405493</v>
      </c>
      <c r="J12">
        <v>-44335.185890000001</v>
      </c>
      <c r="K12">
        <f t="shared" si="1"/>
        <v>361157.81410999998</v>
      </c>
      <c r="M12">
        <v>6186</v>
      </c>
    </row>
    <row r="13" spans="1:13" ht="15" x14ac:dyDescent="0.25">
      <c r="A13" t="s">
        <v>89</v>
      </c>
      <c r="B13" s="8" t="s">
        <v>90</v>
      </c>
      <c r="C13" t="s">
        <v>91</v>
      </c>
      <c r="D13">
        <v>18027139</v>
      </c>
      <c r="E13">
        <v>24650505</v>
      </c>
      <c r="F13">
        <v>616655</v>
      </c>
      <c r="G13">
        <v>301727</v>
      </c>
      <c r="H13">
        <f t="shared" si="0"/>
        <v>918382</v>
      </c>
      <c r="I13">
        <v>0</v>
      </c>
      <c r="J13">
        <v>0</v>
      </c>
      <c r="K13">
        <f t="shared" si="1"/>
        <v>0</v>
      </c>
      <c r="L13">
        <v>0</v>
      </c>
      <c r="M13">
        <v>1609</v>
      </c>
    </row>
    <row r="14" spans="1:13" ht="15" x14ac:dyDescent="0.25">
      <c r="A14" t="s">
        <v>29</v>
      </c>
      <c r="B14" s="8" t="s">
        <v>30</v>
      </c>
      <c r="C14" t="s">
        <v>31</v>
      </c>
      <c r="D14">
        <v>1486822</v>
      </c>
      <c r="E14">
        <v>3863461</v>
      </c>
      <c r="F14">
        <v>252815</v>
      </c>
      <c r="G14">
        <v>103845</v>
      </c>
      <c r="H14">
        <f t="shared" si="0"/>
        <v>356660</v>
      </c>
      <c r="K14">
        <f t="shared" si="1"/>
        <v>0</v>
      </c>
      <c r="M14">
        <v>461</v>
      </c>
    </row>
    <row r="15" spans="1:13" ht="15" x14ac:dyDescent="0.25">
      <c r="A15" t="s">
        <v>26</v>
      </c>
      <c r="B15" s="8" t="s">
        <v>27</v>
      </c>
      <c r="C15" t="s">
        <v>127</v>
      </c>
      <c r="D15">
        <v>10587995</v>
      </c>
      <c r="E15">
        <v>21980616.449999999</v>
      </c>
      <c r="F15">
        <v>733108</v>
      </c>
      <c r="G15">
        <v>658329</v>
      </c>
      <c r="H15">
        <f t="shared" si="0"/>
        <v>1391437</v>
      </c>
      <c r="K15">
        <f t="shared" si="1"/>
        <v>0</v>
      </c>
      <c r="M15">
        <v>2342</v>
      </c>
    </row>
    <row r="16" spans="1:13" ht="15" x14ac:dyDescent="0.25">
      <c r="A16" t="s">
        <v>69</v>
      </c>
      <c r="B16" s="8" t="s">
        <v>70</v>
      </c>
      <c r="C16" t="s">
        <v>71</v>
      </c>
      <c r="D16">
        <v>7060613</v>
      </c>
      <c r="E16">
        <v>7864831</v>
      </c>
      <c r="F16">
        <v>618605</v>
      </c>
      <c r="G16">
        <v>222458</v>
      </c>
      <c r="H16">
        <f t="shared" si="0"/>
        <v>841063</v>
      </c>
      <c r="I16">
        <v>0</v>
      </c>
      <c r="J16">
        <v>0</v>
      </c>
      <c r="K16">
        <f t="shared" si="1"/>
        <v>0</v>
      </c>
      <c r="L16">
        <v>0</v>
      </c>
      <c r="M16">
        <v>1458</v>
      </c>
    </row>
    <row r="17" spans="1:13" ht="15" x14ac:dyDescent="0.25">
      <c r="A17" t="s">
        <v>55</v>
      </c>
      <c r="B17" s="8" t="s">
        <v>56</v>
      </c>
      <c r="C17" t="s">
        <v>57</v>
      </c>
      <c r="D17">
        <v>8156224</v>
      </c>
      <c r="E17">
        <v>13008192</v>
      </c>
      <c r="F17">
        <v>818655</v>
      </c>
      <c r="G17">
        <v>399072</v>
      </c>
      <c r="H17">
        <f t="shared" si="0"/>
        <v>1217727</v>
      </c>
      <c r="I17">
        <v>0</v>
      </c>
      <c r="J17">
        <v>0</v>
      </c>
      <c r="K17">
        <f t="shared" si="1"/>
        <v>0</v>
      </c>
      <c r="L17">
        <v>0</v>
      </c>
      <c r="M17">
        <v>1794</v>
      </c>
    </row>
    <row r="18" spans="1:13" ht="15" x14ac:dyDescent="0.25">
      <c r="A18" t="s">
        <v>46</v>
      </c>
      <c r="B18" s="8" t="s">
        <v>47</v>
      </c>
      <c r="C18" t="s">
        <v>128</v>
      </c>
      <c r="D18">
        <v>6685886</v>
      </c>
      <c r="E18">
        <v>12138572</v>
      </c>
      <c r="F18">
        <v>708222</v>
      </c>
      <c r="G18">
        <v>377115</v>
      </c>
      <c r="H18">
        <f t="shared" si="0"/>
        <v>1085337</v>
      </c>
      <c r="K18">
        <f t="shared" si="1"/>
        <v>0</v>
      </c>
      <c r="M18">
        <v>1714</v>
      </c>
    </row>
    <row r="19" spans="1:13" ht="15" x14ac:dyDescent="0.25">
      <c r="A19" t="s">
        <v>52</v>
      </c>
      <c r="B19" s="8" t="s">
        <v>53</v>
      </c>
      <c r="C19" t="s">
        <v>129</v>
      </c>
      <c r="D19">
        <v>837198</v>
      </c>
      <c r="E19">
        <v>2042700</v>
      </c>
      <c r="F19">
        <v>46473</v>
      </c>
      <c r="G19">
        <v>29275</v>
      </c>
      <c r="H19">
        <f t="shared" si="0"/>
        <v>75748</v>
      </c>
      <c r="K19">
        <f t="shared" si="1"/>
        <v>0</v>
      </c>
      <c r="M19">
        <v>219</v>
      </c>
    </row>
    <row r="20" spans="1:13" ht="15" x14ac:dyDescent="0.25">
      <c r="A20" t="s">
        <v>40</v>
      </c>
      <c r="B20" s="8" t="s">
        <v>137</v>
      </c>
      <c r="C20" t="s">
        <v>42</v>
      </c>
      <c r="D20">
        <v>1356409</v>
      </c>
      <c r="E20">
        <v>2304122</v>
      </c>
      <c r="F20">
        <v>128770</v>
      </c>
      <c r="G20">
        <v>45768</v>
      </c>
      <c r="H20">
        <f t="shared" si="0"/>
        <v>174538</v>
      </c>
      <c r="K20">
        <f t="shared" si="1"/>
        <v>0</v>
      </c>
      <c r="M20">
        <v>227</v>
      </c>
    </row>
    <row r="21" spans="1:13" ht="15" x14ac:dyDescent="0.25">
      <c r="A21" t="s">
        <v>83</v>
      </c>
      <c r="B21" s="8" t="s">
        <v>84</v>
      </c>
      <c r="C21" t="s">
        <v>85</v>
      </c>
      <c r="D21">
        <v>13453139</v>
      </c>
      <c r="E21">
        <v>19972967</v>
      </c>
      <c r="F21">
        <v>717419</v>
      </c>
      <c r="G21">
        <v>651300</v>
      </c>
      <c r="H21">
        <f t="shared" si="0"/>
        <v>1368719</v>
      </c>
      <c r="I21">
        <v>0</v>
      </c>
      <c r="J21">
        <v>0</v>
      </c>
      <c r="K21">
        <f t="shared" si="1"/>
        <v>0</v>
      </c>
      <c r="L21">
        <v>0</v>
      </c>
      <c r="M21">
        <v>2318</v>
      </c>
    </row>
    <row r="22" spans="1:13" ht="15" x14ac:dyDescent="0.25">
      <c r="A22" t="s">
        <v>38</v>
      </c>
      <c r="B22" s="8" t="s">
        <v>12</v>
      </c>
      <c r="C22" t="s">
        <v>39</v>
      </c>
      <c r="D22">
        <v>732137</v>
      </c>
      <c r="E22">
        <v>1880028</v>
      </c>
      <c r="F22">
        <v>168772</v>
      </c>
      <c r="G22">
        <v>65268</v>
      </c>
      <c r="H22">
        <f t="shared" si="0"/>
        <v>234040</v>
      </c>
      <c r="I22">
        <v>0</v>
      </c>
      <c r="J22">
        <v>0</v>
      </c>
      <c r="K22">
        <f t="shared" si="1"/>
        <v>0</v>
      </c>
      <c r="L22">
        <v>0</v>
      </c>
      <c r="M22">
        <v>199</v>
      </c>
    </row>
    <row r="23" spans="1:13" x14ac:dyDescent="0.3">
      <c r="A23" t="s">
        <v>11</v>
      </c>
      <c r="B23" s="8" t="s">
        <v>111</v>
      </c>
      <c r="C23" t="s">
        <v>130</v>
      </c>
      <c r="D23">
        <v>36027574</v>
      </c>
      <c r="E23">
        <v>52492918</v>
      </c>
      <c r="F23">
        <v>1932574</v>
      </c>
      <c r="G23">
        <v>1295347</v>
      </c>
      <c r="H23">
        <f t="shared" si="0"/>
        <v>3227921</v>
      </c>
      <c r="I23">
        <v>0</v>
      </c>
      <c r="J23">
        <v>0</v>
      </c>
      <c r="K23">
        <f t="shared" si="1"/>
        <v>0</v>
      </c>
      <c r="L23">
        <v>0</v>
      </c>
      <c r="M23">
        <v>5744</v>
      </c>
    </row>
    <row r="24" spans="1:13" x14ac:dyDescent="0.3">
      <c r="A24" t="s">
        <v>43</v>
      </c>
      <c r="B24" s="8" t="s">
        <v>44</v>
      </c>
      <c r="C24" t="s">
        <v>45</v>
      </c>
      <c r="D24">
        <v>12382795</v>
      </c>
      <c r="E24">
        <v>14160120</v>
      </c>
      <c r="F24">
        <v>582320</v>
      </c>
      <c r="G24">
        <v>319791</v>
      </c>
      <c r="H24">
        <f t="shared" si="0"/>
        <v>902111</v>
      </c>
      <c r="K24">
        <f t="shared" si="1"/>
        <v>0</v>
      </c>
      <c r="M24">
        <v>2451</v>
      </c>
    </row>
    <row r="25" spans="1:13" x14ac:dyDescent="0.3">
      <c r="A25" t="s">
        <v>72</v>
      </c>
      <c r="B25" s="8" t="s">
        <v>73</v>
      </c>
      <c r="C25" t="s">
        <v>132</v>
      </c>
      <c r="D25">
        <v>18171135</v>
      </c>
      <c r="E25">
        <v>21872487</v>
      </c>
      <c r="F25">
        <v>1320519</v>
      </c>
      <c r="G25">
        <v>915772</v>
      </c>
      <c r="H25">
        <f t="shared" si="0"/>
        <v>2236291</v>
      </c>
      <c r="K25">
        <f t="shared" si="1"/>
        <v>0</v>
      </c>
      <c r="M25">
        <v>3501</v>
      </c>
    </row>
    <row r="26" spans="1:13" x14ac:dyDescent="0.3">
      <c r="A26" t="s">
        <v>23</v>
      </c>
      <c r="B26" s="8" t="s">
        <v>24</v>
      </c>
      <c r="C26" t="s">
        <v>25</v>
      </c>
      <c r="D26">
        <v>11097907</v>
      </c>
      <c r="E26">
        <v>21435964</v>
      </c>
      <c r="F26">
        <v>1217890</v>
      </c>
      <c r="G26">
        <v>759248</v>
      </c>
      <c r="H26">
        <f t="shared" si="0"/>
        <v>1977138</v>
      </c>
      <c r="K26">
        <f t="shared" si="1"/>
        <v>0</v>
      </c>
      <c r="M26">
        <v>2429</v>
      </c>
    </row>
    <row r="27" spans="1:13" x14ac:dyDescent="0.3">
      <c r="A27" t="s">
        <v>86</v>
      </c>
      <c r="B27" s="8" t="s">
        <v>87</v>
      </c>
      <c r="C27" t="s">
        <v>133</v>
      </c>
      <c r="D27">
        <v>13867478</v>
      </c>
      <c r="E27">
        <v>23634517</v>
      </c>
      <c r="F27">
        <v>1039511</v>
      </c>
      <c r="G27">
        <v>440992</v>
      </c>
      <c r="H27">
        <f t="shared" si="0"/>
        <v>1480503</v>
      </c>
      <c r="K27">
        <f t="shared" si="1"/>
        <v>0</v>
      </c>
      <c r="M27">
        <v>3325</v>
      </c>
    </row>
    <row r="28" spans="1:13" x14ac:dyDescent="0.3">
      <c r="A28" t="s">
        <v>20</v>
      </c>
      <c r="B28" s="8" t="s">
        <v>21</v>
      </c>
      <c r="C28" t="s">
        <v>134</v>
      </c>
      <c r="D28">
        <v>11902309</v>
      </c>
      <c r="E28">
        <v>17208446</v>
      </c>
      <c r="F28">
        <v>633151</v>
      </c>
      <c r="G28">
        <v>277469</v>
      </c>
      <c r="H28">
        <f t="shared" si="0"/>
        <v>910620</v>
      </c>
      <c r="K28">
        <f t="shared" si="1"/>
        <v>0</v>
      </c>
      <c r="M28">
        <v>2445</v>
      </c>
    </row>
    <row r="29" spans="1:13" x14ac:dyDescent="0.3">
      <c r="A29" t="s">
        <v>63</v>
      </c>
      <c r="B29" s="8" t="s">
        <v>64</v>
      </c>
      <c r="C29" t="s">
        <v>135</v>
      </c>
      <c r="D29">
        <v>7364756</v>
      </c>
      <c r="E29">
        <v>13680286</v>
      </c>
      <c r="F29">
        <v>555741</v>
      </c>
      <c r="G29">
        <v>411977</v>
      </c>
      <c r="H29">
        <f t="shared" si="0"/>
        <v>967718</v>
      </c>
      <c r="K29">
        <f t="shared" si="1"/>
        <v>0</v>
      </c>
      <c r="M29">
        <v>1753</v>
      </c>
    </row>
    <row r="30" spans="1:13" x14ac:dyDescent="0.3">
      <c r="A30" t="s">
        <v>58</v>
      </c>
      <c r="B30" s="8" t="s">
        <v>59</v>
      </c>
      <c r="C30" t="s">
        <v>136</v>
      </c>
      <c r="D30">
        <v>2821442</v>
      </c>
      <c r="E30">
        <v>4605713</v>
      </c>
      <c r="F30">
        <v>232719</v>
      </c>
      <c r="G30">
        <v>172737</v>
      </c>
      <c r="H30">
        <f t="shared" si="0"/>
        <v>405456</v>
      </c>
      <c r="K30">
        <f t="shared" si="1"/>
        <v>0</v>
      </c>
      <c r="M30">
        <v>737</v>
      </c>
    </row>
    <row r="31" spans="1:13" x14ac:dyDescent="0.3">
      <c r="A31" t="s">
        <v>61</v>
      </c>
      <c r="B31" s="8" t="s">
        <v>10</v>
      </c>
      <c r="C31" t="s">
        <v>139</v>
      </c>
      <c r="D31">
        <f>SUM(D34:D35)</f>
        <v>102014711.09</v>
      </c>
      <c r="E31">
        <f t="shared" ref="E31:G31" si="2">SUM(E34:E35)</f>
        <v>193058650</v>
      </c>
      <c r="F31">
        <f t="shared" si="2"/>
        <v>6638175</v>
      </c>
      <c r="G31">
        <f t="shared" si="2"/>
        <v>4313273</v>
      </c>
      <c r="H31">
        <f t="shared" si="0"/>
        <v>10951448</v>
      </c>
      <c r="I31">
        <f t="shared" ref="I31:J31" si="3">SUM(I34:I35)</f>
        <v>131590.22</v>
      </c>
      <c r="J31">
        <f t="shared" si="3"/>
        <v>0</v>
      </c>
      <c r="K31">
        <f t="shared" si="1"/>
        <v>131590.22</v>
      </c>
      <c r="M31">
        <f>SUM(M34:M35)</f>
        <v>15306</v>
      </c>
    </row>
    <row r="34" spans="1:13" x14ac:dyDescent="0.3">
      <c r="B34" s="8" t="s">
        <v>138</v>
      </c>
      <c r="C34" t="s">
        <v>131</v>
      </c>
      <c r="D34">
        <v>14261195</v>
      </c>
      <c r="E34">
        <v>19367221</v>
      </c>
      <c r="F34">
        <v>918601</v>
      </c>
      <c r="G34">
        <v>766093</v>
      </c>
      <c r="H34">
        <f>+G34+F34</f>
        <v>1684694</v>
      </c>
      <c r="K34">
        <f>SUM(I34:J34)</f>
        <v>0</v>
      </c>
      <c r="M34">
        <v>2627</v>
      </c>
    </row>
    <row r="35" spans="1:13" x14ac:dyDescent="0.3">
      <c r="B35" s="8" t="s">
        <v>10</v>
      </c>
      <c r="C35" t="s">
        <v>62</v>
      </c>
      <c r="D35">
        <v>87753516.090000004</v>
      </c>
      <c r="E35">
        <v>173691429</v>
      </c>
      <c r="F35">
        <v>5719574</v>
      </c>
      <c r="G35">
        <v>3547180</v>
      </c>
      <c r="H35">
        <f>+G35+F35</f>
        <v>9266754</v>
      </c>
      <c r="I35">
        <v>131590.22</v>
      </c>
      <c r="K35">
        <f>SUM(I35:J35)</f>
        <v>131590.22</v>
      </c>
      <c r="M35">
        <f>11504+1175</f>
        <v>12679</v>
      </c>
    </row>
    <row r="37" spans="1:13" x14ac:dyDescent="0.3">
      <c r="D37" s="19"/>
      <c r="E37" s="19"/>
    </row>
    <row r="45" spans="1:13" x14ac:dyDescent="0.3">
      <c r="A45" s="2"/>
      <c r="B45" s="6"/>
      <c r="C45" s="2"/>
    </row>
    <row r="46" spans="1:13" x14ac:dyDescent="0.3">
      <c r="A46" s="2"/>
      <c r="B46" s="2"/>
      <c r="C46" s="2"/>
    </row>
    <row r="47" spans="1:13" x14ac:dyDescent="0.3">
      <c r="A47" s="2"/>
      <c r="B47" s="2"/>
      <c r="C47" s="2"/>
    </row>
    <row r="48" spans="1:13" x14ac:dyDescent="0.3">
      <c r="A48" s="2"/>
      <c r="B48" s="2"/>
      <c r="C48" s="2"/>
    </row>
    <row r="49" spans="1:3" x14ac:dyDescent="0.3">
      <c r="A49" s="2"/>
      <c r="B49" s="2"/>
      <c r="C49" s="2"/>
    </row>
    <row r="50" spans="1:3" x14ac:dyDescent="0.3">
      <c r="A50" s="2"/>
      <c r="B50" s="2"/>
      <c r="C50" s="2"/>
    </row>
    <row r="51" spans="1:3" x14ac:dyDescent="0.3">
      <c r="A51" s="2"/>
      <c r="B51" s="2"/>
      <c r="C51" s="2"/>
    </row>
    <row r="52" spans="1:3" x14ac:dyDescent="0.3">
      <c r="A52" s="2"/>
      <c r="B52" s="2"/>
      <c r="C52" s="2"/>
    </row>
    <row r="53" spans="1:3" x14ac:dyDescent="0.3">
      <c r="A53" s="10"/>
      <c r="B53" s="10"/>
      <c r="C53" s="10"/>
    </row>
    <row r="54" spans="1:3" x14ac:dyDescent="0.3">
      <c r="A54" s="2"/>
      <c r="B54" s="2"/>
      <c r="C54" s="2"/>
    </row>
    <row r="55" spans="1:3" x14ac:dyDescent="0.3">
      <c r="A55" s="2"/>
      <c r="B55" s="2"/>
      <c r="C55" s="2"/>
    </row>
    <row r="56" spans="1:3" x14ac:dyDescent="0.3">
      <c r="A56" s="2"/>
      <c r="B56" s="2"/>
      <c r="C56" s="2"/>
    </row>
    <row r="57" spans="1:3" x14ac:dyDescent="0.3">
      <c r="A57" s="2"/>
      <c r="B57" s="2"/>
      <c r="C57" s="2"/>
    </row>
    <row r="58" spans="1:3" x14ac:dyDescent="0.3">
      <c r="A58" s="2"/>
      <c r="B58" s="2"/>
      <c r="C58" s="2"/>
    </row>
    <row r="59" spans="1:3" x14ac:dyDescent="0.3">
      <c r="A59" s="2"/>
      <c r="B59" s="2"/>
      <c r="C59" s="2"/>
    </row>
    <row r="60" spans="1:3" x14ac:dyDescent="0.3">
      <c r="A60" s="2"/>
      <c r="B60" s="2"/>
      <c r="C60" s="2"/>
    </row>
    <row r="61" spans="1:3" x14ac:dyDescent="0.3">
      <c r="A61" s="2"/>
      <c r="B61" s="2"/>
      <c r="C61" s="2"/>
    </row>
    <row r="62" spans="1:3" x14ac:dyDescent="0.3">
      <c r="A62" s="2"/>
      <c r="B62" s="2"/>
      <c r="C62" s="2"/>
    </row>
    <row r="63" spans="1:3" x14ac:dyDescent="0.3">
      <c r="A63" s="2"/>
      <c r="B63" s="2"/>
      <c r="C63" s="2"/>
    </row>
    <row r="64" spans="1:3" x14ac:dyDescent="0.3">
      <c r="A64" s="2"/>
      <c r="B64" s="2"/>
      <c r="C64" s="2"/>
    </row>
    <row r="65" spans="1:3" x14ac:dyDescent="0.3">
      <c r="A65" s="2"/>
      <c r="B65" s="2"/>
      <c r="C65" s="2"/>
    </row>
    <row r="66" spans="1:3" x14ac:dyDescent="0.3">
      <c r="A66" s="2"/>
      <c r="B66" s="2"/>
      <c r="C66" s="2"/>
    </row>
    <row r="67" spans="1:3" x14ac:dyDescent="0.3">
      <c r="A67" s="2"/>
      <c r="B67" s="2"/>
      <c r="C67" s="2"/>
    </row>
    <row r="68" spans="1:3" x14ac:dyDescent="0.3">
      <c r="A68" s="2"/>
      <c r="B68" s="2"/>
      <c r="C68" s="2"/>
    </row>
    <row r="69" spans="1:3" x14ac:dyDescent="0.3">
      <c r="A69" s="2"/>
      <c r="B69" s="2"/>
      <c r="C69" s="2"/>
    </row>
    <row r="70" spans="1:3" x14ac:dyDescent="0.3">
      <c r="A70" s="2"/>
      <c r="B70" s="2"/>
      <c r="C70" s="2"/>
    </row>
    <row r="71" spans="1:3" x14ac:dyDescent="0.3">
      <c r="A71" s="2"/>
      <c r="B71" s="2"/>
      <c r="C71" s="2"/>
    </row>
    <row r="72" spans="1:3" x14ac:dyDescent="0.3">
      <c r="A72" s="2"/>
      <c r="B72" s="2"/>
      <c r="C72" s="2"/>
    </row>
    <row r="73" spans="1:3" x14ac:dyDescent="0.3">
      <c r="A73" s="2"/>
      <c r="B73" s="2"/>
      <c r="C73" s="2"/>
    </row>
  </sheetData>
  <pageMargins left="0.7" right="0.7" top="0.75" bottom="0.75" header="0.3" footer="0.3"/>
  <pageSetup scale="59" orientation="landscape" r:id="rId1"/>
  <headerFooter>
    <oddHeader>&amp;R&amp;"-,Bold"&amp;12&amp;K03-024MERCER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AF38"/>
  <sheetViews>
    <sheetView workbookViewId="0">
      <selection activeCell="Q3" sqref="Q3"/>
    </sheetView>
  </sheetViews>
  <sheetFormatPr defaultRowHeight="14.4" x14ac:dyDescent="0.3"/>
  <cols>
    <col min="2" max="2" width="11.6640625" bestFit="1" customWidth="1"/>
    <col min="3" max="3" width="38" bestFit="1" customWidth="1"/>
    <col min="4" max="5" width="13.5546875" customWidth="1"/>
    <col min="6" max="7" width="9.109375" customWidth="1"/>
    <col min="8" max="8" width="2.6640625" customWidth="1"/>
    <col min="9" max="10" width="13.88671875" customWidth="1"/>
    <col min="11" max="13" width="9.109375" customWidth="1"/>
    <col min="14" max="14" width="2.6640625" customWidth="1"/>
    <col min="15" max="16" width="13.33203125" customWidth="1"/>
    <col min="17" max="17" width="10.6640625" bestFit="1" customWidth="1"/>
    <col min="18" max="18" width="9.109375" customWidth="1"/>
    <col min="19" max="19" width="2.6640625" customWidth="1"/>
    <col min="20" max="21" width="10.44140625" customWidth="1"/>
    <col min="22" max="22" width="12" customWidth="1"/>
    <col min="23" max="23" width="11" customWidth="1"/>
    <col min="24" max="24" width="14.33203125" customWidth="1"/>
    <col min="25" max="25" width="15.44140625" customWidth="1"/>
    <col min="26" max="27" width="14.33203125" customWidth="1"/>
    <col min="28" max="28" width="22" bestFit="1" customWidth="1"/>
    <col min="29" max="29" width="20.5546875" bestFit="1" customWidth="1"/>
    <col min="31" max="31" width="14" bestFit="1" customWidth="1"/>
  </cols>
  <sheetData>
    <row r="1" spans="1:32" ht="15" x14ac:dyDescent="0.25">
      <c r="D1" s="127" t="s">
        <v>106</v>
      </c>
      <c r="E1" s="127"/>
      <c r="F1" s="127"/>
      <c r="G1" s="127"/>
      <c r="I1" s="127" t="s">
        <v>107</v>
      </c>
      <c r="J1" s="127"/>
      <c r="K1" s="127"/>
      <c r="L1" s="127"/>
      <c r="M1" s="127"/>
      <c r="O1" s="127" t="s">
        <v>4</v>
      </c>
      <c r="P1" s="127"/>
      <c r="Q1" s="127"/>
      <c r="R1" s="127"/>
      <c r="T1" s="127" t="s">
        <v>3</v>
      </c>
      <c r="U1" s="127"/>
      <c r="V1" s="127"/>
      <c r="Y1" t="s">
        <v>149</v>
      </c>
      <c r="Z1" t="s">
        <v>149</v>
      </c>
      <c r="AE1" s="11" t="s">
        <v>147</v>
      </c>
      <c r="AF1" s="12">
        <v>0.04</v>
      </c>
    </row>
    <row r="2" spans="1:32" ht="15" x14ac:dyDescent="0.25">
      <c r="A2" t="s">
        <v>101</v>
      </c>
      <c r="B2" t="s">
        <v>102</v>
      </c>
      <c r="C2" t="s">
        <v>103</v>
      </c>
      <c r="D2" t="s">
        <v>5</v>
      </c>
      <c r="E2" t="s">
        <v>108</v>
      </c>
      <c r="F2" t="s">
        <v>104</v>
      </c>
      <c r="G2" t="s">
        <v>105</v>
      </c>
      <c r="I2" t="s">
        <v>5</v>
      </c>
      <c r="J2" t="s">
        <v>108</v>
      </c>
      <c r="K2" t="s">
        <v>104</v>
      </c>
      <c r="L2" t="s">
        <v>105</v>
      </c>
      <c r="M2" t="s">
        <v>110</v>
      </c>
      <c r="O2" t="s">
        <v>5</v>
      </c>
      <c r="P2" t="s">
        <v>108</v>
      </c>
      <c r="Q2" t="s">
        <v>273</v>
      </c>
      <c r="R2" t="s">
        <v>105</v>
      </c>
      <c r="T2" t="s">
        <v>5</v>
      </c>
      <c r="U2" t="s">
        <v>109</v>
      </c>
      <c r="V2" t="s">
        <v>108</v>
      </c>
      <c r="W2" t="s">
        <v>143</v>
      </c>
      <c r="X2" t="s">
        <v>148</v>
      </c>
      <c r="Y2" t="s">
        <v>154</v>
      </c>
      <c r="Z2" t="s">
        <v>150</v>
      </c>
      <c r="AB2" t="s">
        <v>146</v>
      </c>
      <c r="AC2" t="s">
        <v>145</v>
      </c>
    </row>
    <row r="3" spans="1:32" ht="15" x14ac:dyDescent="0.25">
      <c r="A3" t="s">
        <v>11</v>
      </c>
      <c r="B3" t="s">
        <v>111</v>
      </c>
      <c r="C3" t="s">
        <v>13</v>
      </c>
      <c r="D3" s="9">
        <v>689</v>
      </c>
      <c r="E3" s="9">
        <v>6167292</v>
      </c>
      <c r="F3" s="9">
        <v>975</v>
      </c>
      <c r="G3" s="9">
        <v>4246</v>
      </c>
      <c r="H3" s="9"/>
      <c r="I3" s="9">
        <v>211</v>
      </c>
      <c r="J3" s="9">
        <v>1821181.94</v>
      </c>
      <c r="K3" s="9">
        <v>975</v>
      </c>
      <c r="L3" s="9">
        <v>2351</v>
      </c>
      <c r="M3" s="9">
        <v>218</v>
      </c>
      <c r="N3" s="9"/>
      <c r="O3" s="9">
        <v>0</v>
      </c>
      <c r="P3" s="9">
        <v>0</v>
      </c>
      <c r="Q3" s="9">
        <v>1370</v>
      </c>
      <c r="R3" s="9">
        <v>0</v>
      </c>
      <c r="S3" s="9"/>
      <c r="T3" s="9">
        <v>5158</v>
      </c>
      <c r="U3" s="9">
        <v>22232</v>
      </c>
      <c r="V3" s="9">
        <v>32375373.899999999</v>
      </c>
      <c r="W3" s="9">
        <v>4183.2551999999996</v>
      </c>
      <c r="X3">
        <f>+W3/T3</f>
        <v>0.81102272198526548</v>
      </c>
      <c r="Y3">
        <f>VLOOKUP(A3,'Reconciliation Data'!$A$3:$M$31,13,FALSE)</f>
        <v>5744</v>
      </c>
      <c r="Z3">
        <f>Y3-O3-I3-D3</f>
        <v>4844</v>
      </c>
      <c r="AA3">
        <f>Z3*X3</f>
        <v>3928.594065296626</v>
      </c>
      <c r="AB3" s="5">
        <f>VLOOKUP(A3,'DRG Revenue'!$A$8:$T$36,19)</f>
        <v>0</v>
      </c>
      <c r="AC3" s="13">
        <f>AB3/AA3</f>
        <v>0</v>
      </c>
      <c r="AE3" s="5">
        <f>(1-$AF$1)*AC3</f>
        <v>0</v>
      </c>
    </row>
    <row r="4" spans="1:32" ht="15" x14ac:dyDescent="0.25">
      <c r="A4" t="s">
        <v>14</v>
      </c>
      <c r="B4" t="s">
        <v>15</v>
      </c>
      <c r="C4" t="s">
        <v>16</v>
      </c>
      <c r="D4" s="9">
        <v>254</v>
      </c>
      <c r="E4" s="9">
        <v>1651220.64</v>
      </c>
      <c r="F4" s="9">
        <v>1050</v>
      </c>
      <c r="G4" s="9">
        <v>1314</v>
      </c>
      <c r="H4" s="9"/>
      <c r="I4" s="9">
        <v>7</v>
      </c>
      <c r="J4" s="9">
        <v>13723.6</v>
      </c>
      <c r="K4" s="9">
        <v>1050</v>
      </c>
      <c r="L4" s="9">
        <v>24</v>
      </c>
      <c r="M4" s="9">
        <v>0</v>
      </c>
      <c r="N4" s="9"/>
      <c r="O4" s="9">
        <v>0</v>
      </c>
      <c r="P4" s="9">
        <v>0</v>
      </c>
      <c r="Q4" s="9">
        <v>1370</v>
      </c>
      <c r="R4" s="9">
        <v>0</v>
      </c>
      <c r="S4" s="9"/>
      <c r="T4" s="9">
        <v>802</v>
      </c>
      <c r="U4" s="9">
        <v>2328</v>
      </c>
      <c r="V4" s="9">
        <v>2969903.79</v>
      </c>
      <c r="W4" s="9">
        <v>354.42540000000002</v>
      </c>
      <c r="X4">
        <f t="shared" ref="X4:X31" si="0">+W4/T4</f>
        <v>0.44192693266832922</v>
      </c>
      <c r="Y4">
        <f>VLOOKUP(A4,'Reconciliation Data'!$A$3:$M$31,13,FALSE)</f>
        <v>1068</v>
      </c>
      <c r="Z4">
        <f t="shared" ref="Z4:Z31" si="1">Y4-O4-I4-D4</f>
        <v>807</v>
      </c>
      <c r="AA4">
        <f t="shared" ref="AA4:AA31" si="2">Z4*X4</f>
        <v>356.63503466334168</v>
      </c>
      <c r="AB4" s="5">
        <f>VLOOKUP(A4,'DRG Revenue'!$A$8:$T$36,19)</f>
        <v>0</v>
      </c>
      <c r="AC4" s="13">
        <f t="shared" ref="AC4:AC31" si="3">AB4/AA4</f>
        <v>0</v>
      </c>
      <c r="AE4" s="5">
        <f t="shared" ref="AE4:AE31" si="4">(1-$AF$1)*AC4</f>
        <v>0</v>
      </c>
    </row>
    <row r="5" spans="1:32" ht="15" x14ac:dyDescent="0.25">
      <c r="A5" t="s">
        <v>17</v>
      </c>
      <c r="B5" t="s">
        <v>18</v>
      </c>
      <c r="C5" t="s">
        <v>19</v>
      </c>
      <c r="D5" s="9">
        <v>7</v>
      </c>
      <c r="E5" s="9">
        <v>47916.4</v>
      </c>
      <c r="F5" s="9">
        <v>975</v>
      </c>
      <c r="G5" s="9">
        <v>35</v>
      </c>
      <c r="H5" s="9"/>
      <c r="I5" s="9">
        <v>0</v>
      </c>
      <c r="J5" s="9">
        <v>0</v>
      </c>
      <c r="K5" s="9">
        <v>975</v>
      </c>
      <c r="L5" s="9">
        <v>0</v>
      </c>
      <c r="M5" s="9">
        <v>0</v>
      </c>
      <c r="N5" s="9"/>
      <c r="O5" s="9">
        <v>0</v>
      </c>
      <c r="P5" s="9">
        <v>0</v>
      </c>
      <c r="Q5" s="9">
        <v>1370</v>
      </c>
      <c r="R5" s="9">
        <v>0</v>
      </c>
      <c r="S5" s="9"/>
      <c r="T5" s="9">
        <v>130</v>
      </c>
      <c r="U5" s="9">
        <v>407</v>
      </c>
      <c r="V5" s="9">
        <v>557199.28</v>
      </c>
      <c r="W5" s="9">
        <v>62.253100000000003</v>
      </c>
      <c r="X5">
        <f t="shared" si="0"/>
        <v>0.47887000000000002</v>
      </c>
      <c r="Y5">
        <f>VLOOKUP(A5,'Reconciliation Data'!$A$3:$M$31,13,FALSE)</f>
        <v>135</v>
      </c>
      <c r="Z5">
        <f t="shared" si="1"/>
        <v>128</v>
      </c>
      <c r="AA5">
        <f t="shared" si="2"/>
        <v>61.295360000000002</v>
      </c>
      <c r="AB5" s="5">
        <f>VLOOKUP(A5,'DRG Revenue'!$A$8:$T$36,19)</f>
        <v>0</v>
      </c>
      <c r="AC5" s="13">
        <f t="shared" si="3"/>
        <v>0</v>
      </c>
      <c r="AE5" s="5">
        <f t="shared" si="4"/>
        <v>0</v>
      </c>
    </row>
    <row r="6" spans="1:32" ht="15" x14ac:dyDescent="0.25">
      <c r="A6" t="s">
        <v>20</v>
      </c>
      <c r="B6" t="s">
        <v>21</v>
      </c>
      <c r="C6" t="s">
        <v>22</v>
      </c>
      <c r="D6" s="9">
        <v>392</v>
      </c>
      <c r="E6" s="9">
        <v>3947295.78</v>
      </c>
      <c r="F6" s="9">
        <v>975</v>
      </c>
      <c r="G6" s="9">
        <v>2790</v>
      </c>
      <c r="H6" s="9"/>
      <c r="I6" s="9">
        <v>80</v>
      </c>
      <c r="J6" s="9">
        <v>457181.8</v>
      </c>
      <c r="K6" s="9">
        <v>975</v>
      </c>
      <c r="L6" s="9">
        <v>524</v>
      </c>
      <c r="M6" s="9">
        <v>32</v>
      </c>
      <c r="N6" s="9"/>
      <c r="O6" s="9">
        <v>0</v>
      </c>
      <c r="P6" s="9">
        <v>0</v>
      </c>
      <c r="Q6" s="9">
        <v>1370</v>
      </c>
      <c r="R6" s="9">
        <v>0</v>
      </c>
      <c r="S6" s="9"/>
      <c r="T6" s="9">
        <v>2081</v>
      </c>
      <c r="U6" s="9">
        <v>7444</v>
      </c>
      <c r="V6" s="9">
        <v>10581477.9</v>
      </c>
      <c r="W6" s="9">
        <v>1335.9154000000001</v>
      </c>
      <c r="X6">
        <f t="shared" si="0"/>
        <v>0.64195838539163863</v>
      </c>
      <c r="Y6">
        <f>VLOOKUP(A6,'Reconciliation Data'!$A$3:$M$31,13,FALSE)</f>
        <v>2445</v>
      </c>
      <c r="Z6">
        <f t="shared" si="1"/>
        <v>1973</v>
      </c>
      <c r="AA6">
        <f t="shared" si="2"/>
        <v>1266.583894377703</v>
      </c>
      <c r="AB6" s="5">
        <f>VLOOKUP(A6,'DRG Revenue'!$A$8:$T$36,19)</f>
        <v>0</v>
      </c>
      <c r="AC6" s="13">
        <f t="shared" si="3"/>
        <v>0</v>
      </c>
      <c r="AE6" s="5">
        <f t="shared" si="4"/>
        <v>0</v>
      </c>
    </row>
    <row r="7" spans="1:32" ht="15" x14ac:dyDescent="0.25">
      <c r="A7" t="s">
        <v>23</v>
      </c>
      <c r="B7" t="s">
        <v>24</v>
      </c>
      <c r="C7" t="s">
        <v>25</v>
      </c>
      <c r="D7" s="9">
        <v>228</v>
      </c>
      <c r="E7" s="9">
        <v>1953586.17</v>
      </c>
      <c r="F7" s="9">
        <v>1125</v>
      </c>
      <c r="G7" s="9">
        <v>1595</v>
      </c>
      <c r="H7" s="9"/>
      <c r="I7" s="9">
        <v>14</v>
      </c>
      <c r="J7" s="9">
        <v>51547.98</v>
      </c>
      <c r="K7" s="9">
        <v>1125</v>
      </c>
      <c r="L7" s="9">
        <v>68</v>
      </c>
      <c r="M7" s="9">
        <v>0</v>
      </c>
      <c r="N7" s="9"/>
      <c r="O7" s="9">
        <v>15</v>
      </c>
      <c r="P7" s="9">
        <v>247446</v>
      </c>
      <c r="Q7" s="9">
        <v>1370</v>
      </c>
      <c r="R7" s="9">
        <v>198</v>
      </c>
      <c r="S7" s="9"/>
      <c r="T7" s="9">
        <v>2187</v>
      </c>
      <c r="U7" s="9">
        <v>9003</v>
      </c>
      <c r="V7" s="9">
        <v>11157340.140000001</v>
      </c>
      <c r="W7" s="9">
        <v>1470.2511999999999</v>
      </c>
      <c r="X7">
        <f t="shared" si="0"/>
        <v>0.67226849565614999</v>
      </c>
      <c r="Y7">
        <f>VLOOKUP(A7,'Reconciliation Data'!$A$3:$M$31,13,FALSE)</f>
        <v>2429</v>
      </c>
      <c r="Z7">
        <f t="shared" si="1"/>
        <v>2172</v>
      </c>
      <c r="AA7">
        <f t="shared" si="2"/>
        <v>1460.1671725651577</v>
      </c>
      <c r="AB7" s="5">
        <f>VLOOKUP(A7,'DRG Revenue'!$A$8:$T$36,19)</f>
        <v>0</v>
      </c>
      <c r="AC7" s="13">
        <f t="shared" si="3"/>
        <v>0</v>
      </c>
      <c r="AE7" s="5">
        <f t="shared" si="4"/>
        <v>0</v>
      </c>
    </row>
    <row r="8" spans="1:32" ht="15" x14ac:dyDescent="0.25">
      <c r="A8" t="s">
        <v>26</v>
      </c>
      <c r="B8" t="s">
        <v>27</v>
      </c>
      <c r="C8" t="s">
        <v>28</v>
      </c>
      <c r="D8" s="9">
        <v>319</v>
      </c>
      <c r="E8" s="9">
        <v>2496914.0099999998</v>
      </c>
      <c r="F8" s="9">
        <v>975</v>
      </c>
      <c r="G8" s="9">
        <v>2148</v>
      </c>
      <c r="H8" s="9"/>
      <c r="I8" s="9">
        <v>5</v>
      </c>
      <c r="J8" s="9">
        <v>25103.52</v>
      </c>
      <c r="K8" s="9">
        <v>975</v>
      </c>
      <c r="L8" s="9">
        <v>36</v>
      </c>
      <c r="M8" s="9">
        <v>0</v>
      </c>
      <c r="N8" s="9"/>
      <c r="O8" s="9">
        <v>18</v>
      </c>
      <c r="P8" s="9">
        <v>330422.21999999997</v>
      </c>
      <c r="Q8" s="9">
        <v>1370</v>
      </c>
      <c r="R8" s="9">
        <v>280</v>
      </c>
      <c r="S8" s="9"/>
      <c r="T8" s="9">
        <v>2097</v>
      </c>
      <c r="U8" s="9">
        <v>8666</v>
      </c>
      <c r="V8" s="9">
        <v>10192705.289999999</v>
      </c>
      <c r="W8" s="9">
        <v>1270.8344</v>
      </c>
      <c r="X8">
        <f t="shared" si="0"/>
        <v>0.60602498807820693</v>
      </c>
      <c r="Y8">
        <f>VLOOKUP(A8,'Reconciliation Data'!$A$3:$M$31,13,FALSE)</f>
        <v>2342</v>
      </c>
      <c r="Z8">
        <f t="shared" si="1"/>
        <v>2000</v>
      </c>
      <c r="AA8">
        <f t="shared" si="2"/>
        <v>1212.0499761564138</v>
      </c>
      <c r="AB8" s="5">
        <f>VLOOKUP(A8,'DRG Revenue'!$A$8:$T$36,19)</f>
        <v>0</v>
      </c>
      <c r="AC8" s="13">
        <f t="shared" si="3"/>
        <v>0</v>
      </c>
      <c r="AE8" s="5">
        <f t="shared" si="4"/>
        <v>0</v>
      </c>
    </row>
    <row r="9" spans="1:32" ht="15" x14ac:dyDescent="0.25">
      <c r="A9" t="s">
        <v>29</v>
      </c>
      <c r="B9" t="s">
        <v>30</v>
      </c>
      <c r="C9" t="s">
        <v>31</v>
      </c>
      <c r="D9" s="9">
        <v>138</v>
      </c>
      <c r="E9" s="9">
        <v>971465.52</v>
      </c>
      <c r="F9" s="9">
        <v>975</v>
      </c>
      <c r="G9" s="9">
        <v>921</v>
      </c>
      <c r="H9" s="9"/>
      <c r="I9" s="9">
        <v>2</v>
      </c>
      <c r="J9" s="9">
        <v>6894.09</v>
      </c>
      <c r="K9" s="9">
        <v>975</v>
      </c>
      <c r="L9" s="9">
        <v>9</v>
      </c>
      <c r="M9" s="9">
        <v>0</v>
      </c>
      <c r="N9" s="9"/>
      <c r="O9" s="9">
        <v>0</v>
      </c>
      <c r="P9" s="9">
        <v>0</v>
      </c>
      <c r="Q9" s="9">
        <v>1370</v>
      </c>
      <c r="R9" s="9">
        <v>0</v>
      </c>
      <c r="S9" s="9"/>
      <c r="T9" s="9">
        <v>324</v>
      </c>
      <c r="U9" s="9">
        <v>1211</v>
      </c>
      <c r="V9" s="9">
        <v>1302451.56</v>
      </c>
      <c r="W9" s="9">
        <v>174.2645</v>
      </c>
      <c r="X9">
        <f t="shared" si="0"/>
        <v>0.53785339506172836</v>
      </c>
      <c r="Y9">
        <f>VLOOKUP(A9,'Reconciliation Data'!$A$3:$M$31,13,FALSE)</f>
        <v>461</v>
      </c>
      <c r="Z9">
        <f t="shared" si="1"/>
        <v>321</v>
      </c>
      <c r="AA9">
        <f t="shared" si="2"/>
        <v>172.65093981481479</v>
      </c>
      <c r="AB9" s="5">
        <f>VLOOKUP(A9,'DRG Revenue'!$A$8:$T$36,19)</f>
        <v>0</v>
      </c>
      <c r="AC9" s="13">
        <f t="shared" si="3"/>
        <v>0</v>
      </c>
      <c r="AE9" s="5">
        <f t="shared" si="4"/>
        <v>0</v>
      </c>
    </row>
    <row r="10" spans="1:32" ht="15" x14ac:dyDescent="0.25">
      <c r="A10" t="s">
        <v>32</v>
      </c>
      <c r="B10" t="s">
        <v>33</v>
      </c>
      <c r="C10" t="s">
        <v>34</v>
      </c>
      <c r="D10" s="9">
        <v>491</v>
      </c>
      <c r="E10" s="9">
        <v>5374276.8099999996</v>
      </c>
      <c r="F10" s="9">
        <v>1050</v>
      </c>
      <c r="G10" s="9">
        <v>3448</v>
      </c>
      <c r="H10" s="9"/>
      <c r="I10" s="9">
        <v>1</v>
      </c>
      <c r="J10" s="9">
        <v>3826.7</v>
      </c>
      <c r="K10" s="9">
        <v>1050</v>
      </c>
      <c r="L10" s="9">
        <v>5</v>
      </c>
      <c r="M10" s="9">
        <v>0</v>
      </c>
      <c r="N10" s="9"/>
      <c r="O10" s="9">
        <v>41</v>
      </c>
      <c r="P10" s="9">
        <v>892338.63</v>
      </c>
      <c r="Q10" s="9">
        <v>1370</v>
      </c>
      <c r="R10" s="9">
        <v>568</v>
      </c>
      <c r="S10" s="9"/>
      <c r="T10" s="9">
        <v>3897</v>
      </c>
      <c r="U10" s="9">
        <v>15038</v>
      </c>
      <c r="V10" s="9">
        <v>23597286.32</v>
      </c>
      <c r="W10" s="9">
        <v>2575.9764</v>
      </c>
      <c r="X10">
        <f t="shared" si="0"/>
        <v>0.66101524249422638</v>
      </c>
      <c r="Y10">
        <f>VLOOKUP(A10,'Reconciliation Data'!$A$3:$M$31,13,FALSE)</f>
        <v>4321</v>
      </c>
      <c r="Z10">
        <f t="shared" si="1"/>
        <v>3788</v>
      </c>
      <c r="AA10">
        <f t="shared" si="2"/>
        <v>2503.9257385681294</v>
      </c>
      <c r="AB10" s="5">
        <f>VLOOKUP(A10,'DRG Revenue'!$A$8:$T$36,19)</f>
        <v>0</v>
      </c>
      <c r="AC10" s="13">
        <f t="shared" si="3"/>
        <v>0</v>
      </c>
      <c r="AE10" s="5">
        <f t="shared" si="4"/>
        <v>0</v>
      </c>
    </row>
    <row r="11" spans="1:32" ht="15" x14ac:dyDescent="0.25">
      <c r="A11" t="s">
        <v>35</v>
      </c>
      <c r="B11" t="s">
        <v>36</v>
      </c>
      <c r="C11" t="s">
        <v>37</v>
      </c>
      <c r="D11" s="9">
        <v>202</v>
      </c>
      <c r="E11" s="9">
        <v>1171924.32</v>
      </c>
      <c r="F11" s="9">
        <v>1125</v>
      </c>
      <c r="G11" s="9">
        <v>985</v>
      </c>
      <c r="H11" s="9"/>
      <c r="I11" s="9">
        <v>6</v>
      </c>
      <c r="J11" s="9">
        <v>18058.8</v>
      </c>
      <c r="K11" s="9">
        <v>1125</v>
      </c>
      <c r="L11" s="9">
        <v>24</v>
      </c>
      <c r="M11" s="9">
        <v>0</v>
      </c>
      <c r="N11" s="9"/>
      <c r="O11" s="9">
        <v>0</v>
      </c>
      <c r="P11" s="9">
        <v>0</v>
      </c>
      <c r="Q11" s="9">
        <v>1370</v>
      </c>
      <c r="R11" s="9">
        <v>0</v>
      </c>
      <c r="S11" s="9"/>
      <c r="T11" s="9">
        <v>651</v>
      </c>
      <c r="U11" s="9">
        <v>2193</v>
      </c>
      <c r="V11" s="9">
        <v>2607442.56</v>
      </c>
      <c r="W11" s="9">
        <v>462.2448</v>
      </c>
      <c r="X11">
        <f t="shared" si="0"/>
        <v>0.7100534562211982</v>
      </c>
      <c r="Y11">
        <f>VLOOKUP(A11,'Reconciliation Data'!$A$3:$M$31,13,FALSE)</f>
        <v>836</v>
      </c>
      <c r="Z11">
        <f t="shared" si="1"/>
        <v>628</v>
      </c>
      <c r="AA11">
        <f t="shared" si="2"/>
        <v>445.91357050691249</v>
      </c>
      <c r="AB11" s="5">
        <f>VLOOKUP(A11,'DRG Revenue'!$A$8:$T$36,19)</f>
        <v>0</v>
      </c>
      <c r="AC11" s="13">
        <f t="shared" si="3"/>
        <v>0</v>
      </c>
      <c r="AE11" s="5">
        <f t="shared" si="4"/>
        <v>0</v>
      </c>
    </row>
    <row r="12" spans="1:32" ht="15" x14ac:dyDescent="0.25">
      <c r="A12" t="s">
        <v>38</v>
      </c>
      <c r="B12" t="s">
        <v>12</v>
      </c>
      <c r="C12" t="s">
        <v>39</v>
      </c>
      <c r="D12" s="9">
        <v>9</v>
      </c>
      <c r="E12" s="9">
        <v>88172.28</v>
      </c>
      <c r="F12" s="9">
        <v>975</v>
      </c>
      <c r="G12" s="9">
        <v>54</v>
      </c>
      <c r="H12" s="9"/>
      <c r="I12" s="9">
        <v>0</v>
      </c>
      <c r="J12" s="9">
        <v>0</v>
      </c>
      <c r="K12" s="9">
        <v>975</v>
      </c>
      <c r="L12" s="9">
        <v>0</v>
      </c>
      <c r="M12" s="9">
        <v>0</v>
      </c>
      <c r="N12" s="9"/>
      <c r="O12" s="9">
        <v>0</v>
      </c>
      <c r="P12" s="9">
        <v>0</v>
      </c>
      <c r="Q12" s="9">
        <v>1370</v>
      </c>
      <c r="R12" s="9">
        <v>0</v>
      </c>
      <c r="S12" s="9"/>
      <c r="T12" s="9">
        <v>188</v>
      </c>
      <c r="U12" s="9">
        <v>910</v>
      </c>
      <c r="V12" s="9">
        <v>1487499.02</v>
      </c>
      <c r="W12" s="9">
        <v>169.4639</v>
      </c>
      <c r="X12">
        <f t="shared" si="0"/>
        <v>0.90140372340425534</v>
      </c>
      <c r="Y12">
        <f>VLOOKUP(A12,'Reconciliation Data'!$A$3:$M$31,13,FALSE)</f>
        <v>199</v>
      </c>
      <c r="Z12">
        <f t="shared" si="1"/>
        <v>190</v>
      </c>
      <c r="AA12">
        <f t="shared" si="2"/>
        <v>171.26670744680851</v>
      </c>
      <c r="AB12" s="5">
        <f>VLOOKUP(A12,'DRG Revenue'!$A$8:$T$36,19)</f>
        <v>0</v>
      </c>
      <c r="AC12" s="13">
        <f t="shared" si="3"/>
        <v>0</v>
      </c>
      <c r="AE12" s="5">
        <f t="shared" si="4"/>
        <v>0</v>
      </c>
    </row>
    <row r="13" spans="1:32" ht="15" x14ac:dyDescent="0.25">
      <c r="A13" t="s">
        <v>40</v>
      </c>
      <c r="B13" t="s">
        <v>137</v>
      </c>
      <c r="C13" t="s">
        <v>42</v>
      </c>
      <c r="D13" s="9">
        <v>8</v>
      </c>
      <c r="E13" s="9">
        <v>88516.51</v>
      </c>
      <c r="F13" s="9">
        <v>975</v>
      </c>
      <c r="G13" s="9">
        <v>47</v>
      </c>
      <c r="H13" s="9"/>
      <c r="I13" s="9">
        <v>0</v>
      </c>
      <c r="J13" s="9">
        <v>0</v>
      </c>
      <c r="K13" s="9">
        <v>975</v>
      </c>
      <c r="L13" s="9">
        <v>0</v>
      </c>
      <c r="M13" s="9">
        <v>0</v>
      </c>
      <c r="N13" s="9"/>
      <c r="O13" s="9">
        <v>0</v>
      </c>
      <c r="P13" s="9">
        <v>0</v>
      </c>
      <c r="Q13" s="9">
        <v>1370</v>
      </c>
      <c r="R13" s="9">
        <v>0</v>
      </c>
      <c r="S13" s="9"/>
      <c r="T13" s="9">
        <v>218</v>
      </c>
      <c r="U13" s="9">
        <v>685</v>
      </c>
      <c r="V13" s="9">
        <v>1288197.72</v>
      </c>
      <c r="W13" s="9">
        <v>100.4374</v>
      </c>
      <c r="X13">
        <f t="shared" si="0"/>
        <v>0.46072201834862386</v>
      </c>
      <c r="Y13">
        <f>VLOOKUP(A13,'Reconciliation Data'!$A$3:$M$31,13,FALSE)</f>
        <v>227</v>
      </c>
      <c r="Z13">
        <f t="shared" si="1"/>
        <v>219</v>
      </c>
      <c r="AA13">
        <f t="shared" si="2"/>
        <v>100.89812201834863</v>
      </c>
      <c r="AB13" s="5">
        <f>VLOOKUP(A13,'DRG Revenue'!$A$8:$T$36,19)</f>
        <v>0</v>
      </c>
      <c r="AC13" s="13">
        <f t="shared" si="3"/>
        <v>0</v>
      </c>
      <c r="AE13" s="5">
        <f t="shared" si="4"/>
        <v>0</v>
      </c>
    </row>
    <row r="14" spans="1:32" ht="15" x14ac:dyDescent="0.25">
      <c r="A14" t="s">
        <v>43</v>
      </c>
      <c r="B14" t="s">
        <v>44</v>
      </c>
      <c r="C14" t="s">
        <v>45</v>
      </c>
      <c r="D14" s="9">
        <v>302</v>
      </c>
      <c r="E14" s="9">
        <v>2553027.4</v>
      </c>
      <c r="F14" s="9">
        <v>975</v>
      </c>
      <c r="G14" s="9">
        <v>1734</v>
      </c>
      <c r="H14" s="9"/>
      <c r="I14" s="9">
        <v>4</v>
      </c>
      <c r="J14" s="9">
        <v>21449.3</v>
      </c>
      <c r="K14" s="9">
        <v>975</v>
      </c>
      <c r="L14" s="9">
        <v>32</v>
      </c>
      <c r="M14" s="9">
        <v>0</v>
      </c>
      <c r="N14" s="9"/>
      <c r="O14" s="9">
        <v>0</v>
      </c>
      <c r="P14" s="9">
        <v>0</v>
      </c>
      <c r="Q14" s="9">
        <v>1370</v>
      </c>
      <c r="R14" s="9">
        <v>0</v>
      </c>
      <c r="S14" s="9"/>
      <c r="T14" s="9">
        <v>2159</v>
      </c>
      <c r="U14" s="9">
        <v>7723</v>
      </c>
      <c r="V14" s="9">
        <v>11649883</v>
      </c>
      <c r="W14" s="9">
        <v>1564.9445000000001</v>
      </c>
      <c r="X14">
        <f t="shared" si="0"/>
        <v>0.72484691987031036</v>
      </c>
      <c r="Y14">
        <f>VLOOKUP(A14,'Reconciliation Data'!$A$3:$M$31,13,FALSE)</f>
        <v>2451</v>
      </c>
      <c r="Z14">
        <f t="shared" si="1"/>
        <v>2145</v>
      </c>
      <c r="AA14">
        <f t="shared" si="2"/>
        <v>1554.7966431218158</v>
      </c>
      <c r="AB14" s="5">
        <f>VLOOKUP(A14,'DRG Revenue'!$A$8:$T$36,19)</f>
        <v>0</v>
      </c>
      <c r="AC14" s="13">
        <f t="shared" si="3"/>
        <v>0</v>
      </c>
      <c r="AE14" s="5">
        <f t="shared" si="4"/>
        <v>0</v>
      </c>
    </row>
    <row r="15" spans="1:32" ht="15" x14ac:dyDescent="0.25">
      <c r="A15" t="s">
        <v>46</v>
      </c>
      <c r="B15" t="s">
        <v>47</v>
      </c>
      <c r="C15" t="s">
        <v>48</v>
      </c>
      <c r="D15" s="9">
        <v>142</v>
      </c>
      <c r="E15" s="9">
        <v>1473080.09</v>
      </c>
      <c r="F15" s="9">
        <v>975</v>
      </c>
      <c r="G15" s="9">
        <v>1144</v>
      </c>
      <c r="H15" s="9"/>
      <c r="I15" s="9">
        <v>1</v>
      </c>
      <c r="J15" s="9">
        <v>3310.96</v>
      </c>
      <c r="K15" s="9">
        <v>975</v>
      </c>
      <c r="L15" s="9">
        <v>4</v>
      </c>
      <c r="M15" s="9">
        <v>0</v>
      </c>
      <c r="N15" s="9"/>
      <c r="O15" s="9">
        <v>0</v>
      </c>
      <c r="P15" s="9">
        <v>0</v>
      </c>
      <c r="Q15" s="9">
        <v>1370</v>
      </c>
      <c r="R15" s="9">
        <v>0</v>
      </c>
      <c r="S15" s="9"/>
      <c r="T15" s="9">
        <v>1576</v>
      </c>
      <c r="U15" s="9">
        <v>5279</v>
      </c>
      <c r="V15" s="9">
        <v>6839023.2800000003</v>
      </c>
      <c r="W15" s="9">
        <v>922.98779999999999</v>
      </c>
      <c r="X15">
        <f t="shared" si="0"/>
        <v>0.5856521573604061</v>
      </c>
      <c r="Y15">
        <f>VLOOKUP(A15,'Reconciliation Data'!$A$3:$M$31,13,FALSE)</f>
        <v>1714</v>
      </c>
      <c r="Z15">
        <f t="shared" si="1"/>
        <v>1571</v>
      </c>
      <c r="AA15">
        <f t="shared" si="2"/>
        <v>920.05953921319804</v>
      </c>
      <c r="AB15" s="5">
        <f>VLOOKUP(A15,'DRG Revenue'!$A$8:$T$36,19)</f>
        <v>0</v>
      </c>
      <c r="AC15" s="13">
        <f t="shared" si="3"/>
        <v>0</v>
      </c>
      <c r="AE15" s="5">
        <f t="shared" si="4"/>
        <v>0</v>
      </c>
    </row>
    <row r="16" spans="1:32" ht="15" x14ac:dyDescent="0.25">
      <c r="A16" t="s">
        <v>49</v>
      </c>
      <c r="B16" t="s">
        <v>50</v>
      </c>
      <c r="C16" t="s">
        <v>51</v>
      </c>
      <c r="D16" s="9">
        <v>39</v>
      </c>
      <c r="E16" s="9">
        <v>297384.39</v>
      </c>
      <c r="F16" s="9">
        <v>975</v>
      </c>
      <c r="G16" s="9">
        <v>176</v>
      </c>
      <c r="H16" s="9"/>
      <c r="I16" s="9">
        <v>0</v>
      </c>
      <c r="J16" s="9">
        <v>0</v>
      </c>
      <c r="K16" s="9">
        <v>975</v>
      </c>
      <c r="L16" s="9">
        <v>0</v>
      </c>
      <c r="M16" s="9">
        <v>0</v>
      </c>
      <c r="N16" s="9"/>
      <c r="O16" s="9">
        <v>0</v>
      </c>
      <c r="P16" s="9">
        <v>0</v>
      </c>
      <c r="Q16" s="9">
        <v>1370</v>
      </c>
      <c r="R16" s="9">
        <v>0</v>
      </c>
      <c r="S16" s="9"/>
      <c r="T16" s="9">
        <v>325</v>
      </c>
      <c r="U16" s="9">
        <v>1366</v>
      </c>
      <c r="V16" s="9">
        <v>2373857.85</v>
      </c>
      <c r="W16" s="9">
        <v>217.66040000000001</v>
      </c>
      <c r="X16">
        <f t="shared" si="0"/>
        <v>0.66972430769230773</v>
      </c>
      <c r="Y16">
        <f>VLOOKUP(A16,'Reconciliation Data'!$A$3:$M$31,13,FALSE)</f>
        <v>371</v>
      </c>
      <c r="Z16">
        <f t="shared" si="1"/>
        <v>332</v>
      </c>
      <c r="AA16">
        <f t="shared" si="2"/>
        <v>222.34847015384616</v>
      </c>
      <c r="AB16" s="5">
        <f>VLOOKUP(A16,'DRG Revenue'!$A$8:$T$36,19)</f>
        <v>0</v>
      </c>
      <c r="AC16" s="13">
        <f t="shared" si="3"/>
        <v>0</v>
      </c>
      <c r="AE16" s="5">
        <f t="shared" si="4"/>
        <v>0</v>
      </c>
    </row>
    <row r="17" spans="1:31" ht="15" x14ac:dyDescent="0.25">
      <c r="A17" t="s">
        <v>52</v>
      </c>
      <c r="B17" t="s">
        <v>53</v>
      </c>
      <c r="C17" t="s">
        <v>54</v>
      </c>
      <c r="D17" s="9">
        <v>6</v>
      </c>
      <c r="E17" s="9">
        <v>70165.5</v>
      </c>
      <c r="F17" s="9">
        <v>975</v>
      </c>
      <c r="G17" s="9">
        <v>50</v>
      </c>
      <c r="H17" s="9"/>
      <c r="I17" s="9">
        <v>0</v>
      </c>
      <c r="J17" s="9">
        <v>0</v>
      </c>
      <c r="K17" s="9">
        <v>975</v>
      </c>
      <c r="L17" s="9">
        <v>0</v>
      </c>
      <c r="M17" s="9">
        <v>0</v>
      </c>
      <c r="N17" s="9"/>
      <c r="O17" s="9">
        <v>0</v>
      </c>
      <c r="P17" s="9">
        <v>0</v>
      </c>
      <c r="Q17" s="9">
        <v>1370</v>
      </c>
      <c r="R17" s="9">
        <v>0</v>
      </c>
      <c r="S17" s="9"/>
      <c r="T17" s="9">
        <v>214</v>
      </c>
      <c r="U17" s="9">
        <v>743</v>
      </c>
      <c r="V17" s="9">
        <v>1042659.33</v>
      </c>
      <c r="W17" s="9">
        <v>155.542</v>
      </c>
      <c r="X17">
        <f t="shared" si="0"/>
        <v>0.7268317757009346</v>
      </c>
      <c r="Y17">
        <f>VLOOKUP(A17,'Reconciliation Data'!$A$3:$M$31,13,FALSE)</f>
        <v>219</v>
      </c>
      <c r="Z17">
        <f t="shared" si="1"/>
        <v>213</v>
      </c>
      <c r="AA17">
        <f t="shared" si="2"/>
        <v>154.81516822429907</v>
      </c>
      <c r="AB17" s="5">
        <f>VLOOKUP(A17,'DRG Revenue'!$A$8:$T$36,19)</f>
        <v>0</v>
      </c>
      <c r="AC17" s="13">
        <f t="shared" si="3"/>
        <v>0</v>
      </c>
      <c r="AE17" s="5">
        <f t="shared" si="4"/>
        <v>0</v>
      </c>
    </row>
    <row r="18" spans="1:31" ht="15" x14ac:dyDescent="0.25">
      <c r="A18" t="s">
        <v>55</v>
      </c>
      <c r="B18" t="s">
        <v>56</v>
      </c>
      <c r="C18" t="s">
        <v>57</v>
      </c>
      <c r="D18" s="9">
        <v>297</v>
      </c>
      <c r="E18" s="9">
        <v>2681250.4</v>
      </c>
      <c r="F18" s="9">
        <v>1125</v>
      </c>
      <c r="G18" s="9">
        <v>1919</v>
      </c>
      <c r="H18" s="9"/>
      <c r="I18" s="9">
        <v>2</v>
      </c>
      <c r="J18" s="9">
        <v>8543.3700000000008</v>
      </c>
      <c r="K18" s="9">
        <v>1125</v>
      </c>
      <c r="L18" s="9">
        <v>11</v>
      </c>
      <c r="M18" s="9">
        <v>0</v>
      </c>
      <c r="N18" s="9"/>
      <c r="O18" s="9">
        <v>0</v>
      </c>
      <c r="P18" s="9">
        <v>0</v>
      </c>
      <c r="Q18" s="9">
        <v>1370</v>
      </c>
      <c r="R18" s="9">
        <v>0</v>
      </c>
      <c r="S18" s="9"/>
      <c r="T18" s="9">
        <v>1530</v>
      </c>
      <c r="U18" s="9">
        <v>5501</v>
      </c>
      <c r="V18" s="9">
        <v>7698099.4000000004</v>
      </c>
      <c r="W18" s="9">
        <v>966.01340000000005</v>
      </c>
      <c r="X18">
        <f t="shared" si="0"/>
        <v>0.63138130718954255</v>
      </c>
      <c r="Y18">
        <f>VLOOKUP(A18,'Reconciliation Data'!$A$3:$M$31,13,FALSE)</f>
        <v>1794</v>
      </c>
      <c r="Z18">
        <f t="shared" si="1"/>
        <v>1495</v>
      </c>
      <c r="AA18">
        <f t="shared" si="2"/>
        <v>943.91505424836612</v>
      </c>
      <c r="AB18" s="5">
        <f>VLOOKUP(A18,'DRG Revenue'!$A$8:$T$36,19)</f>
        <v>0</v>
      </c>
      <c r="AC18" s="13">
        <f t="shared" si="3"/>
        <v>0</v>
      </c>
      <c r="AE18" s="5">
        <f t="shared" si="4"/>
        <v>0</v>
      </c>
    </row>
    <row r="19" spans="1:31" ht="15" x14ac:dyDescent="0.25">
      <c r="A19" t="s">
        <v>58</v>
      </c>
      <c r="B19" t="s">
        <v>59</v>
      </c>
      <c r="C19" t="s">
        <v>60</v>
      </c>
      <c r="D19" s="9">
        <v>4</v>
      </c>
      <c r="E19" s="9">
        <v>25748.23</v>
      </c>
      <c r="F19" s="9">
        <v>975</v>
      </c>
      <c r="G19" s="9">
        <v>19</v>
      </c>
      <c r="H19" s="9"/>
      <c r="I19" s="9">
        <v>0</v>
      </c>
      <c r="J19" s="9">
        <v>0</v>
      </c>
      <c r="K19" s="9">
        <v>975</v>
      </c>
      <c r="L19" s="9">
        <v>0</v>
      </c>
      <c r="M19" s="9">
        <v>0</v>
      </c>
      <c r="N19" s="9"/>
      <c r="O19" s="9">
        <v>0</v>
      </c>
      <c r="P19" s="9">
        <v>0</v>
      </c>
      <c r="Q19" s="9">
        <v>1370</v>
      </c>
      <c r="R19" s="9">
        <v>0</v>
      </c>
      <c r="S19" s="9"/>
      <c r="T19" s="9">
        <v>735</v>
      </c>
      <c r="U19" s="9">
        <v>2328</v>
      </c>
      <c r="V19" s="9">
        <v>3154835.76</v>
      </c>
      <c r="W19" s="9">
        <v>414.96929999999998</v>
      </c>
      <c r="X19">
        <f t="shared" si="0"/>
        <v>0.56458408163265306</v>
      </c>
      <c r="Y19">
        <f>VLOOKUP(A19,'Reconciliation Data'!$A$3:$M$31,13,FALSE)</f>
        <v>737</v>
      </c>
      <c r="Z19">
        <f t="shared" si="1"/>
        <v>733</v>
      </c>
      <c r="AA19">
        <f t="shared" si="2"/>
        <v>413.84013183673471</v>
      </c>
      <c r="AB19" s="5">
        <f>VLOOKUP(A19,'DRG Revenue'!$A$8:$T$36,19)</f>
        <v>0</v>
      </c>
      <c r="AC19" s="13">
        <f t="shared" si="3"/>
        <v>0</v>
      </c>
      <c r="AE19" s="5">
        <f t="shared" si="4"/>
        <v>0</v>
      </c>
    </row>
    <row r="20" spans="1:31" ht="15" x14ac:dyDescent="0.25">
      <c r="A20" t="s">
        <v>61</v>
      </c>
      <c r="B20" t="s">
        <v>10</v>
      </c>
      <c r="C20" t="s">
        <v>62</v>
      </c>
      <c r="D20" s="9">
        <v>1460</v>
      </c>
      <c r="E20" s="9">
        <v>17168352.77</v>
      </c>
      <c r="F20" s="9">
        <v>1050</v>
      </c>
      <c r="G20" s="9">
        <v>11621</v>
      </c>
      <c r="H20" s="9"/>
      <c r="I20" s="9">
        <v>626</v>
      </c>
      <c r="J20" s="9">
        <v>5618055.5099999998</v>
      </c>
      <c r="K20" s="9">
        <v>1050</v>
      </c>
      <c r="L20" s="9">
        <v>5910</v>
      </c>
      <c r="M20" s="9">
        <v>258</v>
      </c>
      <c r="N20" s="9"/>
      <c r="O20" s="9">
        <v>1</v>
      </c>
      <c r="P20" s="9">
        <v>9534.48</v>
      </c>
      <c r="Q20" s="9">
        <v>1370</v>
      </c>
      <c r="R20" s="9">
        <v>6</v>
      </c>
      <c r="S20" s="9"/>
      <c r="T20" s="9">
        <v>14114</v>
      </c>
      <c r="U20" s="9">
        <v>65670</v>
      </c>
      <c r="V20" s="9">
        <v>97269501.650000006</v>
      </c>
      <c r="W20" s="9">
        <v>12062.6968</v>
      </c>
      <c r="X20">
        <f t="shared" si="0"/>
        <v>0.85466181096783334</v>
      </c>
      <c r="Y20">
        <f>VLOOKUP(A20,'Reconciliation Data'!$A$3:$M$31,13,FALSE)</f>
        <v>15306</v>
      </c>
      <c r="Z20">
        <f t="shared" si="1"/>
        <v>13219</v>
      </c>
      <c r="AA20">
        <f t="shared" si="2"/>
        <v>11297.774479183789</v>
      </c>
      <c r="AB20" s="5">
        <f>VLOOKUP(A20,'DRG Revenue'!$A$8:$T$36,19)</f>
        <v>0</v>
      </c>
      <c r="AC20" s="13">
        <f t="shared" si="3"/>
        <v>0</v>
      </c>
      <c r="AE20" s="5">
        <f t="shared" si="4"/>
        <v>0</v>
      </c>
    </row>
    <row r="21" spans="1:31" ht="15" x14ac:dyDescent="0.25">
      <c r="A21" t="s">
        <v>63</v>
      </c>
      <c r="B21" t="s">
        <v>64</v>
      </c>
      <c r="C21" t="s">
        <v>65</v>
      </c>
      <c r="D21" s="9">
        <v>193</v>
      </c>
      <c r="E21" s="9">
        <v>1883251.84</v>
      </c>
      <c r="F21" s="9">
        <v>975</v>
      </c>
      <c r="G21" s="9">
        <v>1437</v>
      </c>
      <c r="H21" s="9"/>
      <c r="I21" s="9">
        <v>4</v>
      </c>
      <c r="J21" s="9">
        <v>15588.94</v>
      </c>
      <c r="K21" s="9">
        <v>975</v>
      </c>
      <c r="L21" s="9">
        <v>23</v>
      </c>
      <c r="M21" s="9">
        <v>0</v>
      </c>
      <c r="N21" s="9"/>
      <c r="O21" s="9">
        <v>0</v>
      </c>
      <c r="P21" s="9">
        <v>0</v>
      </c>
      <c r="Q21" s="9">
        <v>1370</v>
      </c>
      <c r="R21" s="9">
        <v>0</v>
      </c>
      <c r="S21" s="9"/>
      <c r="T21" s="9">
        <v>1566</v>
      </c>
      <c r="U21" s="9">
        <v>5063</v>
      </c>
      <c r="V21" s="9">
        <v>6661082.7999999998</v>
      </c>
      <c r="W21" s="9">
        <v>1052.1275000000001</v>
      </c>
      <c r="X21">
        <f t="shared" si="0"/>
        <v>0.67185664112388255</v>
      </c>
      <c r="Y21">
        <f>VLOOKUP(A21,'Reconciliation Data'!$A$3:$M$31,13,FALSE)</f>
        <v>1753</v>
      </c>
      <c r="Z21">
        <f t="shared" si="1"/>
        <v>1556</v>
      </c>
      <c r="AA21">
        <f t="shared" si="2"/>
        <v>1045.4089335887613</v>
      </c>
      <c r="AB21" s="5">
        <f>VLOOKUP(A21,'DRG Revenue'!$A$8:$T$36,19)</f>
        <v>0</v>
      </c>
      <c r="AC21" s="13">
        <f t="shared" si="3"/>
        <v>0</v>
      </c>
      <c r="AE21" s="5">
        <f t="shared" si="4"/>
        <v>0</v>
      </c>
    </row>
    <row r="22" spans="1:31" ht="15" x14ac:dyDescent="0.25">
      <c r="A22" t="s">
        <v>66</v>
      </c>
      <c r="B22" t="s">
        <v>67</v>
      </c>
      <c r="C22" t="s">
        <v>68</v>
      </c>
      <c r="D22" s="9">
        <v>984</v>
      </c>
      <c r="E22" s="9">
        <v>13547333.800000001</v>
      </c>
      <c r="F22" s="9">
        <v>1050</v>
      </c>
      <c r="G22" s="9">
        <v>8642</v>
      </c>
      <c r="H22" s="9"/>
      <c r="I22" s="9">
        <v>523</v>
      </c>
      <c r="J22" s="9">
        <v>2821379.25</v>
      </c>
      <c r="K22" s="9">
        <v>1050</v>
      </c>
      <c r="L22" s="9">
        <v>2981</v>
      </c>
      <c r="M22" s="9">
        <v>110</v>
      </c>
      <c r="N22" s="9"/>
      <c r="O22" s="9">
        <v>0</v>
      </c>
      <c r="P22" s="9">
        <v>0</v>
      </c>
      <c r="Q22" s="9">
        <v>1370</v>
      </c>
      <c r="R22" s="9">
        <v>0</v>
      </c>
      <c r="S22" s="9"/>
      <c r="T22" s="9">
        <v>5196</v>
      </c>
      <c r="U22" s="9">
        <v>24230</v>
      </c>
      <c r="V22" s="9">
        <v>38299270.549999997</v>
      </c>
      <c r="W22" s="9">
        <v>4921.5910999999996</v>
      </c>
      <c r="X22">
        <f t="shared" si="0"/>
        <v>0.94718843341031556</v>
      </c>
      <c r="Y22">
        <f>VLOOKUP(A22,'Reconciliation Data'!$A$3:$M$31,13,FALSE)</f>
        <v>6186</v>
      </c>
      <c r="Z22">
        <f t="shared" si="1"/>
        <v>4679</v>
      </c>
      <c r="AA22">
        <f t="shared" si="2"/>
        <v>4431.894679926866</v>
      </c>
      <c r="AB22" s="5">
        <f>VLOOKUP(A22,'DRG Revenue'!$A$8:$T$36,19)</f>
        <v>0</v>
      </c>
      <c r="AC22" s="13">
        <f t="shared" si="3"/>
        <v>0</v>
      </c>
      <c r="AE22" s="5">
        <f t="shared" si="4"/>
        <v>0</v>
      </c>
    </row>
    <row r="23" spans="1:31" ht="15" x14ac:dyDescent="0.25">
      <c r="A23" t="s">
        <v>69</v>
      </c>
      <c r="B23" t="s">
        <v>70</v>
      </c>
      <c r="C23" t="s">
        <v>71</v>
      </c>
      <c r="D23" s="9">
        <v>382</v>
      </c>
      <c r="E23" s="9">
        <v>2942019.36</v>
      </c>
      <c r="F23" s="9">
        <v>975</v>
      </c>
      <c r="G23" s="9">
        <v>2523</v>
      </c>
      <c r="H23" s="9"/>
      <c r="I23" s="9">
        <v>86</v>
      </c>
      <c r="J23" s="9">
        <v>416341.52</v>
      </c>
      <c r="K23" s="9">
        <v>975</v>
      </c>
      <c r="L23" s="9">
        <v>576</v>
      </c>
      <c r="M23" s="9">
        <v>0</v>
      </c>
      <c r="N23" s="9"/>
      <c r="O23" s="9">
        <v>0</v>
      </c>
      <c r="P23" s="9">
        <v>0</v>
      </c>
      <c r="Q23" s="9">
        <v>1370</v>
      </c>
      <c r="R23" s="9">
        <v>0</v>
      </c>
      <c r="S23" s="9"/>
      <c r="T23" s="9">
        <v>1093</v>
      </c>
      <c r="U23" s="9">
        <v>4266</v>
      </c>
      <c r="V23" s="9">
        <v>5007169.4400000004</v>
      </c>
      <c r="W23" s="9">
        <v>634.18740000000003</v>
      </c>
      <c r="X23">
        <f t="shared" si="0"/>
        <v>0.58022634949679786</v>
      </c>
      <c r="Y23">
        <f>VLOOKUP(A23,'Reconciliation Data'!$A$3:$M$31,13,FALSE)</f>
        <v>1458</v>
      </c>
      <c r="Z23">
        <f t="shared" si="1"/>
        <v>990</v>
      </c>
      <c r="AA23">
        <f t="shared" si="2"/>
        <v>574.42408600182989</v>
      </c>
      <c r="AB23" s="5">
        <f>VLOOKUP(A23,'DRG Revenue'!$A$8:$T$36,19)</f>
        <v>0</v>
      </c>
      <c r="AC23" s="13">
        <f t="shared" si="3"/>
        <v>0</v>
      </c>
      <c r="AE23" s="5">
        <f t="shared" si="4"/>
        <v>0</v>
      </c>
    </row>
    <row r="24" spans="1:31" x14ac:dyDescent="0.3">
      <c r="A24" t="s">
        <v>72</v>
      </c>
      <c r="B24" t="s">
        <v>73</v>
      </c>
      <c r="C24" t="s">
        <v>74</v>
      </c>
      <c r="D24" s="9">
        <v>795</v>
      </c>
      <c r="E24" s="9">
        <v>6702160.2400000002</v>
      </c>
      <c r="F24" s="9">
        <v>975</v>
      </c>
      <c r="G24" s="9">
        <v>6494</v>
      </c>
      <c r="H24" s="9"/>
      <c r="I24" s="9">
        <v>200</v>
      </c>
      <c r="J24" s="9">
        <v>2101085.9</v>
      </c>
      <c r="K24" s="9">
        <v>975</v>
      </c>
      <c r="L24" s="9">
        <v>2510</v>
      </c>
      <c r="M24" s="9">
        <v>157</v>
      </c>
      <c r="N24" s="9"/>
      <c r="O24" s="9">
        <v>14</v>
      </c>
      <c r="P24" s="9">
        <v>322586.56</v>
      </c>
      <c r="Q24" s="9">
        <v>1370</v>
      </c>
      <c r="R24" s="9">
        <v>304</v>
      </c>
      <c r="S24" s="9"/>
      <c r="T24" s="9">
        <v>2722</v>
      </c>
      <c r="U24" s="9">
        <v>10562</v>
      </c>
      <c r="V24" s="9">
        <v>11240656.02</v>
      </c>
      <c r="W24" s="9">
        <v>2072.3993</v>
      </c>
      <c r="X24">
        <f t="shared" si="0"/>
        <v>0.76135168993387214</v>
      </c>
      <c r="Y24">
        <f>VLOOKUP(A24,'Reconciliation Data'!$A$3:$M$31,13,FALSE)</f>
        <v>3501</v>
      </c>
      <c r="Z24">
        <f t="shared" si="1"/>
        <v>2492</v>
      </c>
      <c r="AA24">
        <f t="shared" si="2"/>
        <v>1897.2884113152095</v>
      </c>
      <c r="AB24" s="5">
        <f>VLOOKUP(A24,'DRG Revenue'!$A$8:$T$36,19)</f>
        <v>0</v>
      </c>
      <c r="AC24" s="13">
        <f t="shared" si="3"/>
        <v>0</v>
      </c>
      <c r="AE24" s="5">
        <f t="shared" si="4"/>
        <v>0</v>
      </c>
    </row>
    <row r="25" spans="1:31" x14ac:dyDescent="0.3">
      <c r="A25" t="s">
        <v>75</v>
      </c>
      <c r="B25" t="s">
        <v>76</v>
      </c>
      <c r="C25" t="s">
        <v>77</v>
      </c>
      <c r="D25" s="9">
        <v>352</v>
      </c>
      <c r="E25" s="9">
        <v>1805634.4</v>
      </c>
      <c r="F25" s="9">
        <v>975</v>
      </c>
      <c r="G25" s="9">
        <v>1578</v>
      </c>
      <c r="H25" s="9"/>
      <c r="I25" s="9">
        <v>6</v>
      </c>
      <c r="J25" s="9">
        <v>15152.34</v>
      </c>
      <c r="K25" s="9">
        <v>975</v>
      </c>
      <c r="L25" s="9">
        <v>22</v>
      </c>
      <c r="M25" s="9">
        <v>0</v>
      </c>
      <c r="N25" s="9"/>
      <c r="O25" s="9">
        <v>0</v>
      </c>
      <c r="P25" s="9">
        <v>0</v>
      </c>
      <c r="Q25" s="9">
        <v>1370</v>
      </c>
      <c r="R25" s="9">
        <v>0</v>
      </c>
      <c r="S25" s="9"/>
      <c r="T25" s="9">
        <v>859</v>
      </c>
      <c r="U25" s="9">
        <v>2890</v>
      </c>
      <c r="V25" s="9">
        <v>3313598.72</v>
      </c>
      <c r="W25" s="9">
        <v>516.65539999999999</v>
      </c>
      <c r="X25">
        <f t="shared" si="0"/>
        <v>0.60146146682188595</v>
      </c>
      <c r="Y25">
        <f>VLOOKUP(A25,'Reconciliation Data'!$A$3:$M$31,13,FALSE)</f>
        <v>1198</v>
      </c>
      <c r="Z25">
        <f t="shared" si="1"/>
        <v>840</v>
      </c>
      <c r="AA25">
        <f t="shared" si="2"/>
        <v>505.22763213038422</v>
      </c>
      <c r="AB25" s="5">
        <f>VLOOKUP(A25,'DRG Revenue'!$A$8:$T$36,19)</f>
        <v>0</v>
      </c>
      <c r="AC25" s="13">
        <f t="shared" si="3"/>
        <v>0</v>
      </c>
      <c r="AE25" s="5">
        <f t="shared" si="4"/>
        <v>0</v>
      </c>
    </row>
    <row r="26" spans="1:31" x14ac:dyDescent="0.3">
      <c r="A26" t="s">
        <v>78</v>
      </c>
      <c r="B26" t="s">
        <v>79</v>
      </c>
      <c r="C26" t="s">
        <v>80</v>
      </c>
      <c r="D26" s="9">
        <v>148</v>
      </c>
      <c r="E26" s="9">
        <v>1075472.6399999999</v>
      </c>
      <c r="F26" s="9">
        <v>975</v>
      </c>
      <c r="G26" s="9">
        <v>895</v>
      </c>
      <c r="H26" s="9"/>
      <c r="I26" s="9">
        <v>2</v>
      </c>
      <c r="J26" s="9">
        <v>7280.8</v>
      </c>
      <c r="K26" s="9">
        <v>975</v>
      </c>
      <c r="L26" s="9">
        <v>10</v>
      </c>
      <c r="M26" s="9">
        <v>0</v>
      </c>
      <c r="N26" s="9"/>
      <c r="O26" s="9">
        <v>0</v>
      </c>
      <c r="P26" s="9">
        <v>0</v>
      </c>
      <c r="Q26" s="9">
        <v>1370</v>
      </c>
      <c r="R26" s="9">
        <v>0</v>
      </c>
      <c r="S26" s="9"/>
      <c r="T26" s="9">
        <v>850</v>
      </c>
      <c r="U26" s="9">
        <v>2794</v>
      </c>
      <c r="V26" s="9">
        <v>3366434.56</v>
      </c>
      <c r="W26" s="9">
        <v>451.57400000000001</v>
      </c>
      <c r="X26">
        <f t="shared" si="0"/>
        <v>0.53126352941176469</v>
      </c>
      <c r="Y26">
        <f>VLOOKUP(A26,'Reconciliation Data'!$A$3:$M$31,13,FALSE)</f>
        <v>988</v>
      </c>
      <c r="Z26">
        <f t="shared" si="1"/>
        <v>838</v>
      </c>
      <c r="AA26">
        <f t="shared" si="2"/>
        <v>445.19883764705884</v>
      </c>
      <c r="AB26" s="5">
        <f>VLOOKUP(A26,'DRG Revenue'!$A$8:$T$36,19)</f>
        <v>0</v>
      </c>
      <c r="AC26" s="13">
        <f t="shared" si="3"/>
        <v>0</v>
      </c>
      <c r="AE26" s="5">
        <f t="shared" si="4"/>
        <v>0</v>
      </c>
    </row>
    <row r="27" spans="1:31" x14ac:dyDescent="0.3">
      <c r="A27" t="s">
        <v>81</v>
      </c>
      <c r="B27" t="s">
        <v>41</v>
      </c>
      <c r="C27" t="s">
        <v>82</v>
      </c>
      <c r="D27" s="9">
        <v>225</v>
      </c>
      <c r="E27" s="9">
        <v>2195131.4</v>
      </c>
      <c r="F27" s="9">
        <v>975</v>
      </c>
      <c r="G27" s="9">
        <v>1723</v>
      </c>
      <c r="H27" s="9"/>
      <c r="I27" s="9">
        <v>4</v>
      </c>
      <c r="J27" s="9">
        <v>31171.56</v>
      </c>
      <c r="K27" s="9">
        <v>975</v>
      </c>
      <c r="L27" s="9">
        <v>42</v>
      </c>
      <c r="M27" s="9">
        <v>0</v>
      </c>
      <c r="N27" s="9"/>
      <c r="O27" s="9">
        <v>20</v>
      </c>
      <c r="P27" s="9">
        <v>409587.20000000001</v>
      </c>
      <c r="Q27" s="9">
        <v>1370</v>
      </c>
      <c r="R27" s="9">
        <v>319</v>
      </c>
      <c r="S27" s="9"/>
      <c r="T27" s="9">
        <v>2228</v>
      </c>
      <c r="U27" s="9">
        <v>8756</v>
      </c>
      <c r="V27" s="9">
        <v>11244448.6</v>
      </c>
      <c r="W27" s="9">
        <v>1387.0888</v>
      </c>
      <c r="X27">
        <f t="shared" si="0"/>
        <v>0.62257127468581686</v>
      </c>
      <c r="Y27">
        <f>VLOOKUP(A27,'Reconciliation Data'!$A$3:$M$31,13,FALSE)</f>
        <v>2474</v>
      </c>
      <c r="Z27">
        <f t="shared" si="1"/>
        <v>2225</v>
      </c>
      <c r="AA27">
        <f t="shared" si="2"/>
        <v>1385.2210861759424</v>
      </c>
      <c r="AB27" s="5">
        <f>VLOOKUP(A27,'DRG Revenue'!$A$8:$T$36,19)</f>
        <v>0</v>
      </c>
      <c r="AC27" s="13">
        <f t="shared" si="3"/>
        <v>0</v>
      </c>
      <c r="AE27" s="5">
        <f t="shared" si="4"/>
        <v>0</v>
      </c>
    </row>
    <row r="28" spans="1:31" x14ac:dyDescent="0.3">
      <c r="A28" t="s">
        <v>83</v>
      </c>
      <c r="B28" t="s">
        <v>84</v>
      </c>
      <c r="C28" t="s">
        <v>85</v>
      </c>
      <c r="D28" s="9">
        <v>195</v>
      </c>
      <c r="E28" s="9">
        <v>1736969.66</v>
      </c>
      <c r="F28" s="9">
        <v>1125</v>
      </c>
      <c r="G28" s="9">
        <v>1017</v>
      </c>
      <c r="H28" s="9"/>
      <c r="I28" s="9">
        <v>2</v>
      </c>
      <c r="J28" s="9">
        <v>11782.65</v>
      </c>
      <c r="K28" s="9">
        <v>1125</v>
      </c>
      <c r="L28" s="9">
        <v>15</v>
      </c>
      <c r="M28" s="9">
        <v>0</v>
      </c>
      <c r="N28" s="9"/>
      <c r="O28" s="9">
        <v>6</v>
      </c>
      <c r="P28" s="9">
        <v>229639.13</v>
      </c>
      <c r="Q28" s="9">
        <v>1370</v>
      </c>
      <c r="R28" s="9">
        <v>133</v>
      </c>
      <c r="S28" s="9"/>
      <c r="T28" s="9">
        <v>2113</v>
      </c>
      <c r="U28" s="9">
        <v>7294</v>
      </c>
      <c r="V28" s="9">
        <v>12602526.390000001</v>
      </c>
      <c r="W28" s="9">
        <v>1194.6635000000001</v>
      </c>
      <c r="X28">
        <f t="shared" si="0"/>
        <v>0.56538736393752964</v>
      </c>
      <c r="Y28">
        <f>VLOOKUP(A28,'Reconciliation Data'!$A$3:$M$31,13,FALSE)</f>
        <v>2318</v>
      </c>
      <c r="Z28">
        <f t="shared" si="1"/>
        <v>2115</v>
      </c>
      <c r="AA28">
        <f t="shared" si="2"/>
        <v>1195.7942747278753</v>
      </c>
      <c r="AB28" s="5">
        <f>VLOOKUP(A28,'DRG Revenue'!$A$8:$T$36,19)</f>
        <v>0</v>
      </c>
      <c r="AC28" s="13">
        <f t="shared" si="3"/>
        <v>0</v>
      </c>
      <c r="AE28" s="5">
        <f t="shared" si="4"/>
        <v>0</v>
      </c>
    </row>
    <row r="29" spans="1:31" x14ac:dyDescent="0.3">
      <c r="A29" t="s">
        <v>86</v>
      </c>
      <c r="B29" t="s">
        <v>87</v>
      </c>
      <c r="C29" t="s">
        <v>88</v>
      </c>
      <c r="D29" s="9">
        <v>348</v>
      </c>
      <c r="E29" s="9">
        <v>3810219.67</v>
      </c>
      <c r="F29" s="9">
        <v>975</v>
      </c>
      <c r="G29" s="9">
        <v>2706</v>
      </c>
      <c r="H29" s="9"/>
      <c r="I29" s="9">
        <v>9</v>
      </c>
      <c r="J29" s="9">
        <v>39712.14</v>
      </c>
      <c r="K29" s="9">
        <v>975</v>
      </c>
      <c r="L29" s="9">
        <v>54</v>
      </c>
      <c r="M29" s="9">
        <v>0</v>
      </c>
      <c r="N29" s="9"/>
      <c r="O29" s="9">
        <v>0</v>
      </c>
      <c r="P29" s="9">
        <v>0</v>
      </c>
      <c r="Q29" s="9">
        <v>1370</v>
      </c>
      <c r="R29" s="9">
        <v>0</v>
      </c>
      <c r="S29" s="9"/>
      <c r="T29" s="9">
        <v>3008</v>
      </c>
      <c r="U29" s="9">
        <v>10754</v>
      </c>
      <c r="V29" s="9">
        <v>15177398.529999999</v>
      </c>
      <c r="W29" s="9">
        <v>1935.2213999999999</v>
      </c>
      <c r="X29">
        <f t="shared" si="0"/>
        <v>0.64335817819148933</v>
      </c>
      <c r="Y29">
        <f>VLOOKUP(A29,'Reconciliation Data'!$A$3:$M$31,13,FALSE)</f>
        <v>3325</v>
      </c>
      <c r="Z29">
        <f t="shared" si="1"/>
        <v>2968</v>
      </c>
      <c r="AA29">
        <f t="shared" si="2"/>
        <v>1909.4870728723404</v>
      </c>
      <c r="AB29" s="5">
        <f>VLOOKUP(A29,'DRG Revenue'!$A$8:$T$36,19)</f>
        <v>0</v>
      </c>
      <c r="AC29" s="13">
        <f t="shared" si="3"/>
        <v>0</v>
      </c>
      <c r="AE29" s="5">
        <f t="shared" si="4"/>
        <v>0</v>
      </c>
    </row>
    <row r="30" spans="1:31" x14ac:dyDescent="0.3">
      <c r="A30" t="s">
        <v>89</v>
      </c>
      <c r="B30" t="s">
        <v>90</v>
      </c>
      <c r="C30" t="s">
        <v>91</v>
      </c>
      <c r="D30" s="9">
        <v>232</v>
      </c>
      <c r="E30" s="9">
        <v>2944590</v>
      </c>
      <c r="F30" s="9">
        <v>1125</v>
      </c>
      <c r="G30" s="9">
        <v>1650</v>
      </c>
      <c r="H30" s="9"/>
      <c r="I30" s="9">
        <v>0</v>
      </c>
      <c r="J30" s="9">
        <v>0</v>
      </c>
      <c r="K30" s="9">
        <v>1125</v>
      </c>
      <c r="L30" s="9">
        <v>0</v>
      </c>
      <c r="M30" s="9">
        <v>0</v>
      </c>
      <c r="N30" s="9"/>
      <c r="O30" s="9">
        <v>0</v>
      </c>
      <c r="P30" s="9">
        <v>0</v>
      </c>
      <c r="Q30" s="9">
        <v>1370</v>
      </c>
      <c r="R30" s="9">
        <v>0</v>
      </c>
      <c r="S30" s="9"/>
      <c r="T30" s="9">
        <v>1399</v>
      </c>
      <c r="U30" s="9">
        <v>6635</v>
      </c>
      <c r="V30" s="9">
        <v>11844390.199999999</v>
      </c>
      <c r="W30" s="9">
        <v>1371.6423</v>
      </c>
      <c r="X30">
        <f t="shared" si="0"/>
        <v>0.9804448177269478</v>
      </c>
      <c r="Y30">
        <f>VLOOKUP(A30,'Reconciliation Data'!$A$3:$M$31,13,FALSE)</f>
        <v>1609</v>
      </c>
      <c r="Z30">
        <f t="shared" si="1"/>
        <v>1377</v>
      </c>
      <c r="AA30">
        <f t="shared" si="2"/>
        <v>1350.0725140100071</v>
      </c>
      <c r="AB30" s="5">
        <f>VLOOKUP(A30,'DRG Revenue'!$A$8:$T$36,19)</f>
        <v>0</v>
      </c>
      <c r="AC30" s="13">
        <f t="shared" si="3"/>
        <v>0</v>
      </c>
      <c r="AE30" s="5">
        <f t="shared" si="4"/>
        <v>0</v>
      </c>
    </row>
    <row r="31" spans="1:31" x14ac:dyDescent="0.3">
      <c r="A31" t="s">
        <v>92</v>
      </c>
      <c r="B31" t="s">
        <v>93</v>
      </c>
      <c r="C31" t="s">
        <v>94</v>
      </c>
      <c r="D31" s="9">
        <v>0</v>
      </c>
      <c r="E31" s="9">
        <v>0</v>
      </c>
      <c r="F31" s="9">
        <v>975</v>
      </c>
      <c r="G31" s="9">
        <v>0</v>
      </c>
      <c r="H31" s="9"/>
      <c r="I31" s="9">
        <v>16</v>
      </c>
      <c r="J31" s="9">
        <v>312207.84999999998</v>
      </c>
      <c r="K31" s="9">
        <v>975</v>
      </c>
      <c r="L31" s="9">
        <v>161</v>
      </c>
      <c r="M31" s="9">
        <v>0</v>
      </c>
      <c r="N31" s="9"/>
      <c r="O31" s="9">
        <v>0</v>
      </c>
      <c r="P31" s="9">
        <v>0</v>
      </c>
      <c r="Q31" s="9">
        <v>1370</v>
      </c>
      <c r="R31" s="9">
        <v>0</v>
      </c>
      <c r="S31" s="9"/>
      <c r="T31" s="9">
        <v>2537</v>
      </c>
      <c r="U31" s="9">
        <v>16810</v>
      </c>
      <c r="V31" s="9">
        <v>36544278.950000003</v>
      </c>
      <c r="W31" s="9">
        <v>3158.5214000000001</v>
      </c>
      <c r="X31">
        <f t="shared" si="0"/>
        <v>1.2449828143476547</v>
      </c>
      <c r="Y31">
        <f>VLOOKUP(A31,'Reconciliation Data'!$A$3:$M$31,13,FALSE)</f>
        <v>2461</v>
      </c>
      <c r="Z31">
        <f t="shared" si="1"/>
        <v>2445</v>
      </c>
      <c r="AA31">
        <f t="shared" si="2"/>
        <v>3043.9829810800156</v>
      </c>
      <c r="AB31" s="5">
        <f>VLOOKUP(A31,'DRG Revenue'!$A$8:$T$36,19)</f>
        <v>0</v>
      </c>
      <c r="AC31" s="13">
        <f t="shared" si="3"/>
        <v>0</v>
      </c>
      <c r="AE31" s="5">
        <f t="shared" si="4"/>
        <v>0</v>
      </c>
    </row>
    <row r="36" spans="1:15" x14ac:dyDescent="0.3">
      <c r="A36" t="s">
        <v>151</v>
      </c>
    </row>
    <row r="37" spans="1:15" x14ac:dyDescent="0.3">
      <c r="A37" t="s">
        <v>153</v>
      </c>
      <c r="O37" s="8"/>
    </row>
    <row r="38" spans="1:15" x14ac:dyDescent="0.3">
      <c r="A38" t="s">
        <v>152</v>
      </c>
    </row>
  </sheetData>
  <mergeCells count="4">
    <mergeCell ref="T1:V1"/>
    <mergeCell ref="D1:G1"/>
    <mergeCell ref="O1:R1"/>
    <mergeCell ref="I1:M1"/>
  </mergeCells>
  <pageMargins left="0.7" right="0.7" top="0.75" bottom="0.75" header="0.3" footer="0.3"/>
  <pageSetup paperSize="5" scale="41" orientation="landscape" r:id="rId1"/>
  <headerFooter>
    <oddHeader>&amp;R&amp;"-,Bold"&amp;12&amp;K03-024MERCER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Hospital Specific Rev Neutral</vt:lpstr>
      <vt:lpstr>BH and Rehab payments</vt:lpstr>
      <vt:lpstr>DRG Revenue</vt:lpstr>
      <vt:lpstr>DRG Rate</vt:lpstr>
      <vt:lpstr>Final CMI Calculation</vt:lpstr>
      <vt:lpstr>Fiscal Impact</vt:lpstr>
      <vt:lpstr>Reconciliation Data</vt:lpstr>
      <vt:lpstr>Claims Data</vt:lpstr>
    </vt:vector>
  </TitlesOfParts>
  <Company>MSLC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 Zuzenak</dc:creator>
  <cp:lastModifiedBy>Schulik, Jean Ellen</cp:lastModifiedBy>
  <cp:lastPrinted>2014-12-19T01:10:39Z</cp:lastPrinted>
  <dcterms:created xsi:type="dcterms:W3CDTF">2014-10-02T13:22:18Z</dcterms:created>
  <dcterms:modified xsi:type="dcterms:W3CDTF">2014-12-19T01:15:04Z</dcterms:modified>
</cp:coreProperties>
</file>