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480" yWindow="120" windowWidth="18195" windowHeight="12330" activeTab="1"/>
  </bookViews>
  <sheets>
    <sheet name="Summary" sheetId="22" r:id="rId1"/>
    <sheet name="IP Rates" sheetId="6" r:id="rId2"/>
    <sheet name="WI_IME Rate Modifier" sheetId="18" r:id="rId3"/>
    <sheet name="CT Wage Index" sheetId="20" r:id="rId4"/>
    <sheet name="IME 2018" sheetId="19" r:id="rId5"/>
    <sheet name="IP CCR 2018" sheetId="21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 localSheetId="1">#REF!</definedName>
    <definedName name="\p">#REF!</definedName>
    <definedName name="\s">#REF!</definedName>
    <definedName name="_Fill" hidden="1">#REF!</definedName>
    <definedName name="_xlnm._FilterDatabase" localSheetId="3" hidden="1">'CT Wage Index'!$A$5:$U$36</definedName>
    <definedName name="_fy13" localSheetId="0">#REF!</definedName>
    <definedName name="_fy13">#REF!</definedName>
    <definedName name="_T2">#REF!</definedName>
    <definedName name="_t3" localSheetId="3">#REF!</definedName>
    <definedName name="_t3" localSheetId="4">#REF!</definedName>
    <definedName name="_t3" localSheetId="1">#REF!</definedName>
    <definedName name="_t3" localSheetId="2">#REF!</definedName>
    <definedName name="_t3">#REF!</definedName>
    <definedName name="A">#REF!</definedName>
    <definedName name="BaseRates">#REF!</definedName>
    <definedName name="CAT_SUMM">#REF!</definedName>
    <definedName name="codes">#REF!</definedName>
    <definedName name="COPIES">#REF!</definedName>
    <definedName name="COSImpact">#REF!</definedName>
    <definedName name="cost2charges">#REF!</definedName>
    <definedName name="COUNTER">#REF!</definedName>
    <definedName name="crextract">[1]crextract!$A$4:$T$34</definedName>
    <definedName name="CY2001_AllPIPFinal" localSheetId="1">#REF!</definedName>
    <definedName name="CY2001_AllPIPFinal" localSheetId="0">#REF!</definedName>
    <definedName name="CY2001_AllPIPFinal">#REF!</definedName>
    <definedName name="CY2001Summary_Final">#REF!</definedName>
    <definedName name="_xlnm.Database">#REF!</definedName>
    <definedName name="DAYS_SUMM">#REF!</definedName>
    <definedName name="Disch_desc">[2]Lists!$G$3:$G$57</definedName>
    <definedName name="DRG_Label" localSheetId="0">#REF!</definedName>
    <definedName name="DRG_Label">#REF!</definedName>
    <definedName name="DRG_Num">[2]Lists!$A$3:$A$323</definedName>
    <definedName name="DRG_SUMM" localSheetId="0">#REF!</definedName>
    <definedName name="DRG_SUMM">#REF!</definedName>
    <definedName name="EnhancedpayChk">#REF!</definedName>
    <definedName name="FFY05_DSH_Query">#REF!</definedName>
    <definedName name="FFY05_DSH_QUERY_1">#REF!</definedName>
    <definedName name="hart." hidden="1">#REF!</definedName>
    <definedName name="HVASUMRYb">#REF!</definedName>
    <definedName name="IncludeFlag">[3]Lookup!$C$19:$C$20</definedName>
    <definedName name="KY_CORRELATION" localSheetId="0">#REF!</definedName>
    <definedName name="KY_CORRELATION">#REF!</definedName>
    <definedName name="LABELS">#REF!</definedName>
    <definedName name="LN_1D2">[4]Report500!$D$119</definedName>
    <definedName name="LN_IA1">[4]Report500!$D$15</definedName>
    <definedName name="LN_IA11">[4]Report500!$D$27</definedName>
    <definedName name="LN_IA12">[4]Report500!$D$28</definedName>
    <definedName name="LN_IA14">[4]Report500!$D$30</definedName>
    <definedName name="LN_IA15">[4]Report500!$D$31</definedName>
    <definedName name="LN_IA16">[4]Report500!$D$32</definedName>
    <definedName name="LN_IA17">[4]Report500!$D$35</definedName>
    <definedName name="LN_IA18">[4]Report500!$D$36</definedName>
    <definedName name="LN_IA2">[4]Report500!$D$16</definedName>
    <definedName name="LN_IA4">[4]Report500!$D$18</definedName>
    <definedName name="LN_IA5">[4]Report500!$D$19</definedName>
    <definedName name="LN_IA6">[4]Report500!$D$20</definedName>
    <definedName name="LN_IA7">[4]Report500!$D$21</definedName>
    <definedName name="LN_IA8">[4]Report500!$D$22</definedName>
    <definedName name="LN_IB1">[4]Report500!$D$42</definedName>
    <definedName name="LN_IB10">[4]Report500!$D$51</definedName>
    <definedName name="LN_IB13">[4]Report500!$D$56</definedName>
    <definedName name="LN_IB14">[4]Report500!$D$57</definedName>
    <definedName name="LN_IB16">[4]Report500!$D$59</definedName>
    <definedName name="LN_IB17">[4]Report500!$D$60</definedName>
    <definedName name="LN_IB18">[4]Report500!$D$61</definedName>
    <definedName name="LN_IB19">[4]Report500!$D$62</definedName>
    <definedName name="LN_IB2">[4]Report500!$D$43</definedName>
    <definedName name="LN_IB20">[4]Report500!$D$63</definedName>
    <definedName name="LN_IB21">[4]Report500!$D$66</definedName>
    <definedName name="LN_IB22">[4]Report500!$D$67</definedName>
    <definedName name="LN_IB32">[4]Report500!$D$73</definedName>
    <definedName name="LN_IB33">[4]Report500!$D$74</definedName>
    <definedName name="LN_IB34">[4]Report500!$D$76</definedName>
    <definedName name="LN_IB4">[4]Report500!$D$45</definedName>
    <definedName name="LN_IB5">[4]Report500!$D$46</definedName>
    <definedName name="LN_IB6">[4]Report500!$D$47</definedName>
    <definedName name="LN_IB7">[4]Report500!$D$48</definedName>
    <definedName name="LN_IB8">[4]Report500!$D$49</definedName>
    <definedName name="LN_IB9">[4]Report500!$D$50</definedName>
    <definedName name="LN_IC1">[4]Report500!$D$83</definedName>
    <definedName name="LN_IC10">[4]Report500!$D$92</definedName>
    <definedName name="LN_IC11">[4]Report500!$D$93</definedName>
    <definedName name="LN_IC14">[4]Report500!$D$98</definedName>
    <definedName name="LN_IC15">[4]Report500!$D$99</definedName>
    <definedName name="LN_IC17">[4]Report500!$D$101</definedName>
    <definedName name="LN_IC18">[4]Report500!$D$102</definedName>
    <definedName name="LN_IC19">[4]Report500!$D$103</definedName>
    <definedName name="LN_IC2">[4]Report500!$D$84</definedName>
    <definedName name="LN_IC21">[4]Report500!$D$105</definedName>
    <definedName name="LN_IC22">[4]Report500!$D$106</definedName>
    <definedName name="LN_IC23">[4]Report500!$D$109</definedName>
    <definedName name="LN_IC24">[4]Report500!$D$110</definedName>
    <definedName name="LN_IC4">[4]Report500!$D$86</definedName>
    <definedName name="LN_IC5">[4]Report500!$D$87</definedName>
    <definedName name="LN_IC6">[4]Report500!$D$88</definedName>
    <definedName name="LN_IC7">[4]Report500!$D$89</definedName>
    <definedName name="LN_IC9">[4]Report500!$D$91</definedName>
    <definedName name="LN_ID1">[4]Report500!$D$118</definedName>
    <definedName name="LN_ID10">[4]Report500!$D$127</definedName>
    <definedName name="LN_ID11">[4]Report500!$D$128</definedName>
    <definedName name="LN_ID14">[4]Report500!$D$133</definedName>
    <definedName name="LN_ID15">[4]Report500!$D$134</definedName>
    <definedName name="LN_ID17">[4]Report500!$D$136</definedName>
    <definedName name="LN_ID18">[4]Report500!$D$137</definedName>
    <definedName name="LN_ID19">[4]Report500!$D$138</definedName>
    <definedName name="LN_ID21">[4]Report500!$D$140</definedName>
    <definedName name="LN_ID22">[4]Report500!$D$141</definedName>
    <definedName name="LN_ID23">[4]Report500!$D$144</definedName>
    <definedName name="LN_ID24">[4]Report500!$D$145</definedName>
    <definedName name="LN_ID4">[4]Report500!$D$121</definedName>
    <definedName name="LN_ID5">[4]Report500!$D$122</definedName>
    <definedName name="LN_ID6">[4]Report500!$D$123</definedName>
    <definedName name="LN_ID7">[4]Report500!$D$124</definedName>
    <definedName name="LN_ID9">[4]Report500!$D$126</definedName>
    <definedName name="LN_IE1">[4]Report500!$D$153</definedName>
    <definedName name="LN_IE10">[4]Report500!$D$162</definedName>
    <definedName name="LN_IE11">[4]Report500!$D$163</definedName>
    <definedName name="LN_IE14">[4]Report500!$D$168</definedName>
    <definedName name="LN_IE15">[4]Report500!$D$169</definedName>
    <definedName name="LN_IE17">[4]Report500!$D$171</definedName>
    <definedName name="LN_IE18">[4]Report500!$D$172</definedName>
    <definedName name="LN_IE19">[4]Report500!$D$173</definedName>
    <definedName name="LN_IE2">[4]Report500!$D$154</definedName>
    <definedName name="LN_IE21">[4]Report500!$D$175</definedName>
    <definedName name="LN_IE22">[4]Report500!$D$176</definedName>
    <definedName name="LN_IE23">[4]Report500!$D$179</definedName>
    <definedName name="LN_IE24">[4]Report500!$D$180</definedName>
    <definedName name="LN_IE4">[4]Report500!$D$156</definedName>
    <definedName name="LN_IE5">[4]Report500!$D$157</definedName>
    <definedName name="LN_IE6">[4]Report500!$D$158</definedName>
    <definedName name="LN_IE7">[4]Report500!$D$159</definedName>
    <definedName name="LN_IE9">[4]Report500!$D$161</definedName>
    <definedName name="LN_IF1">[4]Report500!$D$188</definedName>
    <definedName name="LN_IF11">[4]Report500!$D$198</definedName>
    <definedName name="LN_IF14">[4]Report500!$D$203</definedName>
    <definedName name="LN_IF15">[4]Report500!$D$204</definedName>
    <definedName name="LN_IF18">[4]Report500!$D$207</definedName>
    <definedName name="LN_IF19">[4]Report500!$D$208</definedName>
    <definedName name="LN_IF2">[4]Report500!$D$189</definedName>
    <definedName name="LN_IF21">[4]Report500!$D$210</definedName>
    <definedName name="LN_IF23">[4]Report500!$D$214</definedName>
    <definedName name="LN_IF24">[4]Report500!$D$215</definedName>
    <definedName name="LN_IF4">[4]Report500!$D$191</definedName>
    <definedName name="LN_IF5">[4]Report500!$D$192</definedName>
    <definedName name="LN_IF6">[4]Report500!$D$193</definedName>
    <definedName name="LN_IF7">[4]Report500!$D$194</definedName>
    <definedName name="LN_IF9">[4]Report500!$D$196</definedName>
    <definedName name="LN_IG1">[4]Report500!$D$221</definedName>
    <definedName name="LN_IG10">[4]Report500!$D$234</definedName>
    <definedName name="LN_IG13">[4]Report500!$D$237</definedName>
    <definedName name="LN_IG14">[4]Report500!$D$238</definedName>
    <definedName name="LN_IG2">[4]Report500!$D$222</definedName>
    <definedName name="LN_IG3">[4]Report500!$D$224</definedName>
    <definedName name="LN_IG4">[4]Report500!$D$225</definedName>
    <definedName name="LN_IG5">[4]Report500!$D$226</definedName>
    <definedName name="LN_IG6">[4]Report500!$D$228</definedName>
    <definedName name="LN_IG9">[4]Report500!$D$233</definedName>
    <definedName name="LN_IH10">[4]Report500!$D$256</definedName>
    <definedName name="LN_IH3">[4]Report500!$D$245</definedName>
    <definedName name="LN_IH4">[4]Report500!$D$248</definedName>
    <definedName name="LN_IH5">[4]Report500!$D$249</definedName>
    <definedName name="LN_IH6">[4]Report500!$D$250</definedName>
    <definedName name="LN_IH8">[4]Report500!$D$254</definedName>
    <definedName name="LN_IH9">[4]Report500!$D$255</definedName>
    <definedName name="LN_IIA1">[4]Report500!$D$261</definedName>
    <definedName name="LN_IIA11">[4]Report500!$D$271</definedName>
    <definedName name="LN_IIA12">[4]Report500!$D$272</definedName>
    <definedName name="LN_IIA14">[4]Report500!$D$274</definedName>
    <definedName name="LN_IIA2">[4]Report500!$D$262</definedName>
    <definedName name="LN_IIA4">[4]Report500!$D$264</definedName>
    <definedName name="LN_IIA6">[4]Report500!$D$266</definedName>
    <definedName name="LN_IIA7">[4]Report500!$D$267</definedName>
    <definedName name="LN_IIA9">[4]Report500!$D$269</definedName>
    <definedName name="LN_IIB11">[4]Report500!$D$287</definedName>
    <definedName name="LN_IIB12">[4]Report500!$D$288</definedName>
    <definedName name="LN_IIB14">[4]Report500!$D$291</definedName>
    <definedName name="LN_IIB2">[4]Report500!$D$278</definedName>
    <definedName name="LN_IIB4">[4]Report500!$D$280</definedName>
    <definedName name="LN_IIB6">[4]Report500!$D$282</definedName>
    <definedName name="LN_IIB7">[4]Report500!$D$283</definedName>
    <definedName name="LN_IIB9">[4]Report500!$D$285</definedName>
    <definedName name="LN_III1">[4]Report500!$D$304</definedName>
    <definedName name="LN_III10">[4]Report500!$D$313</definedName>
    <definedName name="LN_III2">[4]Report500!$D$305</definedName>
    <definedName name="LN_III3">[4]Report500!$D$307</definedName>
    <definedName name="LN_III4">[4]Report500!$D$308</definedName>
    <definedName name="LN_III5">[4]Report500!$D$306</definedName>
    <definedName name="LN_III6">[4]Report500!$D$309</definedName>
    <definedName name="LN_III7">[4]Report500!$D$310</definedName>
    <definedName name="LN_III8">[4]Report500!$D$311</definedName>
    <definedName name="LN_III9">[4]Report500!$D$312</definedName>
    <definedName name="LN_IV1">[4]Report500!$D$324</definedName>
    <definedName name="LN_IV2">[4]Report500!$D$322</definedName>
    <definedName name="LN_IV3">[4]Report500!$D$323</definedName>
    <definedName name="LN_IV4">[4]Report500!$D$325</definedName>
    <definedName name="MDC_Label" localSheetId="0">#REF!</definedName>
    <definedName name="MDC_Label">#REF!</definedName>
    <definedName name="MMMWEIGHTS_IMPACT_SUMMARY_936">#REF!</definedName>
    <definedName name="NeonateSUMRY2b">#REF!</definedName>
    <definedName name="PIP11_PaidMemo" localSheetId="1">#REF!</definedName>
    <definedName name="PIP11_PaidMemo">#REF!</definedName>
    <definedName name="PIP11_PaidMemo_f">#REF!</definedName>
    <definedName name="PIP11_PaidMemo_final">#REF!</definedName>
    <definedName name="PIP11_PaidMemo_final_n">#REF!</definedName>
    <definedName name="PIP12_PaidMemo_f">#REF!</definedName>
    <definedName name="PIP12_PaidMemo_final">#REF!</definedName>
    <definedName name="PIP12_PaidMemo_final_n">#REF!</definedName>
    <definedName name="PIP13_PaidMemo_f">#REF!</definedName>
    <definedName name="PIP13_PaidMemo_final">#REF!</definedName>
    <definedName name="PIP13_PaidMemo_final_n">#REF!</definedName>
    <definedName name="PIP14_PaidMemo_f">#REF!</definedName>
    <definedName name="PIP14_PaidMemo_final">#REF!</definedName>
    <definedName name="PIP14_PaidMemo_final_n">#REF!</definedName>
    <definedName name="PolicyImpact">#REF!</definedName>
    <definedName name="pps_3std">#REF!</definedName>
    <definedName name="PricingCDImpact">#REF!</definedName>
    <definedName name="PRINT">#REF!</definedName>
    <definedName name="_xlnm.Print_Area" localSheetId="0">Summary!$B$1:$I$37</definedName>
    <definedName name="_xlnm.Print_Area">#REF!</definedName>
    <definedName name="PRINT_AREA_MI" localSheetId="0">#REF!</definedName>
    <definedName name="PRINT_AREA_MI">#REF!</definedName>
    <definedName name="_xlnm.Print_Titles" localSheetId="1">'IP Rates'!$B:$D</definedName>
    <definedName name="_xlnm.Print_Titles" localSheetId="0">#REF!</definedName>
    <definedName name="_xlnm.Print_Titles" localSheetId="2">'WI_IME Rate Modifier'!$1:$4</definedName>
    <definedName name="_xlnm.Print_Titles">#REF!</definedName>
    <definedName name="PRINT_TITLES_MI" localSheetId="0">#REF!</definedName>
    <definedName name="PRINT_TITLES_MI">#REF!</definedName>
    <definedName name="prov_name">[5]Medicaid!$A$3</definedName>
    <definedName name="PROVIDER_SUMM" localSheetId="0">#REF!</definedName>
    <definedName name="PROVIDER_SUMM">#REF!</definedName>
    <definedName name="ProvNum">[6]Main!$A$4</definedName>
    <definedName name="PROVSUMMARY" localSheetId="0">#REF!</definedName>
    <definedName name="PROVSUMMARY">#REF!</definedName>
    <definedName name="rate">#REF!</definedName>
    <definedName name="RateTypeAssignment">[3]Lookup!$E$4:$E$39</definedName>
    <definedName name="Sample_Impact_base" localSheetId="0">#REF!</definedName>
    <definedName name="Sample_Impact_base">#REF!</definedName>
    <definedName name="SOI">[2]Lists!$D$3:$D$6</definedName>
    <definedName name="STATUS_BY_SFY" localSheetId="0">#REF!</definedName>
    <definedName name="STATUS_BY_SFY">#REF!</definedName>
    <definedName name="SvcImpact">#REF!</definedName>
    <definedName name="SVCLEVEL">#REF!</definedName>
    <definedName name="SVCSUMRY">#REF!</definedName>
    <definedName name="TblStep_1">#REF!</definedName>
    <definedName name="TOTAL">#REF!</definedName>
  </definedNames>
  <calcPr calcId="145621"/>
</workbook>
</file>

<file path=xl/calcChain.xml><?xml version="1.0" encoding="utf-8"?>
<calcChain xmlns="http://schemas.openxmlformats.org/spreadsheetml/2006/main">
  <c r="G5" i="22" l="1"/>
  <c r="F34" i="22"/>
  <c r="H33" i="22"/>
  <c r="E33" i="22"/>
  <c r="G33" i="22" s="1"/>
  <c r="H32" i="22"/>
  <c r="E32" i="22"/>
  <c r="G32" i="22" s="1"/>
  <c r="H31" i="22"/>
  <c r="G31" i="22"/>
  <c r="E31" i="22"/>
  <c r="H30" i="22"/>
  <c r="E30" i="22"/>
  <c r="G30" i="22" s="1"/>
  <c r="H29" i="22"/>
  <c r="E29" i="22"/>
  <c r="G29" i="22" s="1"/>
  <c r="H28" i="22"/>
  <c r="E28" i="22"/>
  <c r="G28" i="22" s="1"/>
  <c r="H27" i="22"/>
  <c r="G27" i="22"/>
  <c r="E27" i="22"/>
  <c r="H26" i="22"/>
  <c r="E26" i="22"/>
  <c r="G26" i="22" s="1"/>
  <c r="H25" i="22"/>
  <c r="E25" i="22"/>
  <c r="G25" i="22" s="1"/>
  <c r="H24" i="22"/>
  <c r="E24" i="22"/>
  <c r="G24" i="22" s="1"/>
  <c r="H23" i="22"/>
  <c r="G23" i="22"/>
  <c r="E23" i="22"/>
  <c r="H22" i="22"/>
  <c r="E22" i="22"/>
  <c r="G22" i="22" s="1"/>
  <c r="H21" i="22"/>
  <c r="E21" i="22"/>
  <c r="G21" i="22" s="1"/>
  <c r="H20" i="22"/>
  <c r="E20" i="22"/>
  <c r="G20" i="22" s="1"/>
  <c r="H19" i="22"/>
  <c r="G19" i="22"/>
  <c r="E19" i="22"/>
  <c r="H18" i="22"/>
  <c r="E18" i="22"/>
  <c r="G18" i="22" s="1"/>
  <c r="H17" i="22"/>
  <c r="E17" i="22"/>
  <c r="G17" i="22" s="1"/>
  <c r="H16" i="22"/>
  <c r="E16" i="22"/>
  <c r="G16" i="22" s="1"/>
  <c r="H15" i="22"/>
  <c r="G15" i="22"/>
  <c r="E15" i="22"/>
  <c r="H14" i="22"/>
  <c r="E14" i="22"/>
  <c r="G14" i="22" s="1"/>
  <c r="H13" i="22"/>
  <c r="E13" i="22"/>
  <c r="G13" i="22" s="1"/>
  <c r="H12" i="22"/>
  <c r="E12" i="22"/>
  <c r="G12" i="22" s="1"/>
  <c r="H11" i="22"/>
  <c r="G11" i="22"/>
  <c r="E11" i="22"/>
  <c r="H10" i="22"/>
  <c r="E10" i="22"/>
  <c r="G10" i="22" s="1"/>
  <c r="H9" i="22"/>
  <c r="E9" i="22"/>
  <c r="G9" i="22" s="1"/>
  <c r="H8" i="22"/>
  <c r="E8" i="22"/>
  <c r="G8" i="22" s="1"/>
  <c r="H7" i="22"/>
  <c r="G7" i="22"/>
  <c r="E7" i="22"/>
  <c r="H6" i="22"/>
  <c r="E6" i="22"/>
  <c r="G6" i="22" s="1"/>
  <c r="H5" i="22"/>
  <c r="H34" i="22" s="1"/>
  <c r="E5" i="22"/>
  <c r="G34" i="22" l="1"/>
  <c r="F35" i="22" s="1"/>
  <c r="E34" i="22"/>
  <c r="R5" i="6" l="1"/>
  <c r="N43" i="6" l="1"/>
  <c r="N46" i="6"/>
  <c r="N17" i="19" l="1"/>
  <c r="R35" i="21" l="1"/>
  <c r="Q35" i="21"/>
  <c r="G35" i="21"/>
  <c r="Q7" i="21" l="1"/>
  <c r="R7" i="21"/>
  <c r="T7" i="21"/>
  <c r="Q8" i="21"/>
  <c r="R8" i="21"/>
  <c r="T8" i="21"/>
  <c r="Q9" i="21"/>
  <c r="Q10" i="21"/>
  <c r="R10" i="21"/>
  <c r="T10" i="21" s="1"/>
  <c r="Q11" i="21"/>
  <c r="R11" i="21"/>
  <c r="T11" i="21"/>
  <c r="Q12" i="21"/>
  <c r="R12" i="21"/>
  <c r="T12" i="21"/>
  <c r="G13" i="21"/>
  <c r="H13" i="21"/>
  <c r="I13" i="21"/>
  <c r="P13" i="21"/>
  <c r="Q13" i="21"/>
  <c r="R13" i="21" s="1"/>
  <c r="T13" i="21" s="1"/>
  <c r="Q14" i="21"/>
  <c r="R14" i="21"/>
  <c r="T14" i="21" s="1"/>
  <c r="Q15" i="21"/>
  <c r="R15" i="21"/>
  <c r="T15" i="21"/>
  <c r="Q16" i="21"/>
  <c r="R16" i="21"/>
  <c r="T16" i="21"/>
  <c r="Q17" i="21"/>
  <c r="R17" i="21" s="1"/>
  <c r="T17" i="21" s="1"/>
  <c r="Q18" i="21"/>
  <c r="R18" i="21"/>
  <c r="T18" i="21" s="1"/>
  <c r="Q19" i="21"/>
  <c r="R19" i="21"/>
  <c r="T19" i="21"/>
  <c r="Q20" i="21"/>
  <c r="R20" i="21"/>
  <c r="T20" i="21"/>
  <c r="Q21" i="21"/>
  <c r="R21" i="21" s="1"/>
  <c r="T21" i="21" s="1"/>
  <c r="Q22" i="21"/>
  <c r="R22" i="21"/>
  <c r="T22" i="21" s="1"/>
  <c r="Q23" i="21"/>
  <c r="R23" i="21"/>
  <c r="T23" i="21"/>
  <c r="Q24" i="21"/>
  <c r="R24" i="21"/>
  <c r="T24" i="21"/>
  <c r="Q25" i="21"/>
  <c r="R25" i="21" s="1"/>
  <c r="T25" i="21" s="1"/>
  <c r="Q26" i="21"/>
  <c r="R26" i="21"/>
  <c r="T26" i="21" s="1"/>
  <c r="Q27" i="21"/>
  <c r="R27" i="21"/>
  <c r="T27" i="21"/>
  <c r="Q28" i="21"/>
  <c r="R28" i="21"/>
  <c r="T28" i="21"/>
  <c r="Q29" i="21"/>
  <c r="R29" i="21" s="1"/>
  <c r="T29" i="21" s="1"/>
  <c r="Q30" i="21"/>
  <c r="R30" i="21"/>
  <c r="T30" i="21" s="1"/>
  <c r="Q31" i="21"/>
  <c r="R31" i="21"/>
  <c r="T31" i="21"/>
  <c r="Q32" i="21"/>
  <c r="R32" i="21"/>
  <c r="T32" i="21"/>
  <c r="Q33" i="21"/>
  <c r="R33" i="21" s="1"/>
  <c r="T33" i="21" s="1"/>
  <c r="Q34" i="21"/>
  <c r="R34" i="21"/>
  <c r="T34" i="21" s="1"/>
  <c r="T35" i="21" l="1"/>
  <c r="R9" i="21"/>
  <c r="T9" i="21" s="1"/>
  <c r="I29" i="18" l="1"/>
  <c r="I25" i="18"/>
  <c r="I23" i="18"/>
  <c r="I21" i="18"/>
  <c r="I19" i="18"/>
  <c r="I15" i="18"/>
  <c r="I13" i="18"/>
  <c r="I9" i="18"/>
  <c r="I8" i="18"/>
  <c r="L36" i="20"/>
  <c r="M36" i="20"/>
  <c r="H35" i="18" s="1"/>
  <c r="I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M24" i="20"/>
  <c r="H23" i="18" s="1"/>
  <c r="L23" i="20"/>
  <c r="M23" i="20"/>
  <c r="H22" i="18" s="1"/>
  <c r="L22" i="20"/>
  <c r="L21" i="20"/>
  <c r="L20" i="20"/>
  <c r="L19" i="20"/>
  <c r="M19" i="20"/>
  <c r="H18" i="18" s="1"/>
  <c r="L18" i="20"/>
  <c r="L17" i="20"/>
  <c r="L16" i="20"/>
  <c r="L15" i="20"/>
  <c r="L14" i="20"/>
  <c r="L13" i="20"/>
  <c r="L12" i="20"/>
  <c r="L11" i="20"/>
  <c r="M11" i="20"/>
  <c r="H10" i="18" s="1"/>
  <c r="L10" i="20"/>
  <c r="L9" i="20"/>
  <c r="L8" i="20"/>
  <c r="M8" i="20"/>
  <c r="H7" i="18" s="1"/>
  <c r="L7" i="20"/>
  <c r="X35" i="19"/>
  <c r="T35" i="19"/>
  <c r="L35" i="19"/>
  <c r="N35" i="19" s="1"/>
  <c r="I35" i="18" s="1"/>
  <c r="X34" i="19"/>
  <c r="T34" i="19"/>
  <c r="L34" i="19"/>
  <c r="X33" i="19"/>
  <c r="T33" i="19"/>
  <c r="L33" i="19"/>
  <c r="N33" i="19" s="1"/>
  <c r="I33" i="18" s="1"/>
  <c r="X32" i="19"/>
  <c r="T32" i="19"/>
  <c r="L32" i="19"/>
  <c r="N32" i="19" s="1"/>
  <c r="I32" i="18" s="1"/>
  <c r="X31" i="19"/>
  <c r="T31" i="19"/>
  <c r="L31" i="19"/>
  <c r="N31" i="19" s="1"/>
  <c r="I17" i="18" s="1"/>
  <c r="X30" i="19"/>
  <c r="T30" i="19"/>
  <c r="L30" i="19"/>
  <c r="X28" i="19"/>
  <c r="T28" i="19"/>
  <c r="L28" i="19"/>
  <c r="N28" i="19" s="1"/>
  <c r="I28" i="18" s="1"/>
  <c r="X27" i="19"/>
  <c r="T27" i="19"/>
  <c r="L27" i="19"/>
  <c r="N27" i="19" s="1"/>
  <c r="I27" i="18" s="1"/>
  <c r="X26" i="19"/>
  <c r="T26" i="19"/>
  <c r="L26" i="19"/>
  <c r="N26" i="19" s="1"/>
  <c r="I26" i="18" s="1"/>
  <c r="X24" i="19"/>
  <c r="T24" i="19"/>
  <c r="L24" i="19"/>
  <c r="X22" i="19"/>
  <c r="T22" i="19"/>
  <c r="L22" i="19"/>
  <c r="N22" i="19" s="1"/>
  <c r="I22" i="18" s="1"/>
  <c r="X20" i="19"/>
  <c r="T20" i="19"/>
  <c r="L20" i="19"/>
  <c r="N20" i="19" s="1"/>
  <c r="I20" i="18" s="1"/>
  <c r="X18" i="19"/>
  <c r="T18" i="19"/>
  <c r="L18" i="19"/>
  <c r="N18" i="19" s="1"/>
  <c r="I18" i="18" s="1"/>
  <c r="T17" i="19"/>
  <c r="M17" i="19"/>
  <c r="K17" i="19"/>
  <c r="J17" i="19"/>
  <c r="I17" i="19"/>
  <c r="H17" i="19"/>
  <c r="X16" i="19"/>
  <c r="T16" i="19"/>
  <c r="L16" i="19"/>
  <c r="N16" i="19" s="1"/>
  <c r="I16" i="18" s="1"/>
  <c r="X14" i="19"/>
  <c r="T14" i="19"/>
  <c r="L14" i="19"/>
  <c r="N14" i="19" s="1"/>
  <c r="I14" i="18" s="1"/>
  <c r="X12" i="19"/>
  <c r="T12" i="19"/>
  <c r="L12" i="19"/>
  <c r="N12" i="19" s="1"/>
  <c r="I12" i="18" s="1"/>
  <c r="X11" i="19"/>
  <c r="T11" i="19"/>
  <c r="L11" i="19"/>
  <c r="N11" i="19" s="1"/>
  <c r="I11" i="18" s="1"/>
  <c r="X10" i="19"/>
  <c r="T10" i="19"/>
  <c r="L10" i="19"/>
  <c r="N10" i="19" s="1"/>
  <c r="I10" i="18" s="1"/>
  <c r="X7" i="19"/>
  <c r="T7" i="19"/>
  <c r="L7" i="19"/>
  <c r="N7" i="19" s="1"/>
  <c r="I7" i="18" s="1"/>
  <c r="Q7" i="20" l="1"/>
  <c r="I7" i="20"/>
  <c r="U7" i="20"/>
  <c r="M32" i="20"/>
  <c r="H31" i="18" s="1"/>
  <c r="M9" i="20"/>
  <c r="H8" i="18" s="1"/>
  <c r="I31" i="18"/>
  <c r="U8" i="20"/>
  <c r="I32" i="20"/>
  <c r="W31" i="19"/>
  <c r="W34" i="19"/>
  <c r="L17" i="19"/>
  <c r="W17" i="19" s="1"/>
  <c r="W32" i="19"/>
  <c r="W16" i="19"/>
  <c r="W14" i="19"/>
  <c r="W20" i="19"/>
  <c r="W33" i="19"/>
  <c r="W22" i="19"/>
  <c r="W11" i="19"/>
  <c r="W18" i="19"/>
  <c r="W24" i="19"/>
  <c r="W30" i="19"/>
  <c r="W10" i="19"/>
  <c r="W26" i="19"/>
  <c r="W35" i="19"/>
  <c r="W7" i="19"/>
  <c r="W27" i="19"/>
  <c r="W28" i="19"/>
  <c r="M28" i="20"/>
  <c r="H27" i="18" s="1"/>
  <c r="M35" i="20"/>
  <c r="H34" i="18" s="1"/>
  <c r="Q19" i="20"/>
  <c r="M31" i="20"/>
  <c r="H30" i="18" s="1"/>
  <c r="I31" i="20"/>
  <c r="Q15" i="20"/>
  <c r="I27" i="20"/>
  <c r="U27" i="20"/>
  <c r="I28" i="20"/>
  <c r="U32" i="20"/>
  <c r="U31" i="20"/>
  <c r="U35" i="20"/>
  <c r="I24" i="20"/>
  <c r="M27" i="20"/>
  <c r="H26" i="18" s="1"/>
  <c r="U28" i="20"/>
  <c r="I35" i="20"/>
  <c r="Q11" i="20"/>
  <c r="Q20" i="20"/>
  <c r="Q8" i="20"/>
  <c r="I11" i="20"/>
  <c r="I23" i="20"/>
  <c r="U23" i="20"/>
  <c r="M25" i="20"/>
  <c r="H24" i="18" s="1"/>
  <c r="Q36" i="20"/>
  <c r="U11" i="20"/>
  <c r="I12" i="20"/>
  <c r="I15" i="20"/>
  <c r="U15" i="20"/>
  <c r="I16" i="20"/>
  <c r="I19" i="20"/>
  <c r="I20" i="20"/>
  <c r="U24" i="20"/>
  <c r="Q27" i="20"/>
  <c r="Q28" i="20"/>
  <c r="Q31" i="20"/>
  <c r="Q32" i="20"/>
  <c r="Q12" i="20"/>
  <c r="Q16" i="20"/>
  <c r="I8" i="20"/>
  <c r="M12" i="20"/>
  <c r="H11" i="18" s="1"/>
  <c r="U12" i="20"/>
  <c r="M16" i="20"/>
  <c r="H15" i="18" s="1"/>
  <c r="U16" i="20"/>
  <c r="U19" i="20"/>
  <c r="M20" i="20"/>
  <c r="H19" i="18" s="1"/>
  <c r="U20" i="20"/>
  <c r="Q23" i="20"/>
  <c r="Q24" i="20"/>
  <c r="Q35" i="20"/>
  <c r="M13" i="20"/>
  <c r="H12" i="18" s="1"/>
  <c r="U18" i="20"/>
  <c r="I18" i="20"/>
  <c r="Q18" i="20"/>
  <c r="M29" i="20"/>
  <c r="H28" i="18" s="1"/>
  <c r="U33" i="20"/>
  <c r="I33" i="20"/>
  <c r="Q33" i="20"/>
  <c r="M10" i="20"/>
  <c r="H9" i="18" s="1"/>
  <c r="U14" i="20"/>
  <c r="I14" i="20"/>
  <c r="Q14" i="20"/>
  <c r="U30" i="20"/>
  <c r="I30" i="20"/>
  <c r="Q30" i="20"/>
  <c r="U10" i="20"/>
  <c r="I10" i="20"/>
  <c r="M14" i="20"/>
  <c r="H13" i="18" s="1"/>
  <c r="U21" i="20"/>
  <c r="I21" i="20"/>
  <c r="Q21" i="20"/>
  <c r="U22" i="20"/>
  <c r="I22" i="20"/>
  <c r="Q22" i="20"/>
  <c r="M30" i="20"/>
  <c r="H29" i="18" s="1"/>
  <c r="Q17" i="20"/>
  <c r="U17" i="20"/>
  <c r="I17" i="20"/>
  <c r="U34" i="20"/>
  <c r="I34" i="20"/>
  <c r="M34" i="20"/>
  <c r="H33" i="18" s="1"/>
  <c r="Q34" i="20"/>
  <c r="U13" i="20"/>
  <c r="I13" i="20"/>
  <c r="Q13" i="20"/>
  <c r="M26" i="20"/>
  <c r="H25" i="18" s="1"/>
  <c r="U29" i="20"/>
  <c r="I29" i="20"/>
  <c r="Q29" i="20"/>
  <c r="Q9" i="20"/>
  <c r="U9" i="20"/>
  <c r="I9" i="20"/>
  <c r="Q10" i="20"/>
  <c r="M17" i="20"/>
  <c r="H16" i="18" s="1"/>
  <c r="M18" i="20"/>
  <c r="H17" i="18" s="1"/>
  <c r="M21" i="20"/>
  <c r="H20" i="18" s="1"/>
  <c r="M22" i="20"/>
  <c r="H21" i="18" s="1"/>
  <c r="U25" i="20"/>
  <c r="I25" i="20"/>
  <c r="Q25" i="20"/>
  <c r="U26" i="20"/>
  <c r="I26" i="20"/>
  <c r="Q26" i="20"/>
  <c r="M33" i="20"/>
  <c r="H32" i="18" s="1"/>
  <c r="U36" i="20"/>
  <c r="M7" i="20"/>
  <c r="M15" i="20"/>
  <c r="H14" i="18" s="1"/>
  <c r="N24" i="19"/>
  <c r="I24" i="18" s="1"/>
  <c r="N30" i="19"/>
  <c r="I30" i="18" s="1"/>
  <c r="N34" i="19"/>
  <c r="I34" i="18" s="1"/>
  <c r="W12" i="19"/>
  <c r="X17" i="19"/>
  <c r="N26" i="18" l="1"/>
  <c r="F27" i="18"/>
  <c r="N30" i="18"/>
  <c r="F31" i="18"/>
  <c r="N25" i="18"/>
  <c r="F26" i="18"/>
  <c r="F28" i="18"/>
  <c r="N29" i="18"/>
  <c r="F30" i="18"/>
  <c r="F32" i="18"/>
  <c r="F8" i="18"/>
  <c r="F20" i="18"/>
  <c r="J7" i="18"/>
  <c r="V12" i="6" s="1"/>
  <c r="W12" i="6" s="1"/>
  <c r="J8" i="18"/>
  <c r="V13" i="6" s="1"/>
  <c r="J9" i="18"/>
  <c r="V14" i="6" s="1"/>
  <c r="J11" i="18"/>
  <c r="V16" i="6" s="1"/>
  <c r="J16" i="18"/>
  <c r="V21" i="6" s="1"/>
  <c r="J17" i="18"/>
  <c r="V22" i="6" s="1"/>
  <c r="J19" i="18"/>
  <c r="V24" i="6" s="1"/>
  <c r="J20" i="18"/>
  <c r="V25" i="6" s="1"/>
  <c r="J21" i="18"/>
  <c r="V26" i="6" s="1"/>
  <c r="J23" i="18"/>
  <c r="V28" i="6" s="1"/>
  <c r="J24" i="18"/>
  <c r="V29" i="6" s="1"/>
  <c r="J25" i="18"/>
  <c r="V30" i="6" s="1"/>
  <c r="J27" i="18"/>
  <c r="V32" i="6" s="1"/>
  <c r="J32" i="18"/>
  <c r="V37" i="6" s="1"/>
  <c r="J35" i="18"/>
  <c r="V43" i="6" s="1"/>
  <c r="F24" i="18"/>
  <c r="F33" i="18"/>
  <c r="F21" i="18"/>
  <c r="N9" i="18"/>
  <c r="F10" i="18"/>
  <c r="N10" i="18"/>
  <c r="F11" i="18"/>
  <c r="N11" i="18"/>
  <c r="F12" i="18"/>
  <c r="N13" i="18"/>
  <c r="F14" i="18"/>
  <c r="N14" i="18"/>
  <c r="F15" i="18"/>
  <c r="N15" i="18"/>
  <c r="F16" i="18"/>
  <c r="N17" i="18"/>
  <c r="F18" i="18"/>
  <c r="N18" i="18"/>
  <c r="F19" i="18"/>
  <c r="N19" i="18"/>
  <c r="R14" i="18"/>
  <c r="R29" i="18"/>
  <c r="R30" i="18"/>
  <c r="F7" i="18"/>
  <c r="N7" i="18"/>
  <c r="R10" i="18"/>
  <c r="J12" i="18"/>
  <c r="V17" i="6" s="1"/>
  <c r="J13" i="18"/>
  <c r="V18" i="6" s="1"/>
  <c r="J15" i="18"/>
  <c r="V20" i="6" s="1"/>
  <c r="F17" i="18"/>
  <c r="N21" i="18"/>
  <c r="F22" i="18"/>
  <c r="N22" i="18"/>
  <c r="F23" i="18"/>
  <c r="N23" i="18"/>
  <c r="R26" i="18"/>
  <c r="J28" i="18"/>
  <c r="V33" i="6" s="1"/>
  <c r="J31" i="18"/>
  <c r="V36" i="6" s="1"/>
  <c r="F9" i="18"/>
  <c r="R18" i="18"/>
  <c r="F25" i="18"/>
  <c r="R33" i="18"/>
  <c r="R34" i="18"/>
  <c r="F13" i="18"/>
  <c r="R22" i="18"/>
  <c r="F29" i="18"/>
  <c r="N33" i="18"/>
  <c r="F34" i="18"/>
  <c r="N34" i="18"/>
  <c r="F35" i="18"/>
  <c r="R31" i="18"/>
  <c r="R35" i="18"/>
  <c r="R8" i="18"/>
  <c r="R12" i="18"/>
  <c r="R16" i="18"/>
  <c r="R20" i="18"/>
  <c r="R24" i="18"/>
  <c r="N27" i="18"/>
  <c r="R28" i="18"/>
  <c r="J29" i="18"/>
  <c r="V34" i="6" s="1"/>
  <c r="N31" i="18"/>
  <c r="R32" i="18"/>
  <c r="J33" i="18"/>
  <c r="V38" i="6" s="1"/>
  <c r="N35" i="18"/>
  <c r="R7" i="18"/>
  <c r="R11" i="18"/>
  <c r="R15" i="18"/>
  <c r="R19" i="18"/>
  <c r="R23" i="18"/>
  <c r="R27" i="18"/>
  <c r="N8" i="18"/>
  <c r="R9" i="18"/>
  <c r="J10" i="18"/>
  <c r="V15" i="6" s="1"/>
  <c r="N12" i="18"/>
  <c r="R13" i="18"/>
  <c r="J14" i="18"/>
  <c r="V19" i="6" s="1"/>
  <c r="N16" i="18"/>
  <c r="R17" i="18"/>
  <c r="J18" i="18"/>
  <c r="V23" i="6" s="1"/>
  <c r="N20" i="18"/>
  <c r="R21" i="18"/>
  <c r="J22" i="18"/>
  <c r="V27" i="6" s="1"/>
  <c r="N24" i="18"/>
  <c r="R25" i="18"/>
  <c r="J26" i="18"/>
  <c r="V31" i="6" s="1"/>
  <c r="N28" i="18"/>
  <c r="J30" i="18"/>
  <c r="V35" i="6" s="1"/>
  <c r="N32" i="18"/>
  <c r="J34" i="18"/>
  <c r="V46" i="6" s="1"/>
  <c r="J15" i="6" l="1"/>
  <c r="K15" i="6" s="1"/>
  <c r="AG58" i="6" l="1"/>
  <c r="AG57" i="6"/>
  <c r="AG56" i="6"/>
  <c r="AG55" i="6"/>
  <c r="AG54" i="6"/>
  <c r="I48" i="6"/>
  <c r="K46" i="6"/>
  <c r="J46" i="6"/>
  <c r="P46" i="6" s="1"/>
  <c r="R46" i="6" s="1"/>
  <c r="J43" i="6"/>
  <c r="P43" i="6" s="1"/>
  <c r="R43" i="6" s="1"/>
  <c r="U43" i="6" s="1"/>
  <c r="AG39" i="6"/>
  <c r="M39" i="6"/>
  <c r="I39" i="6"/>
  <c r="E39" i="6"/>
  <c r="AL38" i="6"/>
  <c r="J38" i="6"/>
  <c r="AL37" i="6"/>
  <c r="J37" i="6"/>
  <c r="AL36" i="6"/>
  <c r="J36" i="6"/>
  <c r="AL35" i="6"/>
  <c r="J35" i="6"/>
  <c r="AL34" i="6"/>
  <c r="J34" i="6"/>
  <c r="AL33" i="6"/>
  <c r="J33" i="6"/>
  <c r="AL32" i="6"/>
  <c r="J32" i="6"/>
  <c r="AL31" i="6"/>
  <c r="J31" i="6"/>
  <c r="AL30" i="6"/>
  <c r="J30" i="6"/>
  <c r="AL29" i="6"/>
  <c r="J29" i="6"/>
  <c r="AL28" i="6"/>
  <c r="J28" i="6"/>
  <c r="AL27" i="6"/>
  <c r="J27" i="6"/>
  <c r="AL26" i="6"/>
  <c r="J26" i="6"/>
  <c r="AL25" i="6"/>
  <c r="J25" i="6"/>
  <c r="AL24" i="6"/>
  <c r="J24" i="6"/>
  <c r="AL23" i="6"/>
  <c r="J23" i="6"/>
  <c r="AL22" i="6"/>
  <c r="J22" i="6"/>
  <c r="AL21" i="6"/>
  <c r="J21" i="6"/>
  <c r="AL20" i="6"/>
  <c r="J20" i="6"/>
  <c r="AL19" i="6"/>
  <c r="J19" i="6"/>
  <c r="AL18" i="6"/>
  <c r="J18" i="6"/>
  <c r="AL17" i="6"/>
  <c r="J17" i="6"/>
  <c r="N17" i="6" s="1"/>
  <c r="AL16" i="6"/>
  <c r="J16" i="6"/>
  <c r="AL15" i="6"/>
  <c r="N15" i="6"/>
  <c r="AL14" i="6"/>
  <c r="J14" i="6"/>
  <c r="N14" i="6" s="1"/>
  <c r="AL13" i="6"/>
  <c r="J13" i="6"/>
  <c r="K13" i="6" s="1"/>
  <c r="AL12" i="6"/>
  <c r="J12" i="6"/>
  <c r="K12" i="6" s="1"/>
  <c r="K17" i="6" l="1"/>
  <c r="AL56" i="6"/>
  <c r="AL55" i="6"/>
  <c r="U46" i="6"/>
  <c r="AC46" i="6" s="1"/>
  <c r="AE46" i="6" s="1"/>
  <c r="AJ46" i="6" s="1"/>
  <c r="S46" i="6"/>
  <c r="AG46" i="6" s="1"/>
  <c r="AL46" i="6" s="1"/>
  <c r="N13" i="6"/>
  <c r="K43" i="6"/>
  <c r="AL58" i="6"/>
  <c r="K18" i="6"/>
  <c r="N18" i="6"/>
  <c r="K22" i="6"/>
  <c r="N22" i="6"/>
  <c r="K26" i="6"/>
  <c r="N26" i="6"/>
  <c r="K30" i="6"/>
  <c r="N30" i="6"/>
  <c r="K34" i="6"/>
  <c r="N34" i="6"/>
  <c r="K38" i="6"/>
  <c r="N38" i="6"/>
  <c r="K14" i="6"/>
  <c r="N16" i="6"/>
  <c r="K16" i="6"/>
  <c r="N21" i="6"/>
  <c r="K21" i="6"/>
  <c r="N25" i="6"/>
  <c r="K25" i="6"/>
  <c r="N29" i="6"/>
  <c r="K29" i="6"/>
  <c r="N33" i="6"/>
  <c r="K33" i="6"/>
  <c r="N37" i="6"/>
  <c r="K37" i="6"/>
  <c r="Y43" i="6"/>
  <c r="AA43" i="6" s="1"/>
  <c r="AI43" i="6" s="1"/>
  <c r="W43" i="6"/>
  <c r="AH43" i="6" s="1"/>
  <c r="AO43" i="6" s="1"/>
  <c r="AP43" i="6" s="1"/>
  <c r="K20" i="6"/>
  <c r="N20" i="6"/>
  <c r="K24" i="6"/>
  <c r="N24" i="6"/>
  <c r="K28" i="6"/>
  <c r="N28" i="6"/>
  <c r="K32" i="6"/>
  <c r="N32" i="6"/>
  <c r="K36" i="6"/>
  <c r="N36" i="6"/>
  <c r="S43" i="6"/>
  <c r="AG43" i="6" s="1"/>
  <c r="AL43" i="6" s="1"/>
  <c r="N19" i="6"/>
  <c r="K19" i="6"/>
  <c r="N23" i="6"/>
  <c r="K23" i="6"/>
  <c r="N27" i="6"/>
  <c r="K27" i="6"/>
  <c r="N31" i="6"/>
  <c r="K31" i="6"/>
  <c r="N35" i="6"/>
  <c r="K35" i="6"/>
  <c r="E48" i="6"/>
  <c r="F39" i="6"/>
  <c r="AC43" i="6"/>
  <c r="AE43" i="6" s="1"/>
  <c r="AJ43" i="6" s="1"/>
  <c r="AL54" i="6"/>
  <c r="N12" i="6"/>
  <c r="AL57" i="6"/>
  <c r="AL39" i="6"/>
  <c r="AG60" i="6"/>
  <c r="W46" i="6" l="1"/>
  <c r="AH46" i="6" s="1"/>
  <c r="F48" i="6"/>
  <c r="Y46" i="6"/>
  <c r="AA46" i="6" s="1"/>
  <c r="AI46" i="6" s="1"/>
  <c r="AN43" i="6"/>
  <c r="AG48" i="6"/>
  <c r="AL48" i="6" s="1"/>
  <c r="K39" i="6"/>
  <c r="AL60" i="6"/>
  <c r="AM43" i="6"/>
  <c r="AM46" i="6" l="1"/>
  <c r="AO46" i="6"/>
  <c r="AP46" i="6" s="1"/>
  <c r="AN46" i="6"/>
  <c r="N39" i="6"/>
  <c r="H39" i="6"/>
  <c r="P16" i="6"/>
  <c r="P14" i="6"/>
  <c r="K48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39" i="6"/>
  <c r="P17" i="6"/>
  <c r="P12" i="6"/>
  <c r="P15" i="6"/>
  <c r="P13" i="6"/>
  <c r="Y17" i="6" l="1"/>
  <c r="AA17" i="6" s="1"/>
  <c r="AI17" i="6" s="1"/>
  <c r="U17" i="6"/>
  <c r="W17" i="6" s="1"/>
  <c r="AH17" i="6" s="1"/>
  <c r="AC17" i="6"/>
  <c r="AE17" i="6" s="1"/>
  <c r="AJ17" i="6" s="1"/>
  <c r="Y20" i="6"/>
  <c r="AA20" i="6" s="1"/>
  <c r="AI20" i="6" s="1"/>
  <c r="U20" i="6"/>
  <c r="W20" i="6" s="1"/>
  <c r="AH20" i="6" s="1"/>
  <c r="AC20" i="6"/>
  <c r="AE20" i="6" s="1"/>
  <c r="AJ20" i="6" s="1"/>
  <c r="Y24" i="6"/>
  <c r="AA24" i="6" s="1"/>
  <c r="AI24" i="6" s="1"/>
  <c r="U24" i="6"/>
  <c r="W24" i="6" s="1"/>
  <c r="AH24" i="6" s="1"/>
  <c r="AC24" i="6"/>
  <c r="AE24" i="6" s="1"/>
  <c r="AJ24" i="6" s="1"/>
  <c r="Y32" i="6"/>
  <c r="AA32" i="6" s="1"/>
  <c r="AI32" i="6" s="1"/>
  <c r="U32" i="6"/>
  <c r="W32" i="6" s="1"/>
  <c r="AH32" i="6" s="1"/>
  <c r="AC32" i="6"/>
  <c r="AE32" i="6" s="1"/>
  <c r="AJ32" i="6" s="1"/>
  <c r="Y36" i="6"/>
  <c r="AA36" i="6" s="1"/>
  <c r="AI36" i="6" s="1"/>
  <c r="U36" i="6"/>
  <c r="W36" i="6" s="1"/>
  <c r="AH36" i="6" s="1"/>
  <c r="AC36" i="6"/>
  <c r="AE36" i="6" s="1"/>
  <c r="AJ36" i="6" s="1"/>
  <c r="Y14" i="6"/>
  <c r="AA14" i="6" s="1"/>
  <c r="AI14" i="6" s="1"/>
  <c r="U14" i="6"/>
  <c r="W14" i="6" s="1"/>
  <c r="AH14" i="6" s="1"/>
  <c r="AC14" i="6"/>
  <c r="AE14" i="6" s="1"/>
  <c r="AJ14" i="6" s="1"/>
  <c r="Y13" i="6"/>
  <c r="AA13" i="6" s="1"/>
  <c r="AI13" i="6" s="1"/>
  <c r="U13" i="6"/>
  <c r="W13" i="6" s="1"/>
  <c r="AH13" i="6" s="1"/>
  <c r="AO13" i="6" s="1"/>
  <c r="AC13" i="6"/>
  <c r="AE13" i="6" s="1"/>
  <c r="AJ13" i="6" s="1"/>
  <c r="Y21" i="6"/>
  <c r="AA21" i="6" s="1"/>
  <c r="AI21" i="6" s="1"/>
  <c r="U21" i="6"/>
  <c r="W21" i="6" s="1"/>
  <c r="AH21" i="6" s="1"/>
  <c r="AC21" i="6"/>
  <c r="AE21" i="6" s="1"/>
  <c r="AJ21" i="6" s="1"/>
  <c r="Y25" i="6"/>
  <c r="AA25" i="6" s="1"/>
  <c r="AI25" i="6" s="1"/>
  <c r="U25" i="6"/>
  <c r="W25" i="6" s="1"/>
  <c r="AH25" i="6" s="1"/>
  <c r="AC25" i="6"/>
  <c r="AE25" i="6" s="1"/>
  <c r="AJ25" i="6" s="1"/>
  <c r="Y29" i="6"/>
  <c r="AA29" i="6" s="1"/>
  <c r="AI29" i="6" s="1"/>
  <c r="U29" i="6"/>
  <c r="W29" i="6" s="1"/>
  <c r="AH29" i="6" s="1"/>
  <c r="AC29" i="6"/>
  <c r="AE29" i="6" s="1"/>
  <c r="AJ29" i="6" s="1"/>
  <c r="Y33" i="6"/>
  <c r="AA33" i="6" s="1"/>
  <c r="AI33" i="6" s="1"/>
  <c r="U33" i="6"/>
  <c r="W33" i="6" s="1"/>
  <c r="AH33" i="6" s="1"/>
  <c r="AC33" i="6"/>
  <c r="AE33" i="6" s="1"/>
  <c r="AJ33" i="6" s="1"/>
  <c r="Y37" i="6"/>
  <c r="AA37" i="6" s="1"/>
  <c r="AI37" i="6" s="1"/>
  <c r="U37" i="6"/>
  <c r="W37" i="6" s="1"/>
  <c r="AH37" i="6" s="1"/>
  <c r="AC37" i="6"/>
  <c r="AE37" i="6" s="1"/>
  <c r="AJ37" i="6" s="1"/>
  <c r="AC16" i="6"/>
  <c r="AE16" i="6" s="1"/>
  <c r="AJ16" i="6" s="1"/>
  <c r="Y16" i="6"/>
  <c r="AA16" i="6" s="1"/>
  <c r="AI16" i="6" s="1"/>
  <c r="U16" i="6"/>
  <c r="W16" i="6" s="1"/>
  <c r="AH16" i="6" s="1"/>
  <c r="AC15" i="6"/>
  <c r="AE15" i="6" s="1"/>
  <c r="AJ15" i="6" s="1"/>
  <c r="Y15" i="6"/>
  <c r="AA15" i="6" s="1"/>
  <c r="AI15" i="6" s="1"/>
  <c r="U15" i="6"/>
  <c r="W15" i="6" s="1"/>
  <c r="AH15" i="6" s="1"/>
  <c r="Y18" i="6"/>
  <c r="AA18" i="6" s="1"/>
  <c r="AI18" i="6" s="1"/>
  <c r="U18" i="6"/>
  <c r="W18" i="6" s="1"/>
  <c r="AH18" i="6" s="1"/>
  <c r="AC18" i="6"/>
  <c r="AE18" i="6" s="1"/>
  <c r="AJ18" i="6" s="1"/>
  <c r="Y22" i="6"/>
  <c r="AA22" i="6" s="1"/>
  <c r="AI22" i="6" s="1"/>
  <c r="U22" i="6"/>
  <c r="W22" i="6" s="1"/>
  <c r="AH22" i="6" s="1"/>
  <c r="AC22" i="6"/>
  <c r="AE22" i="6" s="1"/>
  <c r="AJ22" i="6" s="1"/>
  <c r="Y26" i="6"/>
  <c r="AA26" i="6" s="1"/>
  <c r="AI26" i="6" s="1"/>
  <c r="U26" i="6"/>
  <c r="W26" i="6" s="1"/>
  <c r="AH26" i="6" s="1"/>
  <c r="AC26" i="6"/>
  <c r="AE26" i="6" s="1"/>
  <c r="AJ26" i="6" s="1"/>
  <c r="Y30" i="6"/>
  <c r="AA30" i="6" s="1"/>
  <c r="AI30" i="6" s="1"/>
  <c r="U30" i="6"/>
  <c r="W30" i="6" s="1"/>
  <c r="AH30" i="6" s="1"/>
  <c r="AC30" i="6"/>
  <c r="AE30" i="6" s="1"/>
  <c r="AJ30" i="6" s="1"/>
  <c r="Y34" i="6"/>
  <c r="AA34" i="6" s="1"/>
  <c r="AI34" i="6" s="1"/>
  <c r="U34" i="6"/>
  <c r="W34" i="6" s="1"/>
  <c r="AH34" i="6" s="1"/>
  <c r="AC34" i="6"/>
  <c r="AE34" i="6" s="1"/>
  <c r="AJ34" i="6" s="1"/>
  <c r="Y38" i="6"/>
  <c r="AA38" i="6" s="1"/>
  <c r="AI38" i="6" s="1"/>
  <c r="U38" i="6"/>
  <c r="W38" i="6" s="1"/>
  <c r="AH38" i="6" s="1"/>
  <c r="AC38" i="6"/>
  <c r="AE38" i="6" s="1"/>
  <c r="AJ38" i="6" s="1"/>
  <c r="Y12" i="6"/>
  <c r="AA12" i="6" s="1"/>
  <c r="AI12" i="6" s="1"/>
  <c r="AC12" i="6"/>
  <c r="AE12" i="6" s="1"/>
  <c r="AJ12" i="6" s="1"/>
  <c r="U12" i="6"/>
  <c r="AH12" i="6" s="1"/>
  <c r="AO12" i="6" s="1"/>
  <c r="Y19" i="6"/>
  <c r="AA19" i="6" s="1"/>
  <c r="AI19" i="6" s="1"/>
  <c r="U19" i="6"/>
  <c r="W19" i="6" s="1"/>
  <c r="AH19" i="6" s="1"/>
  <c r="AC19" i="6"/>
  <c r="AE19" i="6" s="1"/>
  <c r="AJ19" i="6" s="1"/>
  <c r="Y23" i="6"/>
  <c r="AA23" i="6" s="1"/>
  <c r="AI23" i="6" s="1"/>
  <c r="U23" i="6"/>
  <c r="W23" i="6" s="1"/>
  <c r="AH23" i="6" s="1"/>
  <c r="AC23" i="6"/>
  <c r="AE23" i="6" s="1"/>
  <c r="AJ23" i="6" s="1"/>
  <c r="Y27" i="6"/>
  <c r="AA27" i="6" s="1"/>
  <c r="AI27" i="6" s="1"/>
  <c r="U27" i="6"/>
  <c r="W27" i="6" s="1"/>
  <c r="AH27" i="6" s="1"/>
  <c r="AC27" i="6"/>
  <c r="AE27" i="6" s="1"/>
  <c r="AJ27" i="6" s="1"/>
  <c r="Y31" i="6"/>
  <c r="AA31" i="6" s="1"/>
  <c r="AI31" i="6" s="1"/>
  <c r="U31" i="6"/>
  <c r="W31" i="6" s="1"/>
  <c r="AH31" i="6" s="1"/>
  <c r="AC31" i="6"/>
  <c r="AE31" i="6" s="1"/>
  <c r="AJ31" i="6" s="1"/>
  <c r="Y35" i="6"/>
  <c r="AA35" i="6" s="1"/>
  <c r="AI35" i="6" s="1"/>
  <c r="U35" i="6"/>
  <c r="W35" i="6" s="1"/>
  <c r="AH35" i="6" s="1"/>
  <c r="AC35" i="6"/>
  <c r="AE35" i="6" s="1"/>
  <c r="AJ35" i="6" s="1"/>
  <c r="Y28" i="6"/>
  <c r="AA28" i="6" s="1"/>
  <c r="AI28" i="6" s="1"/>
  <c r="U28" i="6"/>
  <c r="W28" i="6" s="1"/>
  <c r="AH28" i="6" s="1"/>
  <c r="AC28" i="6"/>
  <c r="AE28" i="6" s="1"/>
  <c r="AJ28" i="6" s="1"/>
  <c r="AO15" i="6" l="1"/>
  <c r="AM16" i="6"/>
  <c r="AO16" i="6"/>
  <c r="AP16" i="6" s="1"/>
  <c r="AM17" i="6"/>
  <c r="AO17" i="6"/>
  <c r="AP17" i="6" s="1"/>
  <c r="AM35" i="6"/>
  <c r="AO35" i="6"/>
  <c r="AP35" i="6" s="1"/>
  <c r="AM23" i="6"/>
  <c r="AO23" i="6"/>
  <c r="AP23" i="6" s="1"/>
  <c r="AM34" i="6"/>
  <c r="AO34" i="6"/>
  <c r="AP34" i="6" s="1"/>
  <c r="AM26" i="6"/>
  <c r="AO26" i="6"/>
  <c r="AP26" i="6" s="1"/>
  <c r="AM18" i="6"/>
  <c r="AO18" i="6"/>
  <c r="AP18" i="6" s="1"/>
  <c r="AO37" i="6"/>
  <c r="AM33" i="6"/>
  <c r="AO33" i="6"/>
  <c r="AP33" i="6" s="1"/>
  <c r="AM25" i="6"/>
  <c r="AO25" i="6"/>
  <c r="AP25" i="6" s="1"/>
  <c r="AM21" i="6"/>
  <c r="AO21" i="6"/>
  <c r="AP21" i="6" s="1"/>
  <c r="AM13" i="6"/>
  <c r="AP13" i="6"/>
  <c r="AM14" i="6"/>
  <c r="AO14" i="6"/>
  <c r="AP14" i="6" s="1"/>
  <c r="AM36" i="6"/>
  <c r="AO36" i="6"/>
  <c r="AP36" i="6" s="1"/>
  <c r="AM32" i="6"/>
  <c r="AO32" i="6"/>
  <c r="AP32" i="6" s="1"/>
  <c r="AM24" i="6"/>
  <c r="AO24" i="6"/>
  <c r="AP24" i="6" s="1"/>
  <c r="AM20" i="6"/>
  <c r="AO20" i="6"/>
  <c r="AP20" i="6" s="1"/>
  <c r="AM28" i="6"/>
  <c r="AO28" i="6"/>
  <c r="AP28" i="6" s="1"/>
  <c r="AM31" i="6"/>
  <c r="AO31" i="6"/>
  <c r="AP31" i="6" s="1"/>
  <c r="AM27" i="6"/>
  <c r="AO27" i="6"/>
  <c r="AP27" i="6" s="1"/>
  <c r="AM19" i="6"/>
  <c r="AO19" i="6"/>
  <c r="AP19" i="6" s="1"/>
  <c r="AO38" i="6"/>
  <c r="AM30" i="6"/>
  <c r="AO30" i="6"/>
  <c r="AP30" i="6" s="1"/>
  <c r="AM22" i="6"/>
  <c r="AO22" i="6"/>
  <c r="AP22" i="6" s="1"/>
  <c r="AO29" i="6"/>
  <c r="AN28" i="6"/>
  <c r="AN35" i="6"/>
  <c r="AN31" i="6"/>
  <c r="AN27" i="6"/>
  <c r="AN23" i="6"/>
  <c r="AN19" i="6"/>
  <c r="AN34" i="6"/>
  <c r="AN30" i="6"/>
  <c r="AN26" i="6"/>
  <c r="AN22" i="6"/>
  <c r="AN18" i="6"/>
  <c r="AN33" i="6"/>
  <c r="AN25" i="6"/>
  <c r="AN21" i="6"/>
  <c r="AN13" i="6"/>
  <c r="AN14" i="6"/>
  <c r="AN32" i="6"/>
  <c r="AN24" i="6"/>
  <c r="AN20" i="6"/>
  <c r="AN36" i="6"/>
  <c r="AH56" i="6"/>
  <c r="AH39" i="6"/>
  <c r="AM12" i="6"/>
  <c r="AJ54" i="6"/>
  <c r="AN15" i="6"/>
  <c r="AI57" i="6"/>
  <c r="AJ58" i="6"/>
  <c r="AJ55" i="6"/>
  <c r="AJ56" i="6"/>
  <c r="AJ39" i="6"/>
  <c r="AJ48" i="6" s="1"/>
  <c r="AM38" i="6"/>
  <c r="AH54" i="6"/>
  <c r="AJ57" i="6"/>
  <c r="AN16" i="6"/>
  <c r="AM37" i="6"/>
  <c r="AH58" i="6"/>
  <c r="AM29" i="6"/>
  <c r="AH55" i="6"/>
  <c r="AN17" i="6"/>
  <c r="AH57" i="6"/>
  <c r="AM15" i="6"/>
  <c r="AI56" i="6"/>
  <c r="AI39" i="6"/>
  <c r="AI48" i="6" s="1"/>
  <c r="AN12" i="6"/>
  <c r="AI54" i="6"/>
  <c r="AN38" i="6"/>
  <c r="AN37" i="6"/>
  <c r="AI58" i="6"/>
  <c r="AI55" i="6"/>
  <c r="AN29" i="6"/>
  <c r="AM57" i="6" l="1"/>
  <c r="AM54" i="6"/>
  <c r="AO55" i="6"/>
  <c r="AP29" i="6"/>
  <c r="AM58" i="6"/>
  <c r="AO54" i="6"/>
  <c r="AP38" i="6"/>
  <c r="AP37" i="6"/>
  <c r="AO58" i="6"/>
  <c r="AO56" i="6"/>
  <c r="AP12" i="6"/>
  <c r="AH48" i="6"/>
  <c r="AO48" i="6" s="1"/>
  <c r="I41" i="6" s="1"/>
  <c r="AO39" i="6"/>
  <c r="AM55" i="6"/>
  <c r="AP15" i="6"/>
  <c r="AO57" i="6"/>
  <c r="AN54" i="6"/>
  <c r="AN57" i="6"/>
  <c r="AN58" i="6"/>
  <c r="AI60" i="6"/>
  <c r="AN56" i="6"/>
  <c r="AN39" i="6"/>
  <c r="AH60" i="6"/>
  <c r="AJ60" i="6"/>
  <c r="AM39" i="6"/>
  <c r="AM56" i="6"/>
  <c r="AN55" i="6"/>
  <c r="AO60" i="6" l="1"/>
  <c r="AM60" i="6"/>
  <c r="AP39" i="6"/>
  <c r="AP48" i="6" s="1"/>
  <c r="AN60" i="6"/>
</calcChain>
</file>

<file path=xl/sharedStrings.xml><?xml version="1.0" encoding="utf-8"?>
<sst xmlns="http://schemas.openxmlformats.org/spreadsheetml/2006/main" count="916" uniqueCount="389">
  <si>
    <t>Hospital</t>
  </si>
  <si>
    <t>Total</t>
  </si>
  <si>
    <t xml:space="preserve">BACKUS </t>
  </si>
  <si>
    <t xml:space="preserve">BRIDGEPORT </t>
  </si>
  <si>
    <t xml:space="preserve">BRISTOL </t>
  </si>
  <si>
    <t xml:space="preserve">DANBURY </t>
  </si>
  <si>
    <t xml:space="preserve">DAY KIMBALL </t>
  </si>
  <si>
    <t>GREENWICH</t>
  </si>
  <si>
    <t xml:space="preserve">GRIFFIN </t>
  </si>
  <si>
    <t xml:space="preserve">HARTFORD </t>
  </si>
  <si>
    <t>HOSP. CEN. CT</t>
  </si>
  <si>
    <t xml:space="preserve">HUNGERFORD </t>
  </si>
  <si>
    <t>JOHNSON</t>
  </si>
  <si>
    <t>LAWR &amp; MEM</t>
  </si>
  <si>
    <t>MANCHESTER</t>
  </si>
  <si>
    <t xml:space="preserve">MIDSTATE </t>
  </si>
  <si>
    <t xml:space="preserve">MIDDLESEX </t>
  </si>
  <si>
    <t xml:space="preserve">MILFORD </t>
  </si>
  <si>
    <t xml:space="preserve">NORWALK </t>
  </si>
  <si>
    <t>ROCKVILLE</t>
  </si>
  <si>
    <t>ST FRANCIS</t>
  </si>
  <si>
    <t xml:space="preserve">ST MARYS </t>
  </si>
  <si>
    <t>ST VINCENTS</t>
  </si>
  <si>
    <t xml:space="preserve">SHARON </t>
  </si>
  <si>
    <t xml:space="preserve">STAMFORD </t>
  </si>
  <si>
    <t xml:space="preserve">WATERBURY </t>
  </si>
  <si>
    <t>WINDHAM</t>
  </si>
  <si>
    <t>YALE</t>
  </si>
  <si>
    <t>004041851</t>
  </si>
  <si>
    <t>004041703</t>
  </si>
  <si>
    <t>004041901</t>
  </si>
  <si>
    <t>004041935</t>
  </si>
  <si>
    <t>004041638</t>
  </si>
  <si>
    <t>004041786</t>
  </si>
  <si>
    <t>004041927</t>
  </si>
  <si>
    <t>004041869</t>
  </si>
  <si>
    <t>004041950</t>
  </si>
  <si>
    <t>004041711</t>
  </si>
  <si>
    <t>004041687</t>
  </si>
  <si>
    <t>004041679</t>
  </si>
  <si>
    <t>004041810</t>
  </si>
  <si>
    <t>004041778</t>
  </si>
  <si>
    <t>004041794</t>
  </si>
  <si>
    <t>004041943</t>
  </si>
  <si>
    <t>004221800</t>
  </si>
  <si>
    <t>004041620</t>
  </si>
  <si>
    <t>004041760</t>
  </si>
  <si>
    <t>004041893</t>
  </si>
  <si>
    <t>004041661</t>
  </si>
  <si>
    <t>004041828</t>
  </si>
  <si>
    <t>004041836</t>
  </si>
  <si>
    <t>Affiliations</t>
  </si>
  <si>
    <t>Connecticut Department of Social Services - Division of Health Services</t>
  </si>
  <si>
    <t>Fiscal Impact of Four Year Transition to a Statewide Base Rate</t>
  </si>
  <si>
    <t>Base Rate Infusions*</t>
  </si>
  <si>
    <t xml:space="preserve">4 Year Statewide Rate Transition </t>
  </si>
  <si>
    <t>Flat Rate Adjustment to Base Rate</t>
  </si>
  <si>
    <t xml:space="preserve"> </t>
  </si>
  <si>
    <t>Includes Option for Immediate Infusion of Funding</t>
  </si>
  <si>
    <t>Percentage Adjustment</t>
  </si>
  <si>
    <t>First Date of Service 1/1/2015 to 12/31/2015</t>
  </si>
  <si>
    <t>Annual Fiscal Impact</t>
  </si>
  <si>
    <t>Paid Dates of Service 1/1/2015 to 4/8/2016</t>
  </si>
  <si>
    <t>Transition Rates with IME/WI Adjustments**</t>
  </si>
  <si>
    <t>Statewide</t>
  </si>
  <si>
    <t>Base Rates and Payments Before and After Potential Infusion</t>
  </si>
  <si>
    <t>Adjust APR-DRG Rate for IME/WI</t>
  </si>
  <si>
    <t>Year 1 Transition - 75/25</t>
  </si>
  <si>
    <t>Year 2 Transition - 50/50</t>
  </si>
  <si>
    <t>Year 3 Transition 25/75</t>
  </si>
  <si>
    <t>Year 4 Transition - 100% Statewide</t>
  </si>
  <si>
    <t>Fiscal Impact</t>
  </si>
  <si>
    <t>Medicare Number</t>
  </si>
  <si>
    <t>Medicaid Number</t>
  </si>
  <si>
    <t>2015 APR-DRG Discharges</t>
  </si>
  <si>
    <t>2015 CMI</t>
  </si>
  <si>
    <t>Corrected Revenue Neutral APR-DRG Rate Reduced for DCI Overage</t>
  </si>
  <si>
    <t>Corrected Revenue Neutral APR-DRG  Inlier Payments</t>
  </si>
  <si>
    <t>Revised APR-DRG Rate to Infuse Funding</t>
  </si>
  <si>
    <t>Revised APR-DRG Inlier Payments</t>
  </si>
  <si>
    <t>2017 IME/WI Rate Factor</t>
  </si>
  <si>
    <t xml:space="preserve">Hospital Specific APR-DRG Rate w/ IME/WI Removed </t>
  </si>
  <si>
    <t>Statewide APR-DRG Rate w/o IME/WI</t>
  </si>
  <si>
    <t xml:space="preserve"> YR 1 Transition APR-DRG Rate (Prior to IME/WI Adj.)</t>
  </si>
  <si>
    <t>IME/WI Adjusted APR-DRG Rate</t>
  </si>
  <si>
    <t xml:space="preserve"> YR 2 Transition APR-DRG Rate (Prior to IME/WI Adj.)</t>
  </si>
  <si>
    <t>2018 IME/WI Rate Factor</t>
  </si>
  <si>
    <t>IME/WI Adjusted YR 2 Transition Rate</t>
  </si>
  <si>
    <t xml:space="preserve"> YR 3 Transition APR-DRG Rate (Prior to IME/WI Adj.)</t>
  </si>
  <si>
    <t>2019 IME/WI Rate Factor</t>
  </si>
  <si>
    <t>IME/WI Adjusted YR 3 Transition Rate</t>
  </si>
  <si>
    <t xml:space="preserve"> YR 4 Transition APR-DRG Rate (Prior to IME/WI Adj.)</t>
  </si>
  <si>
    <t>2020 IME/WI Rate Factor</t>
  </si>
  <si>
    <t>IME/WI Adjusted YR 4 Transition Rate</t>
  </si>
  <si>
    <t>YR 1 Inlier Payments</t>
  </si>
  <si>
    <t>YR 2 Inlier Payments</t>
  </si>
  <si>
    <t>YR 3 Inlier Payments</t>
  </si>
  <si>
    <t>YR 4 Inlier Payments</t>
  </si>
  <si>
    <t>YR 1 Difference</t>
  </si>
  <si>
    <t>YR 2 Difference</t>
  </si>
  <si>
    <t>YR 3 Difference</t>
  </si>
  <si>
    <t>5/12</t>
  </si>
  <si>
    <t>a</t>
  </si>
  <si>
    <t>b</t>
  </si>
  <si>
    <t>c</t>
  </si>
  <si>
    <t>d</t>
  </si>
  <si>
    <t>e</t>
  </si>
  <si>
    <t>f</t>
  </si>
  <si>
    <t>g</t>
  </si>
  <si>
    <t>i=(f+FRA)*(1+PA)</t>
  </si>
  <si>
    <t>j = d*e*i</t>
  </si>
  <si>
    <t>k</t>
  </si>
  <si>
    <t>l = i/k</t>
  </si>
  <si>
    <t>m</t>
  </si>
  <si>
    <t>n = (3/4*l)+(1/4*m)</t>
  </si>
  <si>
    <t>o=k*n</t>
  </si>
  <si>
    <t>p = (1/2*m)+(1/2*l)</t>
  </si>
  <si>
    <t>q</t>
  </si>
  <si>
    <t>r=q*p</t>
  </si>
  <si>
    <t>s = (1/4*l)+(3/4*m)</t>
  </si>
  <si>
    <t>t</t>
  </si>
  <si>
    <t>u = t*s</t>
  </si>
  <si>
    <t>v = m</t>
  </si>
  <si>
    <t>w</t>
  </si>
  <si>
    <t>x = w*v</t>
  </si>
  <si>
    <t>y=d*e*o</t>
  </si>
  <si>
    <t>z=d*e*r</t>
  </si>
  <si>
    <t>aa=d*e*u</t>
  </si>
  <si>
    <t>ab=d*e*x</t>
  </si>
  <si>
    <t>ac=y-g</t>
  </si>
  <si>
    <t>ad=z-y</t>
  </si>
  <si>
    <t>ae=aa-z</t>
  </si>
  <si>
    <t>af=ab-y</t>
  </si>
  <si>
    <t>070002</t>
  </si>
  <si>
    <t>Saint Francis Hospital</t>
  </si>
  <si>
    <t>070003</t>
  </si>
  <si>
    <t>Day Kimball Hospital</t>
  </si>
  <si>
    <t>070004</t>
  </si>
  <si>
    <t>Sharon Hospital</t>
  </si>
  <si>
    <t>070005</t>
  </si>
  <si>
    <t>Waterbury Hospital</t>
  </si>
  <si>
    <t>070006</t>
  </si>
  <si>
    <t>Stamford Hospital</t>
  </si>
  <si>
    <t>070007</t>
  </si>
  <si>
    <t>Lawrence &amp; Memorial Hospital</t>
  </si>
  <si>
    <t>070008</t>
  </si>
  <si>
    <t>Johnson Memorial Hospital</t>
  </si>
  <si>
    <t>070010</t>
  </si>
  <si>
    <t>Bridgeport Hospital</t>
  </si>
  <si>
    <t>070011</t>
  </si>
  <si>
    <t>Charlotte Hungerford Hospital</t>
  </si>
  <si>
    <t>070012</t>
  </si>
  <si>
    <t>Rockville General Hospital</t>
  </si>
  <si>
    <t>070015</t>
  </si>
  <si>
    <t>004041752</t>
  </si>
  <si>
    <t>New Milford Hospital</t>
  </si>
  <si>
    <t>070016</t>
  </si>
  <si>
    <t>Saint Mary's Hospital</t>
  </si>
  <si>
    <t>070017</t>
  </si>
  <si>
    <t>Midstate Medical Center</t>
  </si>
  <si>
    <t>070018</t>
  </si>
  <si>
    <t>Greenwich Hospital</t>
  </si>
  <si>
    <t>070019</t>
  </si>
  <si>
    <t>Milford Hospital</t>
  </si>
  <si>
    <t>070020</t>
  </si>
  <si>
    <t>Middlesex Hospital</t>
  </si>
  <si>
    <t>070021</t>
  </si>
  <si>
    <t>Windham Community Memorial Hospital</t>
  </si>
  <si>
    <t>070022</t>
  </si>
  <si>
    <t>Yale-New Haven Hospital</t>
  </si>
  <si>
    <t>070024</t>
  </si>
  <si>
    <t>William W. Backus Hospital</t>
  </si>
  <si>
    <t>070025</t>
  </si>
  <si>
    <t>Hartford Hospital</t>
  </si>
  <si>
    <t>070027</t>
  </si>
  <si>
    <t>Manchester Memorial Hospital</t>
  </si>
  <si>
    <t>070028</t>
  </si>
  <si>
    <t>Saint Vincent's Medical Center</t>
  </si>
  <si>
    <t>070029</t>
  </si>
  <si>
    <t>Bristol Hospital</t>
  </si>
  <si>
    <t>070031</t>
  </si>
  <si>
    <t>Griffin Hospital</t>
  </si>
  <si>
    <t>070033</t>
  </si>
  <si>
    <t>Danbury Hospital</t>
  </si>
  <si>
    <t>070034</t>
  </si>
  <si>
    <t>Norwalk Hospital</t>
  </si>
  <si>
    <t>070035</t>
  </si>
  <si>
    <t>Hospital of Central Connecticut</t>
  </si>
  <si>
    <t>Other Peer Groups</t>
  </si>
  <si>
    <t>073300</t>
  </si>
  <si>
    <t>004159960</t>
  </si>
  <si>
    <t>Connecticut Children's Medical Center</t>
  </si>
  <si>
    <t>070036</t>
  </si>
  <si>
    <t>004041968</t>
  </si>
  <si>
    <t>John Dempsey Hospital</t>
  </si>
  <si>
    <t>Statewide Totals</t>
  </si>
  <si>
    <t>*Base Rate Infusions are impacted by WI/IME factors</t>
  </si>
  <si>
    <t>Hartford (HOCCT,MIDST,HARTF,WNDHM,BCKUS)</t>
  </si>
  <si>
    <t>Yale (YHAVN,BRGPT,GRENH,LAMEM)</t>
  </si>
  <si>
    <t>Trinity (SFRNS,JNSON,SAMRY)</t>
  </si>
  <si>
    <t>Prospect Holdings (WATBY,MANCH,RKVLE)</t>
  </si>
  <si>
    <t>WCHN (DANBY,NRWLK,NMILF)</t>
  </si>
  <si>
    <t>h</t>
  </si>
  <si>
    <t>i</t>
  </si>
  <si>
    <t>j</t>
  </si>
  <si>
    <t>o</t>
  </si>
  <si>
    <t>p</t>
  </si>
  <si>
    <t>The Hospital Of Central Connecticut</t>
  </si>
  <si>
    <t>Connecticut Childrens Medical Center</t>
  </si>
  <si>
    <t xml:space="preserve">Combined IME and Wage Index Rate Adjustment Factor </t>
  </si>
  <si>
    <t>FY 2015 Cost Report IME</t>
  </si>
  <si>
    <t>2017 IME/WI Factor</t>
  </si>
  <si>
    <t>FY 2016 Cost Report IME</t>
  </si>
  <si>
    <t>2018 IME/WI Factor</t>
  </si>
  <si>
    <t>2019 WI Factor</t>
  </si>
  <si>
    <t>FY 2017 Cost Report IME</t>
  </si>
  <si>
    <t>2019 IME/WI Factor</t>
  </si>
  <si>
    <t>2020 WI Factor</t>
  </si>
  <si>
    <t>FY 2018 Cost Report IME</t>
  </si>
  <si>
    <t>2020 IME/WI Factor</t>
  </si>
  <si>
    <t>f=d*(1+e)</t>
  </si>
  <si>
    <t>i=g*(1+h)</t>
  </si>
  <si>
    <t>k=e</t>
  </si>
  <si>
    <t>l=j*(1+k)</t>
  </si>
  <si>
    <t>n=e</t>
  </si>
  <si>
    <t>o=m*(1+n)</t>
  </si>
  <si>
    <t>Connecticut Children's Medical Center*</t>
  </si>
  <si>
    <t>FY 2018 IME Factors</t>
  </si>
  <si>
    <t>Source Data - FY 2016 Medicare Cost Report, worksheet S-3, columns 2 and 9</t>
  </si>
  <si>
    <t>Hospital Name</t>
  </si>
  <si>
    <t>FYB</t>
  </si>
  <si>
    <t>FYE</t>
  </si>
  <si>
    <t>Hospital Beds</t>
  </si>
  <si>
    <t>Sub IPF Beds</t>
  </si>
  <si>
    <t>Sub IRF Beds</t>
  </si>
  <si>
    <t>Nursery Beds</t>
  </si>
  <si>
    <t>Beds Excluding Nursery</t>
  </si>
  <si>
    <t>I&amp;R FTEs</t>
  </si>
  <si>
    <t>IME
Factor</t>
  </si>
  <si>
    <t>Diff in Beds</t>
  </si>
  <si>
    <t>Diff in I&amp;R</t>
  </si>
  <si>
    <t>i=e+f+g-h</t>
  </si>
  <si>
    <t>k = 1.35*((1+j/i)^.405-1)</t>
  </si>
  <si>
    <t>The Stamford Hospital</t>
  </si>
  <si>
    <t>Rockville General Hospital  Inc.</t>
  </si>
  <si>
    <t>New Milford</t>
  </si>
  <si>
    <t>St. Marys Hospital</t>
  </si>
  <si>
    <t>St. Vincents Medical Center</t>
  </si>
  <si>
    <t>The Griffin Hospital</t>
  </si>
  <si>
    <t>NO CHANGE TO MEDICARE'S FORMULA - check again before finalizing rates</t>
  </si>
  <si>
    <t>Wage Index Factor</t>
  </si>
  <si>
    <t>2018 Labor Component</t>
  </si>
  <si>
    <t>2019 Labor Component</t>
  </si>
  <si>
    <t>2020 Labor Component</t>
  </si>
  <si>
    <t xml:space="preserve">County </t>
  </si>
  <si>
    <t>Urban Area</t>
  </si>
  <si>
    <t>Wage Index</t>
  </si>
  <si>
    <t>2017 Labor Portion WI</t>
  </si>
  <si>
    <t>2018 Labor Portion WI</t>
  </si>
  <si>
    <t>2019 Labor Portion WI</t>
  </si>
  <si>
    <t>2020 Labor Portion WI</t>
  </si>
  <si>
    <t>i =(g*h)+(1-h)</t>
  </si>
  <si>
    <t>l =(j*k)+(1-k)</t>
  </si>
  <si>
    <t>n</t>
  </si>
  <si>
    <t>o=(m*n)+(1-n)</t>
  </si>
  <si>
    <t>r=(p*q)+(1-q)</t>
  </si>
  <si>
    <t>070001</t>
  </si>
  <si>
    <t>Hospital of Saint Raphael</t>
  </si>
  <si>
    <t>New Haven County</t>
  </si>
  <si>
    <t>Hartford County</t>
  </si>
  <si>
    <t>Windham</t>
  </si>
  <si>
    <t>Litchfield</t>
  </si>
  <si>
    <t>Fairfield County</t>
  </si>
  <si>
    <t>New London County</t>
  </si>
  <si>
    <t>Tolland County</t>
  </si>
  <si>
    <t>Saint Mary`s Hospital</t>
  </si>
  <si>
    <t>Middlesex County</t>
  </si>
  <si>
    <t>Saint Vincent`s Medical Center</t>
  </si>
  <si>
    <t>Connecticut Children`s Medical Center</t>
  </si>
  <si>
    <t>25540</t>
  </si>
  <si>
    <t>p:  Worksheet D-3, Line 200, Column 2</t>
  </si>
  <si>
    <t>o:  Worksheet D-3, Line 35.03, Column 2</t>
  </si>
  <si>
    <t>n:  Worksheet D-3, Line 35.02, Column 2</t>
  </si>
  <si>
    <t>m:  Worksheet D-3, Line 35, Column 2</t>
  </si>
  <si>
    <t>l:  Worksheet D-3, Line 34, Column 2</t>
  </si>
  <si>
    <t>k:  Worksheet D-3, Line 32, Column 2</t>
  </si>
  <si>
    <t>j:  Worksheet D-3, Line 31.01, Column 2</t>
  </si>
  <si>
    <t>i:  Worksheet D-3, Line 31, Column 2</t>
  </si>
  <si>
    <t>h:  Worksheet D-3, Line 30, Column 2</t>
  </si>
  <si>
    <t>g:  Worksheet D-1, Line 49, Column 1</t>
  </si>
  <si>
    <t>statewide</t>
  </si>
  <si>
    <t>CONNECTICUT CHILDRENS MEDICAL CENTER</t>
  </si>
  <si>
    <t>As-Filed</t>
  </si>
  <si>
    <t>CT</t>
  </si>
  <si>
    <t>JOHN DEMPSEY HOSPITAL</t>
  </si>
  <si>
    <t>THE HOSPITAL OF CENTRAL CONNECTICUT</t>
  </si>
  <si>
    <t>NORWALK HOSPITAL</t>
  </si>
  <si>
    <t>DANBURY HOSPITAL</t>
  </si>
  <si>
    <t>THE GRIFFIN HOSPITAL</t>
  </si>
  <si>
    <t>BRISTOL HOSPITAL  INC.</t>
  </si>
  <si>
    <t>ST. VINCENTS MEDICAL CENTER</t>
  </si>
  <si>
    <t>MANCHESTER MEMORIAL HOSPITAL</t>
  </si>
  <si>
    <t>HARTFORD HOSPITAL</t>
  </si>
  <si>
    <t>THE WILLIAM W. BACKUS HOSPITAL</t>
  </si>
  <si>
    <t>YALE-NEW HAVEN HOSPITAL</t>
  </si>
  <si>
    <t>WINDHAM COMMUNITY MEMORIAL HOSPITAL</t>
  </si>
  <si>
    <t>MIDDLESEX HOSPITAL</t>
  </si>
  <si>
    <t>MILFORD HOSPITAL  INC</t>
  </si>
  <si>
    <t>GREENWICH HOSPITAL</t>
  </si>
  <si>
    <t>MIDSTATE MEDICAL CENTER</t>
  </si>
  <si>
    <t>ST. MARYS HOSPITAL</t>
  </si>
  <si>
    <t>ROCKVILLE GENERAL HOSPITAL  INC.</t>
  </si>
  <si>
    <t>CHARLOTTE HUNGERFORD HOSPITAL</t>
  </si>
  <si>
    <t>BRIDGEPORT HOSPITAL</t>
  </si>
  <si>
    <t>JOHNSON MEMORIAL HOSPITAL</t>
  </si>
  <si>
    <t>LAWRENCE &amp; MEMORIAL HOSPITAL</t>
  </si>
  <si>
    <t>THE STAMFORD HOSPITAL</t>
  </si>
  <si>
    <t>WATERBURY HOSPITAL</t>
  </si>
  <si>
    <t>SHARON HOSPITAL</t>
  </si>
  <si>
    <t>DAY KIMBALL HOSPITAL</t>
  </si>
  <si>
    <t>SAINT FRANCIS HOSPITAL</t>
  </si>
  <si>
    <t>r = g / q</t>
  </si>
  <si>
    <t>q = sum(h to p)</t>
  </si>
  <si>
    <t>l</t>
  </si>
  <si>
    <t>diff</t>
  </si>
  <si>
    <t>CCR</t>
  </si>
  <si>
    <t>Total Charges</t>
  </si>
  <si>
    <t>Inpatient Total Charges (without Routine Cost Centers)</t>
  </si>
  <si>
    <t>Cardiothoracic ICU Charges</t>
  </si>
  <si>
    <t>Neurological ICU Charges</t>
  </si>
  <si>
    <t>Pediatric ICU Charges</t>
  </si>
  <si>
    <t>Surgical Intensive Care Unit Charges</t>
  </si>
  <si>
    <t>Coronary Care Unit Charges</t>
  </si>
  <si>
    <t>Intensive Care Unit Charges</t>
  </si>
  <si>
    <t>Adults &amp; Pediatrics Charges</t>
  </si>
  <si>
    <t>Total IP Medicare Cost</t>
  </si>
  <si>
    <t>Provider Name</t>
  </si>
  <si>
    <t>Cost Report Status</t>
  </si>
  <si>
    <t>State</t>
  </si>
  <si>
    <t>Ln 200, col 2</t>
  </si>
  <si>
    <t>Ln 35.03, col 2</t>
  </si>
  <si>
    <t>Ln 35.02, col 2</t>
  </si>
  <si>
    <t>Ln 35, col 2</t>
  </si>
  <si>
    <t>Ln 34, col 2</t>
  </si>
  <si>
    <t>Ln 32, col 2</t>
  </si>
  <si>
    <t>Ln 31.01, col 2</t>
  </si>
  <si>
    <t>Ln 31, col 2</t>
  </si>
  <si>
    <t>Ln 30, col 2</t>
  </si>
  <si>
    <t>Ln 49, Col 1</t>
  </si>
  <si>
    <t>W/S D-3</t>
  </si>
  <si>
    <t>W/S D-1</t>
  </si>
  <si>
    <t>Excludes Subproviders</t>
  </si>
  <si>
    <t>Medicare Inpatient Hospital Acute Care Cost to Charge Ratios</t>
  </si>
  <si>
    <t>** 2019-2020 WI/IME factors will be updated when available.  This will result in separate fiscal impacts.</t>
  </si>
  <si>
    <t>2018 68.3% WI</t>
  </si>
  <si>
    <t>2017 69.6% WI</t>
  </si>
  <si>
    <t>** 2019-2020 IME/WI factors will be updated when available.  This will result in separate fiscal impacts.</t>
  </si>
  <si>
    <t>Indirect Medical Education (IME) Factor for Rates effective 1/1/2018</t>
  </si>
  <si>
    <t>2019 and 2020 labor component will be updated when available</t>
  </si>
  <si>
    <t>008069222</t>
  </si>
  <si>
    <t>008069217</t>
  </si>
  <si>
    <t>008069211</t>
  </si>
  <si>
    <t>2017 Original CBSA</t>
  </si>
  <si>
    <t>Labor Component</t>
  </si>
  <si>
    <t>Source: Non-Reclassified Wage Index</t>
  </si>
  <si>
    <t>SPA Impact:</t>
  </si>
  <si>
    <t>Rate Increase</t>
  </si>
  <si>
    <t>Diff. Due to</t>
  </si>
  <si>
    <t>Before All</t>
  </si>
  <si>
    <t>After All</t>
  </si>
  <si>
    <t>Annual</t>
  </si>
  <si>
    <t>Updates</t>
  </si>
  <si>
    <t>Difference</t>
  </si>
  <si>
    <t>Labor Adj.</t>
  </si>
  <si>
    <t>Including Labor Adj.</t>
  </si>
  <si>
    <t>Excl Annual Updates</t>
  </si>
  <si>
    <t>69.6% to 68.3%</t>
  </si>
  <si>
    <t>Update:</t>
  </si>
  <si>
    <t>35300</t>
  </si>
  <si>
    <t>New Haven-Milford, CT</t>
  </si>
  <si>
    <t>Hartford-West Hartford-East Hartford, CT</t>
  </si>
  <si>
    <t>49340</t>
  </si>
  <si>
    <t>Worcester, MA-CT</t>
  </si>
  <si>
    <t xml:space="preserve">   07</t>
  </si>
  <si>
    <t>CONNECTICUT</t>
  </si>
  <si>
    <t>14860</t>
  </si>
  <si>
    <t>Bridgeport-Stamford-Norwalk, CT</t>
  </si>
  <si>
    <t>35980</t>
  </si>
  <si>
    <t>Norwich-New London,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</si>
</sst>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"/>
    <numFmt numFmtId="167" formatCode="_(* #,##0.0000_);_(* \(#,##0.0000\);_(* &quot;-&quot;_);_(@_)"/>
    <numFmt numFmtId="168" formatCode="_(&quot;$&quot;* #,##0.00_);_(&quot;$&quot;* \(#,##0.00\);_(&quot;$&quot;* &quot;-&quot;_);_(@_)"/>
    <numFmt numFmtId="169" formatCode="_(* #,##0.0000_);_(* \(#,##0.0000\);_(* &quot;-&quot;??_);_(@_)"/>
    <numFmt numFmtId="170" formatCode="_(* #,##0.0000_);_(* \(#,##0.0000\);_(* &quot;-&quot;????_);_(@_)"/>
    <numFmt numFmtId="171" formatCode="0.00000"/>
    <numFmt numFmtId="172" formatCode="_(* #,##0.00000_);_(* \(#,##0.00000\);_(* &quot;-&quot;??_);_(@_)"/>
    <numFmt numFmtId="173" formatCode="#,##0.0000_);\(#,##0.0000\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u/>
      <sz val="10"/>
      <color rgb="FF004488"/>
      <name val="Arial"/>
      <family val="2"/>
    </font>
    <font>
      <u/>
      <sz val="10"/>
      <color rgb="FF0066AA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name val="Arial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5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9" fillId="0" borderId="0"/>
    <xf numFmtId="0" fontId="17" fillId="0" borderId="0"/>
    <xf numFmtId="9" fontId="19" fillId="0" borderId="0" applyFont="0" applyFill="0" applyBorder="0" applyAlignment="0" applyProtection="0"/>
    <xf numFmtId="0" fontId="19" fillId="0" borderId="0"/>
    <xf numFmtId="0" fontId="22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4" borderId="0" applyNumberFormat="0" applyBorder="0" applyAlignment="0" applyProtection="0"/>
    <xf numFmtId="0" fontId="1" fillId="30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7" borderId="0" applyNumberFormat="0" applyBorder="0" applyAlignment="0" applyProtection="0"/>
    <xf numFmtId="0" fontId="1" fillId="19" borderId="0" applyNumberFormat="0" applyBorder="0" applyAlignment="0" applyProtection="0"/>
    <xf numFmtId="0" fontId="22" fillId="38" borderId="0" applyNumberFormat="0" applyBorder="0" applyAlignment="0" applyProtection="0"/>
    <xf numFmtId="0" fontId="1" fillId="23" borderId="0" applyNumberFormat="0" applyBorder="0" applyAlignment="0" applyProtection="0"/>
    <xf numFmtId="0" fontId="22" fillId="35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23" fillId="40" borderId="0" applyNumberFormat="0" applyBorder="0" applyAlignment="0" applyProtection="0"/>
    <xf numFmtId="0" fontId="16" fillId="12" borderId="0" applyNumberFormat="0" applyBorder="0" applyAlignment="0" applyProtection="0"/>
    <xf numFmtId="0" fontId="23" fillId="36" borderId="0" applyNumberFormat="0" applyBorder="0" applyAlignment="0" applyProtection="0"/>
    <xf numFmtId="0" fontId="16" fillId="16" borderId="0" applyNumberFormat="0" applyBorder="0" applyAlignment="0" applyProtection="0"/>
    <xf numFmtId="0" fontId="23" fillId="37" borderId="0" applyNumberFormat="0" applyBorder="0" applyAlignment="0" applyProtection="0"/>
    <xf numFmtId="0" fontId="16" fillId="20" borderId="0" applyNumberFormat="0" applyBorder="0" applyAlignment="0" applyProtection="0"/>
    <xf numFmtId="0" fontId="23" fillId="41" borderId="0" applyNumberFormat="0" applyBorder="0" applyAlignment="0" applyProtection="0"/>
    <xf numFmtId="0" fontId="16" fillId="24" borderId="0" applyNumberFormat="0" applyBorder="0" applyAlignment="0" applyProtection="0"/>
    <xf numFmtId="0" fontId="23" fillId="42" borderId="0" applyNumberFormat="0" applyBorder="0" applyAlignment="0" applyProtection="0"/>
    <xf numFmtId="0" fontId="16" fillId="28" borderId="0" applyNumberFormat="0" applyBorder="0" applyAlignment="0" applyProtection="0"/>
    <xf numFmtId="0" fontId="23" fillId="43" borderId="0" applyNumberFormat="0" applyBorder="0" applyAlignment="0" applyProtection="0"/>
    <xf numFmtId="0" fontId="16" fillId="32" borderId="0" applyNumberFormat="0" applyBorder="0" applyAlignment="0" applyProtection="0"/>
    <xf numFmtId="0" fontId="23" fillId="44" borderId="0" applyNumberFormat="0" applyBorder="0" applyAlignment="0" applyProtection="0"/>
    <xf numFmtId="0" fontId="16" fillId="9" borderId="0" applyNumberFormat="0" applyBorder="0" applyAlignment="0" applyProtection="0"/>
    <xf numFmtId="0" fontId="23" fillId="45" borderId="0" applyNumberFormat="0" applyBorder="0" applyAlignment="0" applyProtection="0"/>
    <xf numFmtId="0" fontId="16" fillId="13" borderId="0" applyNumberFormat="0" applyBorder="0" applyAlignment="0" applyProtection="0"/>
    <xf numFmtId="0" fontId="23" fillId="46" borderId="0" applyNumberFormat="0" applyBorder="0" applyAlignment="0" applyProtection="0"/>
    <xf numFmtId="0" fontId="16" fillId="17" borderId="0" applyNumberFormat="0" applyBorder="0" applyAlignment="0" applyProtection="0"/>
    <xf numFmtId="0" fontId="23" fillId="41" borderId="0" applyNumberFormat="0" applyBorder="0" applyAlignment="0" applyProtection="0"/>
    <xf numFmtId="0" fontId="16" fillId="21" borderId="0" applyNumberFormat="0" applyBorder="0" applyAlignment="0" applyProtection="0"/>
    <xf numFmtId="0" fontId="23" fillId="42" borderId="0" applyNumberFormat="0" applyBorder="0" applyAlignment="0" applyProtection="0"/>
    <xf numFmtId="0" fontId="16" fillId="25" borderId="0" applyNumberFormat="0" applyBorder="0" applyAlignment="0" applyProtection="0"/>
    <xf numFmtId="0" fontId="23" fillId="47" borderId="0" applyNumberFormat="0" applyBorder="0" applyAlignment="0" applyProtection="0"/>
    <xf numFmtId="0" fontId="16" fillId="29" borderId="0" applyNumberFormat="0" applyBorder="0" applyAlignment="0" applyProtection="0"/>
    <xf numFmtId="0" fontId="24" fillId="48" borderId="0" applyNumberFormat="0" applyBorder="0" applyAlignment="0" applyProtection="0"/>
    <xf numFmtId="0" fontId="6" fillId="3" borderId="0" applyNumberFormat="0" applyBorder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10" fillId="6" borderId="4" applyNumberFormat="0" applyAlignment="0" applyProtection="0"/>
    <xf numFmtId="0" fontId="26" fillId="50" borderId="18" applyNumberFormat="0" applyAlignment="0" applyProtection="0"/>
    <xf numFmtId="0" fontId="12" fillId="7" borderId="7" applyNumberFormat="0" applyAlignment="0" applyProtection="0"/>
    <xf numFmtId="43" fontId="27" fillId="0" borderId="0" applyFont="0" applyFill="0" applyBorder="0" applyAlignment="0" applyProtection="0"/>
    <xf numFmtId="37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3" fillId="51" borderId="0" applyNumberFormat="0" applyBorder="0" applyAlignment="0" applyProtection="0"/>
    <xf numFmtId="0" fontId="5" fillId="2" borderId="0" applyNumberFormat="0" applyBorder="0" applyAlignment="0" applyProtection="0"/>
    <xf numFmtId="0" fontId="34" fillId="0" borderId="19" applyNumberFormat="0" applyFill="0" applyAlignment="0" applyProtection="0"/>
    <xf numFmtId="0" fontId="2" fillId="0" borderId="1" applyNumberFormat="0" applyFill="0" applyAlignment="0" applyProtection="0"/>
    <xf numFmtId="0" fontId="35" fillId="0" borderId="20" applyNumberFormat="0" applyFill="0" applyAlignment="0" applyProtection="0"/>
    <xf numFmtId="0" fontId="3" fillId="0" borderId="2" applyNumberFormat="0" applyFill="0" applyAlignment="0" applyProtection="0"/>
    <xf numFmtId="0" fontId="36" fillId="0" borderId="21" applyNumberFormat="0" applyFill="0" applyAlignment="0" applyProtection="0"/>
    <xf numFmtId="0" fontId="4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34" borderId="17" applyNumberFormat="0" applyAlignment="0" applyProtection="0"/>
    <xf numFmtId="0" fontId="37" fillId="34" borderId="17" applyNumberFormat="0" applyAlignment="0" applyProtection="0"/>
    <xf numFmtId="0" fontId="37" fillId="34" borderId="17" applyNumberFormat="0" applyAlignment="0" applyProtection="0"/>
    <xf numFmtId="0" fontId="8" fillId="5" borderId="4" applyNumberFormat="0" applyAlignment="0" applyProtection="0"/>
    <xf numFmtId="0" fontId="38" fillId="0" borderId="22" applyNumberFormat="0" applyFill="0" applyAlignment="0" applyProtection="0"/>
    <xf numFmtId="0" fontId="11" fillId="0" borderId="6" applyNumberFormat="0" applyFill="0" applyAlignment="0" applyProtection="0"/>
    <xf numFmtId="0" fontId="39" fillId="52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1" fillId="0" borderId="0"/>
    <xf numFmtId="38" fontId="2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9" fillId="0" borderId="0"/>
    <xf numFmtId="0" fontId="29" fillId="0" borderId="0"/>
    <xf numFmtId="0" fontId="40" fillId="0" borderId="0"/>
    <xf numFmtId="0" fontId="19" fillId="0" borderId="0"/>
    <xf numFmtId="38" fontId="2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53" borderId="23" applyNumberFormat="0" applyFont="0" applyAlignment="0" applyProtection="0"/>
    <xf numFmtId="0" fontId="22" fillId="53" borderId="23" applyNumberFormat="0" applyFont="0" applyAlignment="0" applyProtection="0"/>
    <xf numFmtId="0" fontId="22" fillId="53" borderId="23" applyNumberFormat="0" applyFont="0" applyAlignment="0" applyProtection="0"/>
    <xf numFmtId="0" fontId="1" fillId="8" borderId="8" applyNumberFormat="0" applyFont="0" applyAlignment="0" applyProtection="0"/>
    <xf numFmtId="0" fontId="41" fillId="49" borderId="24" applyNumberFormat="0" applyAlignment="0" applyProtection="0"/>
    <xf numFmtId="0" fontId="41" fillId="49" borderId="24" applyNumberFormat="0" applyAlignment="0" applyProtection="0"/>
    <xf numFmtId="0" fontId="41" fillId="49" borderId="24" applyNumberForma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2" fillId="0" borderId="0"/>
    <xf numFmtId="5" fontId="19" fillId="0" borderId="12">
      <alignment horizontal="right" vertical="top"/>
    </xf>
    <xf numFmtId="0" fontId="19" fillId="0" borderId="0" applyNumberFormat="0" applyFont="0" applyBorder="0">
      <alignment horizontal="centerContinuous"/>
    </xf>
    <xf numFmtId="0" fontId="43" fillId="0" borderId="0" applyNumberFormat="0" applyFill="0" applyBorder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1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9" fillId="0" borderId="0"/>
    <xf numFmtId="0" fontId="19" fillId="0" borderId="0"/>
    <xf numFmtId="44" fontId="1" fillId="0" borderId="0" applyFont="0" applyFill="0" applyBorder="0" applyAlignment="0" applyProtection="0"/>
    <xf numFmtId="0" fontId="21" fillId="0" borderId="0"/>
  </cellStyleXfs>
  <cellXfs count="279">
    <xf numFmtId="0" fontId="0" fillId="0" borderId="0" xfId="0"/>
    <xf numFmtId="164" fontId="0" fillId="0" borderId="10" xfId="1" applyNumberFormat="1" applyFont="1" applyBorder="1"/>
    <xf numFmtId="0" fontId="0" fillId="0" borderId="0" xfId="0" applyBorder="1"/>
    <xf numFmtId="0" fontId="0" fillId="0" borderId="0" xfId="0" applyFont="1"/>
    <xf numFmtId="0" fontId="0" fillId="0" borderId="1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15" fillId="0" borderId="0" xfId="0" applyFont="1"/>
    <xf numFmtId="164" fontId="0" fillId="0" borderId="0" xfId="0" applyNumberFormat="1"/>
    <xf numFmtId="164" fontId="0" fillId="0" borderId="0" xfId="1" applyNumberFormat="1" applyFont="1"/>
    <xf numFmtId="0" fontId="50" fillId="0" borderId="0" xfId="0" applyFont="1"/>
    <xf numFmtId="166" fontId="0" fillId="0" borderId="0" xfId="0" applyNumberFormat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51" fillId="0" borderId="0" xfId="0" applyFont="1"/>
    <xf numFmtId="0" fontId="0" fillId="0" borderId="37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44" fontId="15" fillId="54" borderId="0" xfId="255" applyFont="1" applyFill="1" applyBorder="1"/>
    <xf numFmtId="166" fontId="0" fillId="0" borderId="38" xfId="0" applyNumberFormat="1" applyBorder="1"/>
    <xf numFmtId="10" fontId="15" fillId="54" borderId="0" xfId="2" applyNumberFormat="1" applyFont="1" applyFill="1" applyBorder="1"/>
    <xf numFmtId="0" fontId="0" fillId="0" borderId="38" xfId="0" applyBorder="1"/>
    <xf numFmtId="0" fontId="52" fillId="0" borderId="0" xfId="0" applyFont="1"/>
    <xf numFmtId="0" fontId="0" fillId="0" borderId="39" xfId="0" applyBorder="1"/>
    <xf numFmtId="0" fontId="0" fillId="0" borderId="40" xfId="0" applyBorder="1"/>
    <xf numFmtId="166" fontId="0" fillId="0" borderId="40" xfId="0" applyNumberFormat="1" applyFont="1" applyBorder="1" applyAlignment="1">
      <alignment horizontal="right"/>
    </xf>
    <xf numFmtId="166" fontId="0" fillId="0" borderId="40" xfId="0" applyNumberFormat="1" applyFont="1" applyBorder="1"/>
    <xf numFmtId="0" fontId="0" fillId="0" borderId="41" xfId="0" applyBorder="1"/>
    <xf numFmtId="0" fontId="0" fillId="0" borderId="0" xfId="0" applyAlignment="1">
      <alignment horizontal="right"/>
    </xf>
    <xf numFmtId="10" fontId="46" fillId="0" borderId="0" xfId="0" applyNumberFormat="1" applyFont="1" applyFill="1" applyBorder="1" applyAlignment="1">
      <alignment horizontal="center"/>
    </xf>
    <xf numFmtId="44" fontId="0" fillId="0" borderId="0" xfId="255" applyFont="1"/>
    <xf numFmtId="0" fontId="15" fillId="0" borderId="12" xfId="0" applyFont="1" applyBorder="1" applyAlignment="1"/>
    <xf numFmtId="0" fontId="15" fillId="55" borderId="13" xfId="0" applyFont="1" applyFill="1" applyBorder="1" applyAlignment="1">
      <alignment horizontal="center" wrapText="1"/>
    </xf>
    <xf numFmtId="0" fontId="0" fillId="0" borderId="28" xfId="0" applyBorder="1"/>
    <xf numFmtId="0" fontId="15" fillId="55" borderId="30" xfId="0" applyFont="1" applyFill="1" applyBorder="1" applyAlignment="1">
      <alignment horizontal="center" wrapText="1"/>
    </xf>
    <xf numFmtId="0" fontId="15" fillId="55" borderId="33" xfId="0" applyFont="1" applyFill="1" applyBorder="1" applyAlignment="1">
      <alignment horizontal="center" wrapText="1"/>
    </xf>
    <xf numFmtId="0" fontId="15" fillId="55" borderId="15" xfId="0" applyFont="1" applyFill="1" applyBorder="1" applyAlignment="1">
      <alignment horizontal="center" wrapText="1"/>
    </xf>
    <xf numFmtId="0" fontId="15" fillId="55" borderId="27" xfId="0" applyFont="1" applyFill="1" applyBorder="1" applyAlignment="1">
      <alignment horizontal="center" wrapText="1"/>
    </xf>
    <xf numFmtId="0" fontId="15" fillId="55" borderId="16" xfId="0" applyFont="1" applyFill="1" applyBorder="1" applyAlignment="1">
      <alignment horizontal="center" wrapText="1"/>
    </xf>
    <xf numFmtId="0" fontId="15" fillId="55" borderId="31" xfId="0" applyFont="1" applyFill="1" applyBorder="1" applyAlignment="1">
      <alignment horizontal="center" wrapText="1"/>
    </xf>
    <xf numFmtId="0" fontId="15" fillId="55" borderId="10" xfId="0" applyFont="1" applyFill="1" applyBorder="1" applyAlignment="1">
      <alignment horizontal="center" wrapText="1"/>
    </xf>
    <xf numFmtId="0" fontId="15" fillId="55" borderId="32" xfId="0" applyFont="1" applyFill="1" applyBorder="1" applyAlignment="1">
      <alignment horizontal="center" wrapText="1"/>
    </xf>
    <xf numFmtId="0" fontId="15" fillId="55" borderId="31" xfId="0" applyFont="1" applyFill="1" applyBorder="1" applyAlignment="1">
      <alignment horizontal="center"/>
    </xf>
    <xf numFmtId="0" fontId="53" fillId="55" borderId="33" xfId="0" applyFont="1" applyFill="1" applyBorder="1" applyAlignment="1">
      <alignment horizontal="center"/>
    </xf>
    <xf numFmtId="0" fontId="54" fillId="0" borderId="0" xfId="0" applyFont="1"/>
    <xf numFmtId="0" fontId="54" fillId="0" borderId="26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0" fontId="55" fillId="55" borderId="14" xfId="0" applyFont="1" applyFill="1" applyBorder="1" applyAlignment="1">
      <alignment horizontal="center" wrapText="1"/>
    </xf>
    <xf numFmtId="0" fontId="54" fillId="55" borderId="14" xfId="0" applyFont="1" applyFill="1" applyBorder="1"/>
    <xf numFmtId="0" fontId="54" fillId="0" borderId="0" xfId="0" applyFont="1" applyAlignment="1">
      <alignment horizontal="center"/>
    </xf>
    <xf numFmtId="0" fontId="54" fillId="55" borderId="14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4" fillId="0" borderId="11" xfId="0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0" fillId="0" borderId="0" xfId="0" quotePrefix="1" applyBorder="1"/>
    <xf numFmtId="41" fontId="0" fillId="0" borderId="0" xfId="0" applyNumberFormat="1" applyBorder="1"/>
    <xf numFmtId="167" fontId="0" fillId="0" borderId="0" xfId="0" applyNumberFormat="1" applyBorder="1"/>
    <xf numFmtId="0" fontId="15" fillId="55" borderId="14" xfId="0" applyFont="1" applyFill="1" applyBorder="1" applyAlignment="1">
      <alignment horizontal="center" wrapText="1"/>
    </xf>
    <xf numFmtId="168" fontId="0" fillId="0" borderId="0" xfId="0" applyNumberFormat="1" applyBorder="1"/>
    <xf numFmtId="42" fontId="0" fillId="0" borderId="0" xfId="0" applyNumberFormat="1" applyBorder="1"/>
    <xf numFmtId="165" fontId="0" fillId="0" borderId="0" xfId="0" applyNumberFormat="1" applyBorder="1"/>
    <xf numFmtId="43" fontId="0" fillId="55" borderId="14" xfId="0" applyNumberFormat="1" applyFill="1" applyBorder="1"/>
    <xf numFmtId="169" fontId="0" fillId="0" borderId="0" xfId="0" applyNumberFormat="1"/>
    <xf numFmtId="44" fontId="0" fillId="0" borderId="0" xfId="255" applyFont="1" applyBorder="1"/>
    <xf numFmtId="165" fontId="0" fillId="0" borderId="0" xfId="0" applyNumberFormat="1"/>
    <xf numFmtId="165" fontId="0" fillId="0" borderId="0" xfId="255" applyNumberFormat="1" applyFont="1"/>
    <xf numFmtId="165" fontId="57" fillId="0" borderId="0" xfId="0" applyNumberFormat="1" applyFont="1"/>
    <xf numFmtId="170" fontId="0" fillId="0" borderId="0" xfId="0" applyNumberFormat="1" applyBorder="1"/>
    <xf numFmtId="169" fontId="0" fillId="0" borderId="0" xfId="0" applyNumberFormat="1" applyBorder="1"/>
    <xf numFmtId="0" fontId="0" fillId="0" borderId="31" xfId="0" applyBorder="1"/>
    <xf numFmtId="41" fontId="0" fillId="0" borderId="10" xfId="0" applyNumberFormat="1" applyBorder="1"/>
    <xf numFmtId="170" fontId="0" fillId="0" borderId="10" xfId="0" applyNumberFormat="1" applyBorder="1"/>
    <xf numFmtId="168" fontId="0" fillId="0" borderId="10" xfId="0" applyNumberFormat="1" applyBorder="1"/>
    <xf numFmtId="42" fontId="0" fillId="0" borderId="10" xfId="0" applyNumberFormat="1" applyBorder="1"/>
    <xf numFmtId="166" fontId="0" fillId="0" borderId="10" xfId="0" applyNumberFormat="1" applyBorder="1"/>
    <xf numFmtId="44" fontId="0" fillId="0" borderId="10" xfId="255" applyFont="1" applyBorder="1"/>
    <xf numFmtId="169" fontId="0" fillId="0" borderId="10" xfId="0" applyNumberFormat="1" applyBorder="1"/>
    <xf numFmtId="165" fontId="0" fillId="0" borderId="10" xfId="0" applyNumberFormat="1" applyBorder="1"/>
    <xf numFmtId="165" fontId="0" fillId="0" borderId="32" xfId="0" applyNumberFormat="1" applyBorder="1"/>
    <xf numFmtId="165" fontId="57" fillId="0" borderId="10" xfId="0" applyNumberFormat="1" applyFont="1" applyBorder="1"/>
    <xf numFmtId="44" fontId="0" fillId="0" borderId="11" xfId="255" applyFont="1" applyBorder="1"/>
    <xf numFmtId="0" fontId="0" fillId="0" borderId="28" xfId="0" applyFill="1" applyBorder="1"/>
    <xf numFmtId="0" fontId="18" fillId="0" borderId="0" xfId="3" applyFont="1"/>
    <xf numFmtId="43" fontId="0" fillId="55" borderId="16" xfId="0" applyNumberFormat="1" applyFill="1" applyBorder="1"/>
    <xf numFmtId="41" fontId="15" fillId="0" borderId="0" xfId="0" applyNumberFormat="1" applyFont="1"/>
    <xf numFmtId="169" fontId="15" fillId="0" borderId="0" xfId="0" applyNumberFormat="1" applyFont="1"/>
    <xf numFmtId="165" fontId="15" fillId="0" borderId="0" xfId="255" applyNumberFormat="1" applyFont="1"/>
    <xf numFmtId="168" fontId="15" fillId="0" borderId="0" xfId="0" applyNumberFormat="1" applyFont="1"/>
    <xf numFmtId="42" fontId="15" fillId="0" borderId="0" xfId="0" applyNumberFormat="1" applyFont="1"/>
    <xf numFmtId="166" fontId="15" fillId="0" borderId="0" xfId="1" applyNumberFormat="1" applyFont="1"/>
    <xf numFmtId="168" fontId="15" fillId="0" borderId="0" xfId="0" applyNumberFormat="1" applyFont="1" applyBorder="1"/>
    <xf numFmtId="171" fontId="15" fillId="0" borderId="0" xfId="1" applyNumberFormat="1" applyFont="1"/>
    <xf numFmtId="44" fontId="15" fillId="0" borderId="0" xfId="255" applyFont="1"/>
    <xf numFmtId="43" fontId="15" fillId="0" borderId="0" xfId="0" applyNumberFormat="1" applyFont="1"/>
    <xf numFmtId="165" fontId="15" fillId="0" borderId="0" xfId="0" applyNumberFormat="1" applyFont="1"/>
    <xf numFmtId="165" fontId="53" fillId="0" borderId="0" xfId="255" applyNumberFormat="1" applyFont="1"/>
    <xf numFmtId="172" fontId="0" fillId="0" borderId="0" xfId="0" applyNumberFormat="1"/>
    <xf numFmtId="168" fontId="0" fillId="0" borderId="0" xfId="0" applyNumberFormat="1"/>
    <xf numFmtId="42" fontId="0" fillId="0" borderId="0" xfId="0" applyNumberFormat="1"/>
    <xf numFmtId="43" fontId="0" fillId="0" borderId="0" xfId="0" applyNumberFormat="1"/>
    <xf numFmtId="165" fontId="57" fillId="0" borderId="0" xfId="255" applyNumberFormat="1" applyFont="1"/>
    <xf numFmtId="0" fontId="58" fillId="0" borderId="0" xfId="0" applyFont="1" applyFill="1" applyBorder="1"/>
    <xf numFmtId="9" fontId="1" fillId="0" borderId="0" xfId="2" applyFont="1"/>
    <xf numFmtId="171" fontId="0" fillId="0" borderId="0" xfId="1" applyNumberFormat="1" applyFont="1"/>
    <xf numFmtId="43" fontId="0" fillId="0" borderId="10" xfId="0" applyNumberFormat="1" applyBorder="1"/>
    <xf numFmtId="0" fontId="0" fillId="0" borderId="30" xfId="0" applyBorder="1"/>
    <xf numFmtId="0" fontId="0" fillId="0" borderId="33" xfId="0" applyBorder="1"/>
    <xf numFmtId="41" fontId="0" fillId="0" borderId="33" xfId="0" applyNumberFormat="1" applyBorder="1"/>
    <xf numFmtId="170" fontId="0" fillId="0" borderId="33" xfId="0" applyNumberFormat="1" applyBorder="1"/>
    <xf numFmtId="168" fontId="0" fillId="0" borderId="33" xfId="0" applyNumberFormat="1" applyBorder="1"/>
    <xf numFmtId="42" fontId="0" fillId="0" borderId="33" xfId="0" applyNumberFormat="1" applyBorder="1"/>
    <xf numFmtId="168" fontId="0" fillId="55" borderId="15" xfId="0" applyNumberFormat="1" applyFill="1" applyBorder="1"/>
    <xf numFmtId="166" fontId="0" fillId="0" borderId="33" xfId="0" applyNumberFormat="1" applyBorder="1"/>
    <xf numFmtId="44" fontId="0" fillId="0" borderId="33" xfId="255" applyFont="1" applyBorder="1"/>
    <xf numFmtId="169" fontId="0" fillId="0" borderId="33" xfId="0" applyNumberFormat="1" applyBorder="1"/>
    <xf numFmtId="165" fontId="0" fillId="0" borderId="33" xfId="0" applyNumberFormat="1" applyBorder="1"/>
    <xf numFmtId="43" fontId="0" fillId="0" borderId="33" xfId="0" applyNumberFormat="1" applyBorder="1"/>
    <xf numFmtId="166" fontId="0" fillId="0" borderId="0" xfId="1" applyNumberFormat="1" applyFont="1"/>
    <xf numFmtId="168" fontId="0" fillId="0" borderId="30" xfId="0" applyNumberFormat="1" applyBorder="1"/>
    <xf numFmtId="165" fontId="0" fillId="0" borderId="27" xfId="0" applyNumberFormat="1" applyBorder="1"/>
    <xf numFmtId="43" fontId="0" fillId="0" borderId="0" xfId="1" applyFont="1"/>
    <xf numFmtId="10" fontId="0" fillId="0" borderId="10" xfId="2" applyNumberFormat="1" applyFont="1" applyBorder="1"/>
    <xf numFmtId="10" fontId="0" fillId="0" borderId="0" xfId="0" applyNumberFormat="1"/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57" borderId="0" xfId="0" applyFill="1"/>
    <xf numFmtId="0" fontId="15" fillId="57" borderId="10" xfId="0" applyFont="1" applyFill="1" applyBorder="1" applyAlignment="1">
      <alignment horizontal="center"/>
    </xf>
    <xf numFmtId="0" fontId="54" fillId="57" borderId="0" xfId="0" applyFont="1" applyFill="1" applyAlignment="1">
      <alignment horizontal="center"/>
    </xf>
    <xf numFmtId="165" fontId="0" fillId="57" borderId="0" xfId="0" applyNumberFormat="1" applyFill="1"/>
    <xf numFmtId="0" fontId="0" fillId="57" borderId="0" xfId="0" quotePrefix="1" applyFill="1" applyAlignment="1">
      <alignment horizontal="center"/>
    </xf>
    <xf numFmtId="0" fontId="0" fillId="0" borderId="0" xfId="0" applyFill="1" applyBorder="1" applyAlignment="1">
      <alignment horizontal="left"/>
    </xf>
    <xf numFmtId="169" fontId="0" fillId="0" borderId="0" xfId="1" applyNumberFormat="1" applyFont="1"/>
    <xf numFmtId="169" fontId="15" fillId="55" borderId="27" xfId="1" applyNumberFormat="1" applyFont="1" applyFill="1" applyBorder="1" applyAlignment="1">
      <alignment horizontal="center" wrapText="1"/>
    </xf>
    <xf numFmtId="2" fontId="54" fillId="0" borderId="0" xfId="0" applyNumberFormat="1" applyFont="1" applyAlignment="1">
      <alignment horizontal="center"/>
    </xf>
    <xf numFmtId="10" fontId="54" fillId="0" borderId="0" xfId="2" applyNumberFormat="1" applyFont="1" applyBorder="1" applyAlignment="1">
      <alignment horizontal="center"/>
    </xf>
    <xf numFmtId="169" fontId="54" fillId="0" borderId="0" xfId="1" applyNumberFormat="1" applyFont="1" applyAlignment="1">
      <alignment horizontal="center"/>
    </xf>
    <xf numFmtId="0" fontId="54" fillId="0" borderId="29" xfId="0" applyFont="1" applyBorder="1" applyAlignment="1">
      <alignment horizontal="center"/>
    </xf>
    <xf numFmtId="10" fontId="0" fillId="0" borderId="0" xfId="2" applyNumberFormat="1" applyFont="1" applyBorder="1"/>
    <xf numFmtId="10" fontId="0" fillId="0" borderId="0" xfId="2" applyNumberFormat="1" applyFont="1" applyFill="1" applyBorder="1"/>
    <xf numFmtId="169" fontId="0" fillId="0" borderId="12" xfId="1" applyNumberFormat="1" applyFont="1" applyBorder="1"/>
    <xf numFmtId="169" fontId="0" fillId="0" borderId="32" xfId="1" applyNumberFormat="1" applyFont="1" applyBorder="1"/>
    <xf numFmtId="166" fontId="0" fillId="0" borderId="31" xfId="0" applyNumberFormat="1" applyBorder="1"/>
    <xf numFmtId="10" fontId="0" fillId="0" borderId="10" xfId="2" applyNumberFormat="1" applyFont="1" applyFill="1" applyBorder="1"/>
    <xf numFmtId="166" fontId="0" fillId="0" borderId="0" xfId="0" applyNumberFormat="1" applyBorder="1"/>
    <xf numFmtId="169" fontId="0" fillId="0" borderId="0" xfId="1" applyNumberFormat="1" applyFont="1" applyBorder="1"/>
    <xf numFmtId="0" fontId="0" fillId="0" borderId="10" xfId="0" applyBorder="1" applyAlignment="1">
      <alignment horizontal="center"/>
    </xf>
    <xf numFmtId="0" fontId="60" fillId="0" borderId="0" xfId="0" applyFont="1"/>
    <xf numFmtId="49" fontId="20" fillId="55" borderId="42" xfId="0" applyNumberFormat="1" applyFont="1" applyFill="1" applyBorder="1" applyAlignment="1">
      <alignment horizontal="center" wrapText="1"/>
    </xf>
    <xf numFmtId="49" fontId="20" fillId="55" borderId="43" xfId="0" applyNumberFormat="1" applyFont="1" applyFill="1" applyBorder="1" applyAlignment="1">
      <alignment horizontal="center" wrapText="1"/>
    </xf>
    <xf numFmtId="169" fontId="20" fillId="55" borderId="43" xfId="1" applyNumberFormat="1" applyFont="1" applyFill="1" applyBorder="1" applyAlignment="1">
      <alignment horizontal="center" wrapText="1"/>
    </xf>
    <xf numFmtId="49" fontId="20" fillId="55" borderId="43" xfId="1" applyNumberFormat="1" applyFont="1" applyFill="1" applyBorder="1" applyAlignment="1">
      <alignment horizontal="center" wrapText="1"/>
    </xf>
    <xf numFmtId="49" fontId="20" fillId="55" borderId="44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1" fillId="0" borderId="45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169" fontId="61" fillId="0" borderId="0" xfId="1" applyNumberFormat="1" applyFont="1" applyBorder="1" applyAlignment="1">
      <alignment horizontal="center" vertical="center" wrapText="1"/>
    </xf>
    <xf numFmtId="0" fontId="19" fillId="0" borderId="28" xfId="0" applyFont="1" applyFill="1" applyBorder="1"/>
    <xf numFmtId="0" fontId="19" fillId="0" borderId="0" xfId="0" applyFont="1" applyFill="1" applyBorder="1"/>
    <xf numFmtId="14" fontId="19" fillId="0" borderId="0" xfId="0" applyNumberFormat="1" applyFont="1" applyFill="1" applyBorder="1"/>
    <xf numFmtId="37" fontId="19" fillId="0" borderId="0" xfId="0" applyNumberFormat="1" applyFont="1" applyFill="1" applyBorder="1" applyAlignment="1"/>
    <xf numFmtId="1" fontId="19" fillId="0" borderId="0" xfId="1" applyNumberFormat="1" applyFont="1" applyFill="1" applyBorder="1" applyAlignment="1"/>
    <xf numFmtId="39" fontId="19" fillId="0" borderId="0" xfId="0" applyNumberFormat="1" applyFont="1" applyFill="1" applyBorder="1" applyAlignment="1"/>
    <xf numFmtId="173" fontId="19" fillId="0" borderId="12" xfId="0" applyNumberFormat="1" applyFont="1" applyFill="1" applyBorder="1" applyAlignment="1">
      <alignment horizontal="center"/>
    </xf>
    <xf numFmtId="37" fontId="0" fillId="0" borderId="0" xfId="0" applyNumberFormat="1"/>
    <xf numFmtId="39" fontId="0" fillId="0" borderId="0" xfId="0" applyNumberFormat="1"/>
    <xf numFmtId="0" fontId="19" fillId="0" borderId="31" xfId="0" applyFont="1" applyFill="1" applyBorder="1"/>
    <xf numFmtId="0" fontId="19" fillId="0" borderId="10" xfId="0" applyFont="1" applyFill="1" applyBorder="1"/>
    <xf numFmtId="14" fontId="19" fillId="0" borderId="10" xfId="0" applyNumberFormat="1" applyFont="1" applyFill="1" applyBorder="1"/>
    <xf numFmtId="37" fontId="19" fillId="0" borderId="10" xfId="0" applyNumberFormat="1" applyFont="1" applyFill="1" applyBorder="1" applyAlignment="1"/>
    <xf numFmtId="1" fontId="19" fillId="0" borderId="10" xfId="1" applyNumberFormat="1" applyFont="1" applyFill="1" applyBorder="1" applyAlignment="1"/>
    <xf numFmtId="39" fontId="19" fillId="0" borderId="10" xfId="0" applyNumberFormat="1" applyFont="1" applyFill="1" applyBorder="1" applyAlignment="1"/>
    <xf numFmtId="173" fontId="19" fillId="0" borderId="32" xfId="0" applyNumberFormat="1" applyFont="1" applyFill="1" applyBorder="1" applyAlignment="1">
      <alignment horizontal="center"/>
    </xf>
    <xf numFmtId="37" fontId="0" fillId="0" borderId="10" xfId="0" applyNumberFormat="1" applyBorder="1"/>
    <xf numFmtId="39" fontId="0" fillId="0" borderId="10" xfId="0" applyNumberFormat="1" applyBorder="1"/>
    <xf numFmtId="0" fontId="20" fillId="0" borderId="0" xfId="0" applyFont="1" applyFill="1" applyBorder="1"/>
    <xf numFmtId="173" fontId="19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0" fontId="0" fillId="0" borderId="0" xfId="2" applyNumberFormat="1" applyFont="1" applyFill="1"/>
    <xf numFmtId="10" fontId="15" fillId="54" borderId="47" xfId="0" applyNumberFormat="1" applyFont="1" applyFill="1" applyBorder="1"/>
    <xf numFmtId="0" fontId="15" fillId="55" borderId="42" xfId="0" applyFont="1" applyFill="1" applyBorder="1" applyAlignment="1">
      <alignment horizontal="center" wrapText="1"/>
    </xf>
    <xf numFmtId="0" fontId="15" fillId="55" borderId="43" xfId="0" applyFont="1" applyFill="1" applyBorder="1" applyAlignment="1">
      <alignment horizontal="center" wrapText="1"/>
    </xf>
    <xf numFmtId="49" fontId="62" fillId="55" borderId="43" xfId="198" applyNumberFormat="1" applyFont="1" applyFill="1" applyBorder="1" applyAlignment="1">
      <alignment horizontal="center" wrapText="1"/>
    </xf>
    <xf numFmtId="49" fontId="62" fillId="55" borderId="48" xfId="198" applyNumberFormat="1" applyFont="1" applyFill="1" applyBorder="1" applyAlignment="1">
      <alignment horizontal="center" wrapText="1"/>
    </xf>
    <xf numFmtId="49" fontId="62" fillId="55" borderId="49" xfId="198" applyNumberFormat="1" applyFont="1" applyFill="1" applyBorder="1" applyAlignment="1">
      <alignment horizontal="center" wrapText="1"/>
    </xf>
    <xf numFmtId="0" fontId="0" fillId="55" borderId="13" xfId="0" applyFill="1" applyBorder="1"/>
    <xf numFmtId="49" fontId="62" fillId="55" borderId="44" xfId="198" applyNumberFormat="1" applyFont="1" applyFill="1" applyBorder="1" applyAlignment="1">
      <alignment horizontal="center" wrapText="1"/>
    </xf>
    <xf numFmtId="0" fontId="54" fillId="0" borderId="50" xfId="0" applyFont="1" applyFill="1" applyBorder="1" applyAlignment="1">
      <alignment horizontal="center" wrapText="1"/>
    </xf>
    <xf numFmtId="0" fontId="54" fillId="0" borderId="45" xfId="0" applyFont="1" applyFill="1" applyBorder="1" applyAlignment="1">
      <alignment horizontal="center" wrapText="1"/>
    </xf>
    <xf numFmtId="49" fontId="63" fillId="0" borderId="45" xfId="198" applyNumberFormat="1" applyFont="1" applyFill="1" applyBorder="1" applyAlignment="1">
      <alignment horizontal="center" wrapText="1"/>
    </xf>
    <xf numFmtId="49" fontId="63" fillId="0" borderId="46" xfId="198" applyNumberFormat="1" applyFont="1" applyFill="1" applyBorder="1" applyAlignment="1">
      <alignment horizontal="center" wrapText="1"/>
    </xf>
    <xf numFmtId="0" fontId="0" fillId="55" borderId="14" xfId="0" applyFont="1" applyFill="1" applyBorder="1"/>
    <xf numFmtId="0" fontId="0" fillId="0" borderId="28" xfId="0" applyBorder="1" applyAlignment="1">
      <alignment horizontal="right"/>
    </xf>
    <xf numFmtId="169" fontId="0" fillId="0" borderId="0" xfId="1" applyNumberFormat="1" applyFont="1" applyBorder="1" applyAlignment="1">
      <alignment horizontal="center"/>
    </xf>
    <xf numFmtId="169" fontId="0" fillId="0" borderId="12" xfId="0" applyNumberFormat="1" applyBorder="1"/>
    <xf numFmtId="0" fontId="0" fillId="55" borderId="14" xfId="0" applyFill="1" applyBorder="1"/>
    <xf numFmtId="170" fontId="0" fillId="0" borderId="12" xfId="0" applyNumberFormat="1" applyBorder="1"/>
    <xf numFmtId="0" fontId="59" fillId="0" borderId="0" xfId="0" applyFont="1"/>
    <xf numFmtId="0" fontId="59" fillId="0" borderId="0" xfId="256" applyFont="1" applyBorder="1" applyAlignment="1">
      <alignment horizontal="center"/>
    </xf>
    <xf numFmtId="0" fontId="0" fillId="0" borderId="31" xfId="0" applyBorder="1" applyAlignment="1">
      <alignment horizontal="right"/>
    </xf>
    <xf numFmtId="169" fontId="0" fillId="0" borderId="10" xfId="1" applyNumberFormat="1" applyFont="1" applyBorder="1" applyAlignment="1">
      <alignment horizontal="center"/>
    </xf>
    <xf numFmtId="170" fontId="0" fillId="0" borderId="32" xfId="0" applyNumberFormat="1" applyBorder="1"/>
    <xf numFmtId="0" fontId="59" fillId="0" borderId="10" xfId="256" applyFont="1" applyBorder="1" applyAlignment="1">
      <alignment horizontal="center"/>
    </xf>
    <xf numFmtId="0" fontId="0" fillId="55" borderId="16" xfId="0" applyFill="1" applyBorder="1"/>
    <xf numFmtId="170" fontId="0" fillId="0" borderId="0" xfId="0" applyNumberFormat="1"/>
    <xf numFmtId="37" fontId="0" fillId="0" borderId="0" xfId="0" applyNumberFormat="1" applyBorder="1"/>
    <xf numFmtId="39" fontId="0" fillId="0" borderId="0" xfId="0" applyNumberFormat="1" applyBorder="1"/>
    <xf numFmtId="0" fontId="61" fillId="0" borderId="46" xfId="0" applyFont="1" applyFill="1" applyBorder="1" applyAlignment="1">
      <alignment horizontal="center" vertical="center" wrapText="1"/>
    </xf>
    <xf numFmtId="49" fontId="19" fillId="0" borderId="31" xfId="0" applyNumberFormat="1" applyFont="1" applyFill="1" applyBorder="1"/>
    <xf numFmtId="9" fontId="0" fillId="0" borderId="0" xfId="2" applyFont="1"/>
    <xf numFmtId="171" fontId="15" fillId="0" borderId="0" xfId="0" applyNumberFormat="1" applyFont="1"/>
    <xf numFmtId="9" fontId="0" fillId="0" borderId="10" xfId="2" applyFont="1" applyBorder="1"/>
    <xf numFmtId="172" fontId="0" fillId="0" borderId="15" xfId="0" applyNumberFormat="1" applyBorder="1"/>
    <xf numFmtId="41" fontId="0" fillId="0" borderId="15" xfId="0" applyNumberFormat="1" applyBorder="1"/>
    <xf numFmtId="14" fontId="0" fillId="0" borderId="15" xfId="0" applyNumberFormat="1" applyBorder="1"/>
    <xf numFmtId="0" fontId="0" fillId="0" borderId="15" xfId="0" applyBorder="1"/>
    <xf numFmtId="9" fontId="54" fillId="0" borderId="0" xfId="2" applyFont="1" applyAlignment="1">
      <alignment horizontal="center"/>
    </xf>
    <xf numFmtId="0" fontId="54" fillId="0" borderId="0" xfId="0" applyFont="1" applyAlignment="1">
      <alignment horizontal="center" wrapText="1"/>
    </xf>
    <xf numFmtId="9" fontId="15" fillId="58" borderId="0" xfId="2" applyFont="1" applyFill="1" applyBorder="1" applyAlignment="1">
      <alignment horizontal="center" wrapText="1"/>
    </xf>
    <xf numFmtId="0" fontId="15" fillId="58" borderId="0" xfId="0" applyFont="1" applyFill="1" applyBorder="1" applyAlignment="1">
      <alignment horizontal="center" wrapText="1"/>
    </xf>
    <xf numFmtId="0" fontId="64" fillId="0" borderId="0" xfId="0" applyFont="1"/>
    <xf numFmtId="165" fontId="15" fillId="0" borderId="40" xfId="255" applyNumberFormat="1" applyFont="1" applyBorder="1"/>
    <xf numFmtId="165" fontId="0" fillId="0" borderId="0" xfId="0" applyNumberFormat="1" applyFill="1"/>
    <xf numFmtId="165" fontId="15" fillId="57" borderId="0" xfId="0" applyNumberFormat="1" applyFont="1" applyFill="1"/>
    <xf numFmtId="165" fontId="0" fillId="57" borderId="10" xfId="0" applyNumberFormat="1" applyFill="1" applyBorder="1"/>
    <xf numFmtId="0" fontId="54" fillId="0" borderId="0" xfId="0" applyFont="1" applyFill="1" applyAlignment="1">
      <alignment horizontal="center"/>
    </xf>
    <xf numFmtId="166" fontId="0" fillId="0" borderId="0" xfId="0" applyNumberFormat="1" applyFill="1"/>
    <xf numFmtId="169" fontId="0" fillId="0" borderId="0" xfId="1" applyNumberFormat="1" applyFont="1" applyFill="1"/>
    <xf numFmtId="166" fontId="0" fillId="0" borderId="31" xfId="0" applyNumberFormat="1" applyFill="1" applyBorder="1"/>
    <xf numFmtId="169" fontId="0" fillId="0" borderId="32" xfId="1" applyNumberFormat="1" applyFont="1" applyFill="1" applyBorder="1"/>
    <xf numFmtId="0" fontId="55" fillId="0" borderId="0" xfId="0" applyFont="1" applyFill="1" applyAlignment="1">
      <alignment horizontal="center"/>
    </xf>
    <xf numFmtId="14" fontId="55" fillId="0" borderId="0" xfId="0" applyNumberFormat="1" applyFont="1" applyFill="1"/>
    <xf numFmtId="170" fontId="0" fillId="0" borderId="0" xfId="0" applyNumberFormat="1" applyFill="1" applyBorder="1"/>
    <xf numFmtId="170" fontId="0" fillId="0" borderId="31" xfId="0" applyNumberFormat="1" applyFill="1" applyBorder="1"/>
    <xf numFmtId="170" fontId="0" fillId="0" borderId="0" xfId="0" applyNumberFormat="1" applyFill="1"/>
    <xf numFmtId="168" fontId="0" fillId="0" borderId="33" xfId="0" applyNumberFormat="1" applyFill="1" applyBorder="1"/>
    <xf numFmtId="168" fontId="15" fillId="0" borderId="0" xfId="0" applyNumberFormat="1" applyFont="1" applyFill="1"/>
    <xf numFmtId="0" fontId="15" fillId="59" borderId="42" xfId="0" applyFont="1" applyFill="1" applyBorder="1" applyAlignment="1">
      <alignment horizontal="center" wrapText="1"/>
    </xf>
    <xf numFmtId="0" fontId="15" fillId="59" borderId="43" xfId="0" applyFont="1" applyFill="1" applyBorder="1" applyAlignment="1">
      <alignment horizontal="center" wrapText="1"/>
    </xf>
    <xf numFmtId="0" fontId="15" fillId="59" borderId="44" xfId="0" applyFont="1" applyFill="1" applyBorder="1" applyAlignment="1">
      <alignment horizontal="center" wrapText="1"/>
    </xf>
    <xf numFmtId="10" fontId="15" fillId="0" borderId="0" xfId="0" applyNumberFormat="1" applyFont="1" applyFill="1"/>
    <xf numFmtId="10" fontId="55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164" fontId="0" fillId="0" borderId="0" xfId="0" applyNumberFormat="1" applyFill="1" applyBorder="1"/>
    <xf numFmtId="164" fontId="0" fillId="0" borderId="10" xfId="1" applyNumberFormat="1" applyFont="1" applyFill="1" applyBorder="1"/>
    <xf numFmtId="164" fontId="0" fillId="0" borderId="10" xfId="0" applyNumberFormat="1" applyFill="1" applyBorder="1"/>
    <xf numFmtId="43" fontId="15" fillId="0" borderId="0" xfId="1" quotePrefix="1" applyFont="1" applyFill="1" applyBorder="1"/>
    <xf numFmtId="164" fontId="15" fillId="0" borderId="0" xfId="0" applyNumberFormat="1" applyFont="1" applyFill="1"/>
    <xf numFmtId="164" fontId="0" fillId="0" borderId="0" xfId="0" applyNumberFormat="1" applyFill="1"/>
    <xf numFmtId="0" fontId="15" fillId="0" borderId="0" xfId="0" quotePrefix="1" applyFont="1" applyFill="1"/>
    <xf numFmtId="164" fontId="1" fillId="0" borderId="0" xfId="1" applyNumberFormat="1" applyFont="1" applyFill="1"/>
    <xf numFmtId="164" fontId="1" fillId="0" borderId="33" xfId="1" applyNumberFormat="1" applyFont="1" applyFill="1" applyBorder="1"/>
    <xf numFmtId="164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4" fontId="0" fillId="0" borderId="11" xfId="0" applyNumberFormat="1" applyFill="1" applyBorder="1" applyAlignment="1"/>
    <xf numFmtId="0" fontId="15" fillId="56" borderId="30" xfId="0" applyFont="1" applyFill="1" applyBorder="1" applyAlignment="1">
      <alignment horizontal="center"/>
    </xf>
    <xf numFmtId="0" fontId="15" fillId="56" borderId="33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30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5" fillId="55" borderId="31" xfId="0" applyFont="1" applyFill="1" applyBorder="1" applyAlignment="1">
      <alignment horizontal="center"/>
    </xf>
    <xf numFmtId="0" fontId="15" fillId="55" borderId="32" xfId="0" applyFont="1" applyFill="1" applyBorder="1" applyAlignment="1">
      <alignment horizontal="center"/>
    </xf>
    <xf numFmtId="0" fontId="15" fillId="55" borderId="10" xfId="0" applyFont="1" applyFill="1" applyBorder="1" applyAlignment="1">
      <alignment horizontal="center"/>
    </xf>
    <xf numFmtId="0" fontId="15" fillId="55" borderId="30" xfId="0" applyFont="1" applyFill="1" applyBorder="1" applyAlignment="1">
      <alignment horizontal="center"/>
    </xf>
    <xf numFmtId="0" fontId="15" fillId="55" borderId="33" xfId="0" applyFont="1" applyFill="1" applyBorder="1" applyAlignment="1">
      <alignment horizontal="center"/>
    </xf>
    <xf numFmtId="0" fontId="15" fillId="55" borderId="27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Fill="1" applyBorder="1" applyAlignment="1">
      <alignment horizontal="left" vertical="top" wrapText="1"/>
    </xf>
  </cellXfs>
  <cellStyles count="257">
    <cellStyle name="£Z_x0004_Ç_x0006_^_x0004_" xfId="247"/>
    <cellStyle name="20% - Accent1 2" xfId="8"/>
    <cellStyle name="20% - Accent1 3" xfId="9"/>
    <cellStyle name="20% - Accent2 2" xfId="10"/>
    <cellStyle name="20% - Accent2 2 2" xfId="11"/>
    <cellStyle name="20% - Accent2 3" xfId="12"/>
    <cellStyle name="20% - Accent2 4" xfId="13"/>
    <cellStyle name="20% - Accent3 2" xfId="14"/>
    <cellStyle name="20% - Accent3 2 2" xfId="15"/>
    <cellStyle name="20% - Accent3 3" xfId="16"/>
    <cellStyle name="20% - Accent3 4" xfId="17"/>
    <cellStyle name="20% - Accent4 2" xfId="18"/>
    <cellStyle name="20% - Accent4 2 2" xfId="19"/>
    <cellStyle name="20% - Accent4 3" xfId="20"/>
    <cellStyle name="20% - Accent4 4" xfId="21"/>
    <cellStyle name="20% - Accent5 2" xfId="22"/>
    <cellStyle name="20% - Accent5 2 2" xfId="23"/>
    <cellStyle name="20% - Accent5 3" xfId="24"/>
    <cellStyle name="20% - Accent5 4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2 2" xfId="67"/>
    <cellStyle name="Calculation 2 3" xfId="68"/>
    <cellStyle name="Calculation 3" xfId="69"/>
    <cellStyle name="Check Cell 2" xfId="70"/>
    <cellStyle name="Check Cell 3" xfId="71"/>
    <cellStyle name="Comma" xfId="1" builtinId="3"/>
    <cellStyle name="Comma 10" xfId="72"/>
    <cellStyle name="Comma 11" xfId="73"/>
    <cellStyle name="Comma 12" xfId="74"/>
    <cellStyle name="Comma 2" xfId="75"/>
    <cellStyle name="Comma 2 2" xfId="76"/>
    <cellStyle name="Comma 2 2 2" xfId="77"/>
    <cellStyle name="Comma 2 3" xfId="78"/>
    <cellStyle name="Comma 2 3 2" xfId="79"/>
    <cellStyle name="Comma 2 4" xfId="80"/>
    <cellStyle name="Comma 2 5" xfId="81"/>
    <cellStyle name="Comma 2 6" xfId="248"/>
    <cellStyle name="Comma 2 7" xfId="254"/>
    <cellStyle name="Comma 3" xfId="82"/>
    <cellStyle name="Comma 3 2" xfId="83"/>
    <cellStyle name="Comma 3 2 2" xfId="84"/>
    <cellStyle name="Comma 3 3" xfId="85"/>
    <cellStyle name="Comma 3 4" xfId="86"/>
    <cellStyle name="Comma 4" xfId="87"/>
    <cellStyle name="Comma 4 2" xfId="88"/>
    <cellStyle name="Comma 4 2 2" xfId="89"/>
    <cellStyle name="Comma 4 3" xfId="90"/>
    <cellStyle name="Comma 4 4" xfId="91"/>
    <cellStyle name="Comma 5" xfId="92"/>
    <cellStyle name="Comma 5 2" xfId="93"/>
    <cellStyle name="Comma 5 2 2" xfId="94"/>
    <cellStyle name="Comma 6" xfId="95"/>
    <cellStyle name="Comma 6 2" xfId="96"/>
    <cellStyle name="Comma 7" xfId="97"/>
    <cellStyle name="Comma 7 2" xfId="98"/>
    <cellStyle name="Comma 7 3" xfId="99"/>
    <cellStyle name="Comma 7 3 2" xfId="100"/>
    <cellStyle name="Comma 8" xfId="101"/>
    <cellStyle name="Comma 8 2" xfId="102"/>
    <cellStyle name="Comma 9" xfId="103"/>
    <cellStyle name="Comma 9 2" xfId="104"/>
    <cellStyle name="Currency" xfId="255" builtinId="4"/>
    <cellStyle name="Currency 10" xfId="105"/>
    <cellStyle name="Currency 11" xfId="106"/>
    <cellStyle name="Currency 2" xfId="107"/>
    <cellStyle name="Currency 2 2" xfId="108"/>
    <cellStyle name="Currency 2 2 2" xfId="109"/>
    <cellStyle name="Currency 2 3" xfId="110"/>
    <cellStyle name="Currency 2 3 2" xfId="111"/>
    <cellStyle name="Currency 2 4" xfId="112"/>
    <cellStyle name="Currency 2 5" xfId="113"/>
    <cellStyle name="Currency 3" xfId="114"/>
    <cellStyle name="Currency 3 2" xfId="115"/>
    <cellStyle name="Currency 3 3" xfId="116"/>
    <cellStyle name="Currency 4" xfId="117"/>
    <cellStyle name="Currency 4 2" xfId="118"/>
    <cellStyle name="Currency 4 3" xfId="119"/>
    <cellStyle name="Currency 5" xfId="120"/>
    <cellStyle name="Currency 5 2" xfId="121"/>
    <cellStyle name="Currency 6" xfId="122"/>
    <cellStyle name="Currency 6 2" xfId="123"/>
    <cellStyle name="Currency 7" xfId="124"/>
    <cellStyle name="Currency 7 2" xfId="125"/>
    <cellStyle name="Currency 7 3" xfId="126"/>
    <cellStyle name="Currency 8" xfId="127"/>
    <cellStyle name="Currency 8 2" xfId="128"/>
    <cellStyle name="Currency 9" xfId="129"/>
    <cellStyle name="Explanatory Text 2" xfId="130"/>
    <cellStyle name="Explanatory Text 3" xfId="131"/>
    <cellStyle name="Followed Hyperlink 2" xfId="249"/>
    <cellStyle name="Good 2" xfId="132"/>
    <cellStyle name="Good 3" xfId="133"/>
    <cellStyle name="Heading 1 2" xfId="134"/>
    <cellStyle name="Heading 1 3" xfId="135"/>
    <cellStyle name="Heading 2 2" xfId="136"/>
    <cellStyle name="Heading 2 3" xfId="137"/>
    <cellStyle name="Heading 3 2" xfId="138"/>
    <cellStyle name="Heading 3 3" xfId="139"/>
    <cellStyle name="Heading 4 2" xfId="140"/>
    <cellStyle name="Heading 4 3" xfId="141"/>
    <cellStyle name="Hyperlink 2" xfId="250"/>
    <cellStyle name="Input 2" xfId="142"/>
    <cellStyle name="Input 2 2" xfId="143"/>
    <cellStyle name="Input 2 3" xfId="144"/>
    <cellStyle name="Input 3" xfId="145"/>
    <cellStyle name="Linked Cell 2" xfId="146"/>
    <cellStyle name="Linked Cell 3" xfId="147"/>
    <cellStyle name="Neutral 2" xfId="148"/>
    <cellStyle name="Neutral 3" xfId="149"/>
    <cellStyle name="Normal" xfId="0" builtinId="0"/>
    <cellStyle name="Normal 10" xfId="150"/>
    <cellStyle name="Normal 10 10" xfId="151"/>
    <cellStyle name="Normal 10 2" xfId="152"/>
    <cellStyle name="Normal 10 3" xfId="153"/>
    <cellStyle name="Normal 11" xfId="3"/>
    <cellStyle name="Normal 12" xfId="154"/>
    <cellStyle name="Normal 13" xfId="155"/>
    <cellStyle name="Normal 14" xfId="156"/>
    <cellStyle name="Normal 14 2" xfId="157"/>
    <cellStyle name="Normal 15" xfId="158"/>
    <cellStyle name="Normal 16" xfId="159"/>
    <cellStyle name="Normal 17" xfId="253"/>
    <cellStyle name="Normal 2" xfId="4"/>
    <cellStyle name="Normal 2 2" xfId="160"/>
    <cellStyle name="Normal 2 2 2" xfId="161"/>
    <cellStyle name="Normal 2 2 2 2" xfId="162"/>
    <cellStyle name="Normal 2 2 3" xfId="163"/>
    <cellStyle name="Normal 2 3" xfId="164"/>
    <cellStyle name="Normal 2 3 2" xfId="165"/>
    <cellStyle name="Normal 2 4" xfId="166"/>
    <cellStyle name="Normal 2 5" xfId="167"/>
    <cellStyle name="Normal 2 6" xfId="256"/>
    <cellStyle name="Normal 3" xfId="168"/>
    <cellStyle name="Normal 3 2" xfId="169"/>
    <cellStyle name="Normal 3 2 2" xfId="251"/>
    <cellStyle name="Normal 3 3" xfId="170"/>
    <cellStyle name="Normal 3 3 2" xfId="171"/>
    <cellStyle name="Normal 3 4" xfId="172"/>
    <cellStyle name="Normal 4" xfId="173"/>
    <cellStyle name="Normal 4 10" xfId="174"/>
    <cellStyle name="Normal 4 2" xfId="7"/>
    <cellStyle name="Normal 4 2 2" xfId="175"/>
    <cellStyle name="Normal 4 2_Sheet2" xfId="176"/>
    <cellStyle name="Normal 4 3" xfId="177"/>
    <cellStyle name="Normal 4 3 2" xfId="178"/>
    <cellStyle name="Normal 4 4" xfId="179"/>
    <cellStyle name="Normal 4 4 2" xfId="180"/>
    <cellStyle name="Normal 4 5" xfId="181"/>
    <cellStyle name="Normal 4 6" xfId="182"/>
    <cellStyle name="Normal 4 7" xfId="183"/>
    <cellStyle name="Normal 4 8" xfId="184"/>
    <cellStyle name="Normal 4 9" xfId="185"/>
    <cellStyle name="Normal 4_Sheet2" xfId="186"/>
    <cellStyle name="Normal 5" xfId="187"/>
    <cellStyle name="Normal 5 2" xfId="188"/>
    <cellStyle name="Normal 5 3" xfId="189"/>
    <cellStyle name="Normal 5 3 2" xfId="190"/>
    <cellStyle name="Normal 5 4" xfId="191"/>
    <cellStyle name="Normal 5 5" xfId="192"/>
    <cellStyle name="Normal 5_Sheet2" xfId="193"/>
    <cellStyle name="Normal 6" xfId="194"/>
    <cellStyle name="Normal 6 2" xfId="195"/>
    <cellStyle name="Normal 6 2 2" xfId="196"/>
    <cellStyle name="Normal 65" xfId="197"/>
    <cellStyle name="Normal 7" xfId="198"/>
    <cellStyle name="Normal 7 2" xfId="199"/>
    <cellStyle name="Normal 8" xfId="200"/>
    <cellStyle name="Normal 8 2" xfId="5"/>
    <cellStyle name="Normal 9" xfId="201"/>
    <cellStyle name="Normal 9 2" xfId="202"/>
    <cellStyle name="Normal 9 3" xfId="203"/>
    <cellStyle name="Normal 94" xfId="204"/>
    <cellStyle name="Note 2" xfId="205"/>
    <cellStyle name="Note 2 2" xfId="206"/>
    <cellStyle name="Note 2 3" xfId="207"/>
    <cellStyle name="Note 3" xfId="208"/>
    <cellStyle name="Output 2" xfId="209"/>
    <cellStyle name="Output 2 2" xfId="210"/>
    <cellStyle name="Output 2 3" xfId="211"/>
    <cellStyle name="Output 3" xfId="212"/>
    <cellStyle name="Percent" xfId="2" builtinId="5"/>
    <cellStyle name="Percent 10" xfId="213"/>
    <cellStyle name="Percent 2" xfId="6"/>
    <cellStyle name="Percent 2 2" xfId="214"/>
    <cellStyle name="Percent 2 3" xfId="215"/>
    <cellStyle name="Percent 2 3 2" xfId="216"/>
    <cellStyle name="Percent 2 4" xfId="252"/>
    <cellStyle name="Percent 3" xfId="217"/>
    <cellStyle name="Percent 3 2" xfId="218"/>
    <cellStyle name="Percent 3 2 2" xfId="219"/>
    <cellStyle name="Percent 3 3" xfId="220"/>
    <cellStyle name="Percent 4" xfId="221"/>
    <cellStyle name="Percent 4 2" xfId="222"/>
    <cellStyle name="Percent 4 2 2" xfId="223"/>
    <cellStyle name="Percent 4 3" xfId="224"/>
    <cellStyle name="Percent 4 4" xfId="225"/>
    <cellStyle name="Percent 5" xfId="226"/>
    <cellStyle name="Percent 5 2" xfId="227"/>
    <cellStyle name="Percent 5 3" xfId="228"/>
    <cellStyle name="Percent 5 4" xfId="229"/>
    <cellStyle name="Percent 5 5" xfId="230"/>
    <cellStyle name="Percent 6" xfId="231"/>
    <cellStyle name="Percent 6 2" xfId="232"/>
    <cellStyle name="Percent 6 3" xfId="233"/>
    <cellStyle name="Percent 7" xfId="234"/>
    <cellStyle name="Percent 8" xfId="235"/>
    <cellStyle name="Percent 9" xfId="236"/>
    <cellStyle name="rowhead_tbls1_13_a" xfId="237"/>
    <cellStyle name="Style 1" xfId="238"/>
    <cellStyle name="tablename" xfId="239"/>
    <cellStyle name="Title 2" xfId="240"/>
    <cellStyle name="Total 2" xfId="241"/>
    <cellStyle name="Total 2 2" xfId="242"/>
    <cellStyle name="Total 2 3" xfId="243"/>
    <cellStyle name="Total 3" xfId="244"/>
    <cellStyle name="Warning Text 2" xfId="245"/>
    <cellStyle name="Warning Text 3" xfId="2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8"/>
  <sheetViews>
    <sheetView workbookViewId="0">
      <selection activeCell="H12" sqref="H12"/>
    </sheetView>
  </sheetViews>
  <sheetFormatPr defaultRowHeight="15"/>
  <cols>
    <col min="1" max="1" width="1.140625" style="7" customWidth="1"/>
    <col min="2" max="2" width="29.7109375" style="7" customWidth="1"/>
    <col min="3" max="4" width="15.28515625" style="7" bestFit="1" customWidth="1"/>
    <col min="5" max="5" width="15.28515625" style="7" customWidth="1"/>
    <col min="6" max="6" width="14.140625" style="7" bestFit="1" customWidth="1"/>
    <col min="7" max="7" width="12.5703125" style="7" customWidth="1"/>
    <col min="8" max="8" width="18.7109375" style="7" bestFit="1" customWidth="1"/>
    <col min="9" max="9" width="15.85546875" style="7" bestFit="1" customWidth="1"/>
    <col min="10" max="16384" width="9.140625" style="7"/>
  </cols>
  <sheetData>
    <row r="1" spans="2:11">
      <c r="F1" s="245" t="s">
        <v>367</v>
      </c>
      <c r="H1" s="245" t="s">
        <v>365</v>
      </c>
    </row>
    <row r="2" spans="2:11">
      <c r="C2" s="245" t="s">
        <v>366</v>
      </c>
      <c r="D2" s="8" t="s">
        <v>366</v>
      </c>
      <c r="E2" s="8"/>
      <c r="F2" s="257" t="s">
        <v>373</v>
      </c>
      <c r="G2" s="245" t="s">
        <v>367</v>
      </c>
      <c r="H2" s="245" t="s">
        <v>366</v>
      </c>
      <c r="I2" s="6"/>
      <c r="J2" s="6"/>
      <c r="K2" s="6"/>
    </row>
    <row r="3" spans="2:11">
      <c r="C3" s="245" t="s">
        <v>368</v>
      </c>
      <c r="D3" s="8" t="s">
        <v>369</v>
      </c>
      <c r="E3" s="8"/>
      <c r="F3" s="257" t="s">
        <v>377</v>
      </c>
      <c r="G3" s="245" t="s">
        <v>370</v>
      </c>
      <c r="H3" s="245" t="s">
        <v>375</v>
      </c>
      <c r="I3" s="6"/>
      <c r="J3" s="6"/>
      <c r="K3" s="6"/>
    </row>
    <row r="4" spans="2:11">
      <c r="B4" s="4" t="s">
        <v>0</v>
      </c>
      <c r="C4" s="127" t="s">
        <v>371</v>
      </c>
      <c r="D4" s="148" t="s">
        <v>371</v>
      </c>
      <c r="E4" s="148" t="s">
        <v>372</v>
      </c>
      <c r="F4" s="127" t="s">
        <v>376</v>
      </c>
      <c r="G4" s="127" t="s">
        <v>371</v>
      </c>
      <c r="H4" s="127" t="s">
        <v>374</v>
      </c>
      <c r="I4" s="6"/>
      <c r="J4" s="6"/>
      <c r="K4" s="6"/>
    </row>
    <row r="5" spans="2:11">
      <c r="B5" s="2" t="s">
        <v>134</v>
      </c>
      <c r="C5" s="11">
        <v>11950314.147700734</v>
      </c>
      <c r="D5" s="11">
        <v>11503560.49854549</v>
      </c>
      <c r="E5" s="11">
        <f>D5-C5</f>
        <v>-446753.64915524423</v>
      </c>
      <c r="F5" s="246">
        <v>-117170.33284086734</v>
      </c>
      <c r="G5" s="246">
        <f>E5-F5</f>
        <v>-329583.31631437689</v>
      </c>
      <c r="H5" s="247">
        <f>C5+F5</f>
        <v>11833143.814859867</v>
      </c>
      <c r="I5" s="6"/>
      <c r="J5" s="6"/>
      <c r="K5" s="6"/>
    </row>
    <row r="6" spans="2:11">
      <c r="B6" s="2" t="s">
        <v>136</v>
      </c>
      <c r="C6" s="11">
        <v>640839.9276259318</v>
      </c>
      <c r="D6" s="11">
        <v>664740.67652165191</v>
      </c>
      <c r="E6" s="11">
        <f t="shared" ref="E6:E33" si="0">D6-C6</f>
        <v>23900.748895720113</v>
      </c>
      <c r="F6" s="246">
        <v>-7310.8189517259598</v>
      </c>
      <c r="G6" s="246">
        <f t="shared" ref="G6:G33" si="1">E6-F6</f>
        <v>31211.567847446073</v>
      </c>
      <c r="H6" s="247">
        <f t="shared" ref="H6:H33" si="2">C6+F6</f>
        <v>633529.10867420584</v>
      </c>
      <c r="I6" s="6"/>
      <c r="J6" s="6"/>
      <c r="K6" s="6"/>
    </row>
    <row r="7" spans="2:11">
      <c r="B7" s="2" t="s">
        <v>138</v>
      </c>
      <c r="C7" s="11">
        <v>154324.13649609184</v>
      </c>
      <c r="D7" s="11">
        <v>145788.53722714307</v>
      </c>
      <c r="E7" s="11">
        <f t="shared" si="0"/>
        <v>-8535.5992689487757</v>
      </c>
      <c r="F7" s="246">
        <v>-1752.4132291026181</v>
      </c>
      <c r="G7" s="246">
        <f t="shared" si="1"/>
        <v>-6783.1860398461577</v>
      </c>
      <c r="H7" s="247">
        <f t="shared" si="2"/>
        <v>152571.72326698923</v>
      </c>
      <c r="I7" s="6"/>
      <c r="J7" s="6"/>
      <c r="K7" s="6"/>
    </row>
    <row r="8" spans="2:11">
      <c r="B8" s="2" t="s">
        <v>140</v>
      </c>
      <c r="C8" s="11">
        <v>3969906.3116879538</v>
      </c>
      <c r="D8" s="11">
        <v>3881549.6675671376</v>
      </c>
      <c r="E8" s="11">
        <f t="shared" si="0"/>
        <v>-88356.644120816141</v>
      </c>
      <c r="F8" s="246">
        <v>-45234.701442778111</v>
      </c>
      <c r="G8" s="246">
        <f t="shared" si="1"/>
        <v>-43121.942678038031</v>
      </c>
      <c r="H8" s="247">
        <f t="shared" si="2"/>
        <v>3924671.6102451757</v>
      </c>
      <c r="I8" s="6"/>
      <c r="J8" s="6"/>
      <c r="K8" s="6"/>
    </row>
    <row r="9" spans="2:11">
      <c r="B9" s="2" t="s">
        <v>142</v>
      </c>
      <c r="C9" s="11">
        <v>4778220.498013217</v>
      </c>
      <c r="D9" s="11">
        <v>4422858.9851149656</v>
      </c>
      <c r="E9" s="11">
        <f t="shared" si="0"/>
        <v>-355361.51289825141</v>
      </c>
      <c r="F9" s="246">
        <v>-68283.956043772399</v>
      </c>
      <c r="G9" s="246">
        <f t="shared" si="1"/>
        <v>-287077.55685447901</v>
      </c>
      <c r="H9" s="247">
        <f t="shared" si="2"/>
        <v>4709936.5419694446</v>
      </c>
      <c r="I9" s="6"/>
      <c r="J9" s="6"/>
      <c r="K9" s="6"/>
    </row>
    <row r="10" spans="2:11">
      <c r="B10" s="2" t="s">
        <v>144</v>
      </c>
      <c r="C10" s="11">
        <v>3277052.6038268115</v>
      </c>
      <c r="D10" s="11">
        <v>3638536.5921107512</v>
      </c>
      <c r="E10" s="11">
        <f t="shared" si="0"/>
        <v>361483.98828393966</v>
      </c>
      <c r="F10" s="246">
        <v>-34129.020002467558</v>
      </c>
      <c r="G10" s="246">
        <f t="shared" si="1"/>
        <v>395613.00828640722</v>
      </c>
      <c r="H10" s="247">
        <f t="shared" si="2"/>
        <v>3242923.583824344</v>
      </c>
      <c r="I10" s="6"/>
      <c r="J10" s="6"/>
      <c r="K10" s="6"/>
    </row>
    <row r="11" spans="2:11">
      <c r="B11" s="2" t="s">
        <v>146</v>
      </c>
      <c r="C11" s="11">
        <v>365084.19186596386</v>
      </c>
      <c r="D11" s="11">
        <v>351109.46722106752</v>
      </c>
      <c r="E11" s="11">
        <f t="shared" si="0"/>
        <v>-13974.724644896341</v>
      </c>
      <c r="F11" s="246">
        <v>-2869.1005246543791</v>
      </c>
      <c r="G11" s="246">
        <f t="shared" si="1"/>
        <v>-11105.624120241962</v>
      </c>
      <c r="H11" s="247">
        <f t="shared" si="2"/>
        <v>362215.09134130948</v>
      </c>
      <c r="I11" s="6"/>
      <c r="J11" s="6"/>
      <c r="K11" s="6"/>
    </row>
    <row r="12" spans="2:11">
      <c r="B12" s="2" t="s">
        <v>148</v>
      </c>
      <c r="C12" s="11">
        <v>9560565.9882523268</v>
      </c>
      <c r="D12" s="11">
        <v>8728461.7118930444</v>
      </c>
      <c r="E12" s="11">
        <f t="shared" si="0"/>
        <v>-832104.27635928243</v>
      </c>
      <c r="F12" s="246">
        <v>-172846.10048585385</v>
      </c>
      <c r="G12" s="246">
        <f t="shared" si="1"/>
        <v>-659258.17587342858</v>
      </c>
      <c r="H12" s="247">
        <f t="shared" si="2"/>
        <v>9387719.887766473</v>
      </c>
      <c r="I12" s="6"/>
      <c r="J12" s="6"/>
      <c r="K12" s="6"/>
    </row>
    <row r="13" spans="2:11">
      <c r="B13" s="2" t="s">
        <v>150</v>
      </c>
      <c r="C13" s="11">
        <v>1167737.9687905167</v>
      </c>
      <c r="D13" s="11">
        <v>1119093.3438511058</v>
      </c>
      <c r="E13" s="11">
        <f t="shared" si="0"/>
        <v>-48644.624939410947</v>
      </c>
      <c r="F13" s="246">
        <v>-9987.0532322982326</v>
      </c>
      <c r="G13" s="246">
        <f t="shared" si="1"/>
        <v>-38657.571707112715</v>
      </c>
      <c r="H13" s="247">
        <f t="shared" si="2"/>
        <v>1157750.9155582185</v>
      </c>
      <c r="I13" s="6"/>
      <c r="J13" s="6"/>
      <c r="K13" s="6"/>
    </row>
    <row r="14" spans="2:11">
      <c r="B14" s="2" t="s">
        <v>152</v>
      </c>
      <c r="C14" s="11">
        <v>546870.14978706185</v>
      </c>
      <c r="D14" s="11">
        <v>524747.80640409631</v>
      </c>
      <c r="E14" s="11">
        <f t="shared" si="0"/>
        <v>-22122.343382965541</v>
      </c>
      <c r="F14" s="246">
        <v>-4284.4515623296611</v>
      </c>
      <c r="G14" s="246">
        <f t="shared" si="1"/>
        <v>-17837.891820635879</v>
      </c>
      <c r="H14" s="247">
        <f t="shared" si="2"/>
        <v>542585.69822473219</v>
      </c>
      <c r="I14" s="6"/>
      <c r="J14" s="6"/>
      <c r="K14" s="6"/>
    </row>
    <row r="15" spans="2:11">
      <c r="B15" s="2" t="s">
        <v>155</v>
      </c>
      <c r="C15" s="11">
        <v>112053.88058031315</v>
      </c>
      <c r="D15" s="11">
        <v>107058.50730315037</v>
      </c>
      <c r="E15" s="11">
        <f t="shared" si="0"/>
        <v>-4995.3732771627838</v>
      </c>
      <c r="F15" s="246">
        <v>-1235.5974649487762</v>
      </c>
      <c r="G15" s="246">
        <f t="shared" si="1"/>
        <v>-3759.7758122140076</v>
      </c>
      <c r="H15" s="247">
        <f t="shared" si="2"/>
        <v>110818.28311536438</v>
      </c>
      <c r="I15" s="6"/>
      <c r="J15" s="6"/>
      <c r="K15" s="6"/>
    </row>
    <row r="16" spans="2:11">
      <c r="B16" s="2" t="s">
        <v>157</v>
      </c>
      <c r="C16" s="11">
        <v>5394582.831467038</v>
      </c>
      <c r="D16" s="11">
        <v>5158027.1040475909</v>
      </c>
      <c r="E16" s="11">
        <f t="shared" si="0"/>
        <v>-236555.72741944715</v>
      </c>
      <c r="F16" s="246">
        <v>-58458.139243543148</v>
      </c>
      <c r="G16" s="246">
        <f t="shared" si="1"/>
        <v>-178097.58817590401</v>
      </c>
      <c r="H16" s="247">
        <f t="shared" si="2"/>
        <v>5336124.6922234949</v>
      </c>
      <c r="I16" s="6"/>
      <c r="J16" s="6"/>
      <c r="K16" s="6"/>
    </row>
    <row r="17" spans="2:11">
      <c r="B17" s="2" t="s">
        <v>159</v>
      </c>
      <c r="C17" s="11">
        <v>2498470.7850692421</v>
      </c>
      <c r="D17" s="11">
        <v>2253336.9254404567</v>
      </c>
      <c r="E17" s="11">
        <f t="shared" si="0"/>
        <v>-245133.8596287854</v>
      </c>
      <c r="F17" s="246">
        <v>-29726.668161226436</v>
      </c>
      <c r="G17" s="246">
        <f t="shared" si="1"/>
        <v>-215407.19146755897</v>
      </c>
      <c r="H17" s="247">
        <f t="shared" si="2"/>
        <v>2468744.1169080157</v>
      </c>
      <c r="I17" s="6"/>
      <c r="J17" s="6"/>
      <c r="K17" s="6"/>
    </row>
    <row r="18" spans="2:11">
      <c r="B18" s="2" t="s">
        <v>161</v>
      </c>
      <c r="C18" s="11">
        <v>593956.35347952368</v>
      </c>
      <c r="D18" s="11">
        <v>526398.36850605858</v>
      </c>
      <c r="E18" s="11">
        <f t="shared" si="0"/>
        <v>-67557.984973465092</v>
      </c>
      <c r="F18" s="246">
        <v>-11336.694206574466</v>
      </c>
      <c r="G18" s="246">
        <f t="shared" si="1"/>
        <v>-56221.290766890626</v>
      </c>
      <c r="H18" s="247">
        <f t="shared" si="2"/>
        <v>582619.65927294921</v>
      </c>
      <c r="I18" s="6"/>
      <c r="J18" s="6"/>
      <c r="K18" s="6"/>
    </row>
    <row r="19" spans="2:11">
      <c r="B19" s="2" t="s">
        <v>163</v>
      </c>
      <c r="C19" s="11">
        <v>459407.46500687115</v>
      </c>
      <c r="D19" s="11">
        <v>422711.51329606283</v>
      </c>
      <c r="E19" s="11">
        <f t="shared" si="0"/>
        <v>-36695.951710808324</v>
      </c>
      <c r="F19" s="246">
        <v>-4450.0110307876021</v>
      </c>
      <c r="G19" s="246">
        <f t="shared" si="1"/>
        <v>-32245.940680020722</v>
      </c>
      <c r="H19" s="247">
        <f t="shared" si="2"/>
        <v>454957.45397608355</v>
      </c>
      <c r="I19" s="6"/>
      <c r="J19" s="6"/>
      <c r="K19" s="6"/>
    </row>
    <row r="20" spans="2:11">
      <c r="B20" s="2" t="s">
        <v>165</v>
      </c>
      <c r="C20" s="11">
        <v>2535610.9243457019</v>
      </c>
      <c r="D20" s="11">
        <v>2440108.0647675171</v>
      </c>
      <c r="E20" s="11">
        <f t="shared" si="0"/>
        <v>-95502.859578184783</v>
      </c>
      <c r="F20" s="246">
        <v>-24862.764420760795</v>
      </c>
      <c r="G20" s="246">
        <f t="shared" si="1"/>
        <v>-70640.095157423988</v>
      </c>
      <c r="H20" s="247">
        <f t="shared" si="2"/>
        <v>2510748.1599249411</v>
      </c>
      <c r="I20" s="6"/>
      <c r="J20" s="6"/>
      <c r="K20" s="6"/>
    </row>
    <row r="21" spans="2:11">
      <c r="B21" s="2" t="s">
        <v>167</v>
      </c>
      <c r="C21" s="11">
        <v>595814.31471311208</v>
      </c>
      <c r="D21" s="11">
        <v>616158.39120287402</v>
      </c>
      <c r="E21" s="11">
        <f t="shared" si="0"/>
        <v>20344.076489761937</v>
      </c>
      <c r="F21" s="246">
        <v>-6222.8953831377439</v>
      </c>
      <c r="G21" s="246">
        <f t="shared" si="1"/>
        <v>26566.971872899681</v>
      </c>
      <c r="H21" s="247">
        <f t="shared" si="2"/>
        <v>589591.41932997433</v>
      </c>
      <c r="I21" s="6"/>
      <c r="J21" s="6"/>
      <c r="K21" s="6"/>
    </row>
    <row r="22" spans="2:11">
      <c r="B22" s="2" t="s">
        <v>169</v>
      </c>
      <c r="C22" s="11">
        <v>48853837.415839553</v>
      </c>
      <c r="D22" s="11">
        <v>42553640.867636532</v>
      </c>
      <c r="E22" s="11">
        <f t="shared" si="0"/>
        <v>-6300196.5482030213</v>
      </c>
      <c r="F22" s="246">
        <v>-489580.47807908058</v>
      </c>
      <c r="G22" s="246">
        <f t="shared" si="1"/>
        <v>-5810616.0701239407</v>
      </c>
      <c r="H22" s="247">
        <f t="shared" si="2"/>
        <v>48364256.937760472</v>
      </c>
      <c r="I22" s="6"/>
      <c r="J22" s="6"/>
      <c r="K22" s="6"/>
    </row>
    <row r="23" spans="2:11">
      <c r="B23" s="2" t="s">
        <v>171</v>
      </c>
      <c r="C23" s="11">
        <v>3228099.7916045561</v>
      </c>
      <c r="D23" s="11">
        <v>3532084.8728634063</v>
      </c>
      <c r="E23" s="11">
        <f t="shared" si="0"/>
        <v>303985.08125885017</v>
      </c>
      <c r="F23" s="246">
        <v>-28687.606668952852</v>
      </c>
      <c r="G23" s="246">
        <f t="shared" si="1"/>
        <v>332672.68792780302</v>
      </c>
      <c r="H23" s="247">
        <f t="shared" si="2"/>
        <v>3199412.1849356033</v>
      </c>
      <c r="I23" s="6"/>
      <c r="J23" s="6"/>
      <c r="K23" s="6"/>
    </row>
    <row r="24" spans="2:11">
      <c r="B24" s="2" t="s">
        <v>173</v>
      </c>
      <c r="C24" s="11">
        <v>16649719.044748716</v>
      </c>
      <c r="D24" s="11">
        <v>15846294.035624184</v>
      </c>
      <c r="E24" s="11">
        <f t="shared" si="0"/>
        <v>-803425.00912453234</v>
      </c>
      <c r="F24" s="246">
        <v>-142258.88785415888</v>
      </c>
      <c r="G24" s="246">
        <f t="shared" si="1"/>
        <v>-661166.12127037346</v>
      </c>
      <c r="H24" s="247">
        <f t="shared" si="2"/>
        <v>16507460.156894557</v>
      </c>
      <c r="I24" s="6"/>
      <c r="J24" s="6"/>
      <c r="K24" s="6"/>
    </row>
    <row r="25" spans="2:11">
      <c r="B25" s="2" t="s">
        <v>175</v>
      </c>
      <c r="C25" s="11">
        <v>1837702.2547623683</v>
      </c>
      <c r="D25" s="11">
        <v>1818590.9416901786</v>
      </c>
      <c r="E25" s="11">
        <f t="shared" si="0"/>
        <v>-19111.313072189689</v>
      </c>
      <c r="F25" s="246">
        <v>-19574.05885973759</v>
      </c>
      <c r="G25" s="246">
        <f t="shared" si="1"/>
        <v>462.74578754790127</v>
      </c>
      <c r="H25" s="247">
        <f t="shared" si="2"/>
        <v>1818128.1959026307</v>
      </c>
      <c r="I25" s="6"/>
      <c r="J25" s="6"/>
      <c r="K25" s="6"/>
    </row>
    <row r="26" spans="2:11">
      <c r="B26" s="2" t="s">
        <v>177</v>
      </c>
      <c r="C26" s="11">
        <v>5364861.312748732</v>
      </c>
      <c r="D26" s="11">
        <v>5134770.95641567</v>
      </c>
      <c r="E26" s="11">
        <f t="shared" si="0"/>
        <v>-230090.35633306205</v>
      </c>
      <c r="F26" s="246">
        <v>-71621.765941254795</v>
      </c>
      <c r="G26" s="246">
        <f t="shared" si="1"/>
        <v>-158468.59039180726</v>
      </c>
      <c r="H26" s="247">
        <f t="shared" si="2"/>
        <v>5293239.5468074773</v>
      </c>
      <c r="I26" s="6"/>
      <c r="J26" s="6"/>
      <c r="K26" s="6"/>
    </row>
    <row r="27" spans="2:11">
      <c r="B27" s="2" t="s">
        <v>179</v>
      </c>
      <c r="C27" s="11">
        <v>1522470.3819384454</v>
      </c>
      <c r="D27" s="11">
        <v>1456358.2026547724</v>
      </c>
      <c r="E27" s="11">
        <f t="shared" si="0"/>
        <v>-66112.179283672944</v>
      </c>
      <c r="F27" s="246">
        <v>-13573.254077542573</v>
      </c>
      <c r="G27" s="246">
        <f t="shared" si="1"/>
        <v>-52538.92520613037</v>
      </c>
      <c r="H27" s="247">
        <f t="shared" si="2"/>
        <v>1508897.1278609028</v>
      </c>
      <c r="I27" s="6"/>
      <c r="J27" s="6"/>
      <c r="K27" s="6"/>
    </row>
    <row r="28" spans="2:11">
      <c r="B28" s="2" t="s">
        <v>181</v>
      </c>
      <c r="C28" s="11">
        <v>1554227.3916061604</v>
      </c>
      <c r="D28" s="11">
        <v>1326910.5103512192</v>
      </c>
      <c r="E28" s="11">
        <f t="shared" si="0"/>
        <v>-227316.88125494123</v>
      </c>
      <c r="F28" s="246">
        <v>-18543.333270199597</v>
      </c>
      <c r="G28" s="246">
        <f t="shared" si="1"/>
        <v>-208773.54798474163</v>
      </c>
      <c r="H28" s="247">
        <f t="shared" si="2"/>
        <v>1535684.0583359608</v>
      </c>
      <c r="I28" s="6"/>
      <c r="J28" s="6"/>
      <c r="K28" s="6"/>
    </row>
    <row r="29" spans="2:11">
      <c r="B29" s="2" t="s">
        <v>183</v>
      </c>
      <c r="C29" s="11">
        <v>4731932.7210585251</v>
      </c>
      <c r="D29" s="11">
        <v>4332859.1609878987</v>
      </c>
      <c r="E29" s="11">
        <f t="shared" si="0"/>
        <v>-399073.56007062644</v>
      </c>
      <c r="F29" s="246">
        <v>-81122.060479827225</v>
      </c>
      <c r="G29" s="246">
        <f t="shared" si="1"/>
        <v>-317951.49959079921</v>
      </c>
      <c r="H29" s="247">
        <f t="shared" si="2"/>
        <v>4650810.6605786979</v>
      </c>
      <c r="I29" s="6"/>
      <c r="J29" s="6"/>
      <c r="K29" s="6"/>
    </row>
    <row r="30" spans="2:11">
      <c r="B30" s="2" t="s">
        <v>185</v>
      </c>
      <c r="C30" s="11">
        <v>2876250.5202963836</v>
      </c>
      <c r="D30" s="11">
        <v>2506485.0692413505</v>
      </c>
      <c r="E30" s="11">
        <f t="shared" si="0"/>
        <v>-369765.45105503313</v>
      </c>
      <c r="F30" s="246">
        <v>-59338.757689837366</v>
      </c>
      <c r="G30" s="246">
        <f t="shared" si="1"/>
        <v>-310426.69336519577</v>
      </c>
      <c r="H30" s="247">
        <f t="shared" si="2"/>
        <v>2816911.7626065463</v>
      </c>
      <c r="I30" s="6"/>
      <c r="J30" s="6"/>
      <c r="K30" s="6"/>
    </row>
    <row r="31" spans="2:11">
      <c r="B31" s="2" t="s">
        <v>187</v>
      </c>
      <c r="C31" s="11">
        <v>4880086.686688114</v>
      </c>
      <c r="D31" s="11">
        <v>4823314.1944178548</v>
      </c>
      <c r="E31" s="11">
        <f t="shared" si="0"/>
        <v>-56772.492270259187</v>
      </c>
      <c r="F31" s="246">
        <v>-41338.509553877637</v>
      </c>
      <c r="G31" s="246">
        <f t="shared" si="1"/>
        <v>-15433.98271638155</v>
      </c>
      <c r="H31" s="247">
        <f t="shared" si="2"/>
        <v>4838748.1771342363</v>
      </c>
      <c r="I31" s="6"/>
      <c r="J31" s="6"/>
      <c r="K31" s="6"/>
    </row>
    <row r="32" spans="2:11">
      <c r="B32" s="2" t="s">
        <v>191</v>
      </c>
      <c r="C32" s="11">
        <v>0</v>
      </c>
      <c r="D32" s="11">
        <v>39038.559881232679</v>
      </c>
      <c r="E32" s="11">
        <f t="shared" si="0"/>
        <v>39038.559881232679</v>
      </c>
      <c r="F32" s="246">
        <v>-109060.72871470451</v>
      </c>
      <c r="G32" s="246">
        <f t="shared" si="1"/>
        <v>148099.28859593719</v>
      </c>
      <c r="H32" s="247">
        <f t="shared" si="2"/>
        <v>-109060.72871470451</v>
      </c>
      <c r="I32" s="6"/>
      <c r="J32" s="6"/>
      <c r="K32" s="6"/>
    </row>
    <row r="33" spans="2:11">
      <c r="B33" s="2" t="s">
        <v>194</v>
      </c>
      <c r="C33" s="1">
        <v>0</v>
      </c>
      <c r="D33" s="1">
        <v>348051.50041782111</v>
      </c>
      <c r="E33" s="1">
        <f t="shared" si="0"/>
        <v>348051.50041782111</v>
      </c>
      <c r="F33" s="248">
        <v>-43511.654183063656</v>
      </c>
      <c r="G33" s="248">
        <f t="shared" si="1"/>
        <v>391563.15460088477</v>
      </c>
      <c r="H33" s="249">
        <f t="shared" si="2"/>
        <v>-43511.654183063656</v>
      </c>
      <c r="I33" s="6"/>
      <c r="J33" s="6"/>
      <c r="K33" s="6"/>
    </row>
    <row r="34" spans="2:11">
      <c r="B34" s="5" t="s">
        <v>1</v>
      </c>
      <c r="C34" s="254">
        <v>140100000</v>
      </c>
      <c r="D34" s="254">
        <v>130222645.03320229</v>
      </c>
      <c r="E34" s="254">
        <f>SUM(E5:E33)</f>
        <v>-9877354.9667976815</v>
      </c>
      <c r="F34" s="255">
        <f t="shared" ref="F34:G34" si="3">SUM(F5:F33)</f>
        <v>-1718371.8135990663</v>
      </c>
      <c r="G34" s="255">
        <f t="shared" si="3"/>
        <v>-8158983.1531986147</v>
      </c>
      <c r="H34" s="256">
        <f>SUM(H5:H33)</f>
        <v>138381628.18640089</v>
      </c>
      <c r="I34" s="250"/>
      <c r="J34" s="6"/>
    </row>
    <row r="35" spans="2:11">
      <c r="C35" s="6"/>
      <c r="D35" s="6"/>
      <c r="E35" s="6"/>
      <c r="F35" s="258">
        <f>F34+G34</f>
        <v>-9877354.9667976815</v>
      </c>
      <c r="G35" s="258"/>
      <c r="H35" s="6"/>
      <c r="I35" s="6"/>
      <c r="J35" s="6"/>
    </row>
    <row r="36" spans="2:11">
      <c r="C36" s="6"/>
      <c r="D36" s="6"/>
      <c r="E36" s="6"/>
      <c r="F36" s="251"/>
      <c r="G36" s="252"/>
      <c r="H36" s="251"/>
      <c r="I36" s="253"/>
      <c r="J36" s="6"/>
    </row>
    <row r="37" spans="2:11">
      <c r="F37" s="6"/>
      <c r="G37" s="6"/>
      <c r="H37" s="6"/>
      <c r="I37" s="6"/>
      <c r="J37" s="6"/>
      <c r="K37" s="6"/>
    </row>
    <row r="38" spans="2:11">
      <c r="E38" s="10"/>
      <c r="F38" s="6"/>
      <c r="G38" s="6"/>
      <c r="H38" s="6"/>
      <c r="I38" s="6"/>
      <c r="J38" s="6"/>
      <c r="K38" s="6"/>
    </row>
  </sheetData>
  <mergeCells count="1">
    <mergeCell ref="F35:G35"/>
  </mergeCells>
  <pageMargins left="0.25" right="0.25" top="0.75" bottom="0.75" header="0.3" footer="0.3"/>
  <pageSetup scale="70" orientation="portrait" r:id="rId1"/>
  <headerFooter>
    <oddFooter>&amp;L&amp;Z&amp;F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0"/>
  <sheetViews>
    <sheetView tabSelected="1" zoomScaleNormal="100" workbookViewId="0">
      <pane xSplit="4" ySplit="11" topLeftCell="N12" activePane="bottomRight" state="frozen"/>
      <selection pane="topRight" activeCell="D1" sqref="D1"/>
      <selection pane="bottomLeft" activeCell="A12" sqref="A12"/>
      <selection pane="bottomRight" activeCell="W12" sqref="W12"/>
    </sheetView>
  </sheetViews>
  <sheetFormatPr defaultColWidth="9.140625" defaultRowHeight="15"/>
  <cols>
    <col min="1" max="1" width="5.140625" style="7" hidden="1" customWidth="1"/>
    <col min="2" max="2" width="8.7109375" style="7" customWidth="1"/>
    <col min="3" max="3" width="10.28515625" style="7" customWidth="1"/>
    <col min="4" max="4" width="33.5703125" style="7" customWidth="1"/>
    <col min="5" max="5" width="13.85546875" style="7" customWidth="1"/>
    <col min="6" max="6" width="10.42578125" style="7" customWidth="1"/>
    <col min="7" max="7" width="1.7109375" style="7" customWidth="1"/>
    <col min="8" max="9" width="19.28515625" style="7" customWidth="1"/>
    <col min="10" max="10" width="18.140625" style="7" customWidth="1"/>
    <col min="11" max="11" width="16" style="7" customWidth="1"/>
    <col min="12" max="12" width="1.7109375" style="7" customWidth="1"/>
    <col min="13" max="13" width="13.85546875" style="7" customWidth="1"/>
    <col min="14" max="14" width="16.5703125" style="7" customWidth="1"/>
    <col min="15" max="15" width="1.7109375" style="7" customWidth="1"/>
    <col min="16" max="16" width="14.28515625" style="7" customWidth="1"/>
    <col min="17" max="17" width="1.7109375" style="13" customWidth="1"/>
    <col min="18" max="18" width="18.42578125" style="7" customWidth="1"/>
    <col min="19" max="19" width="14" style="7" customWidth="1"/>
    <col min="20" max="20" width="1.7109375" style="7" customWidth="1"/>
    <col min="21" max="21" width="18.42578125" style="7" customWidth="1"/>
    <col min="22" max="22" width="12.85546875" style="7" customWidth="1"/>
    <col min="23" max="23" width="14.7109375" style="7" customWidth="1"/>
    <col min="24" max="24" width="1.7109375" style="7" customWidth="1"/>
    <col min="25" max="25" width="18.42578125" style="7" customWidth="1"/>
    <col min="26" max="26" width="12.85546875" style="7" customWidth="1"/>
    <col min="27" max="27" width="14.7109375" style="7" customWidth="1"/>
    <col min="28" max="28" width="1.7109375" style="7" customWidth="1"/>
    <col min="29" max="29" width="18.42578125" style="7" customWidth="1"/>
    <col min="30" max="30" width="12.5703125" style="7" customWidth="1"/>
    <col min="31" max="31" width="14.7109375" style="7" customWidth="1"/>
    <col min="32" max="32" width="1.7109375" style="7" customWidth="1"/>
    <col min="33" max="33" width="14.5703125" style="7" customWidth="1"/>
    <col min="34" max="34" width="15.7109375" style="7" customWidth="1"/>
    <col min="35" max="35" width="16" style="7" customWidth="1"/>
    <col min="36" max="36" width="15.28515625" style="7" bestFit="1" customWidth="1"/>
    <col min="37" max="37" width="1.7109375" style="7" customWidth="1"/>
    <col min="38" max="38" width="14.5703125" style="7" hidden="1" customWidth="1"/>
    <col min="39" max="39" width="17.28515625" style="7" hidden="1" customWidth="1"/>
    <col min="40" max="40" width="16" style="7" hidden="1" customWidth="1"/>
    <col min="41" max="41" width="18" style="7" customWidth="1"/>
    <col min="42" max="42" width="13.42578125" style="7" bestFit="1" customWidth="1"/>
    <col min="43" max="16384" width="9.140625" style="7"/>
  </cols>
  <sheetData>
    <row r="1" spans="1:42" ht="18.75" thickBot="1">
      <c r="B1" s="12" t="s">
        <v>52</v>
      </c>
      <c r="Q1" s="7"/>
      <c r="R1" s="13"/>
    </row>
    <row r="2" spans="1:42" ht="18">
      <c r="B2" s="12" t="s">
        <v>53</v>
      </c>
      <c r="N2" s="14"/>
      <c r="O2" s="15"/>
      <c r="P2" s="261" t="s">
        <v>54</v>
      </c>
      <c r="Q2" s="261"/>
      <c r="R2" s="261"/>
      <c r="S2" s="16"/>
    </row>
    <row r="3" spans="1:42" ht="15.75">
      <c r="B3" s="17" t="s">
        <v>55</v>
      </c>
      <c r="N3" s="18"/>
      <c r="O3" s="2"/>
      <c r="P3" s="19" t="s">
        <v>56</v>
      </c>
      <c r="Q3" s="20"/>
      <c r="R3" s="21">
        <v>0</v>
      </c>
      <c r="S3" s="22"/>
      <c r="U3" s="7" t="s">
        <v>57</v>
      </c>
    </row>
    <row r="4" spans="1:42" ht="15.75">
      <c r="B4" s="17" t="s">
        <v>58</v>
      </c>
      <c r="M4" s="13"/>
      <c r="N4" s="18"/>
      <c r="O4" s="2"/>
      <c r="P4" s="19" t="s">
        <v>59</v>
      </c>
      <c r="Q4" s="20"/>
      <c r="R4" s="23">
        <v>0.3165</v>
      </c>
      <c r="S4" s="24"/>
      <c r="AO4" s="7" t="s">
        <v>57</v>
      </c>
    </row>
    <row r="5" spans="1:42" ht="15.75" thickBot="1">
      <c r="B5" s="25" t="s">
        <v>60</v>
      </c>
      <c r="N5" s="26"/>
      <c r="O5" s="27"/>
      <c r="P5" s="28" t="s">
        <v>61</v>
      </c>
      <c r="Q5" s="29"/>
      <c r="R5" s="224">
        <f>AJ48-AG48</f>
        <v>140000519.1167047</v>
      </c>
      <c r="S5" s="30"/>
      <c r="U5" s="13"/>
    </row>
    <row r="6" spans="1:42" ht="15.75">
      <c r="B6" s="25" t="s">
        <v>62</v>
      </c>
      <c r="H6" s="31"/>
      <c r="I6" s="31"/>
      <c r="J6" s="31"/>
      <c r="K6" s="32"/>
      <c r="U6" s="13"/>
    </row>
    <row r="7" spans="1:42">
      <c r="H7" s="31"/>
      <c r="I7" s="31"/>
      <c r="J7" s="31"/>
      <c r="P7" s="13"/>
      <c r="Q7" s="33"/>
      <c r="T7" s="13"/>
    </row>
    <row r="8" spans="1:42">
      <c r="L8" s="13"/>
      <c r="O8" s="13"/>
      <c r="Q8" s="7"/>
      <c r="R8" s="262" t="s">
        <v>63</v>
      </c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4"/>
      <c r="AJ8" s="9" t="s">
        <v>64</v>
      </c>
    </row>
    <row r="9" spans="1:42" ht="14.45" customHeight="1">
      <c r="D9" s="4"/>
      <c r="E9" s="265"/>
      <c r="F9" s="265"/>
      <c r="G9" s="34"/>
      <c r="H9" s="262" t="s">
        <v>65</v>
      </c>
      <c r="I9" s="263"/>
      <c r="J9" s="263"/>
      <c r="K9" s="264"/>
      <c r="M9" s="266" t="s">
        <v>66</v>
      </c>
      <c r="N9" s="267"/>
      <c r="O9" s="8"/>
      <c r="Q9" s="8"/>
      <c r="R9" s="268" t="s">
        <v>67</v>
      </c>
      <c r="S9" s="269"/>
      <c r="T9" s="35"/>
      <c r="U9" s="268" t="s">
        <v>68</v>
      </c>
      <c r="V9" s="270"/>
      <c r="W9" s="269"/>
      <c r="X9" s="35"/>
      <c r="Y9" s="268" t="s">
        <v>69</v>
      </c>
      <c r="Z9" s="270"/>
      <c r="AA9" s="269"/>
      <c r="AB9" s="35"/>
      <c r="AC9" s="271" t="s">
        <v>70</v>
      </c>
      <c r="AD9" s="272"/>
      <c r="AE9" s="273"/>
      <c r="AF9" s="36"/>
      <c r="AG9" s="259" t="s">
        <v>71</v>
      </c>
      <c r="AH9" s="260"/>
      <c r="AI9" s="260"/>
      <c r="AJ9" s="260"/>
      <c r="AK9" s="260"/>
      <c r="AL9" s="260"/>
      <c r="AM9" s="260"/>
      <c r="AN9" s="260"/>
      <c r="AO9" s="260"/>
    </row>
    <row r="10" spans="1:42" ht="45" customHeight="1">
      <c r="B10" s="37" t="s">
        <v>72</v>
      </c>
      <c r="C10" s="38" t="s">
        <v>73</v>
      </c>
      <c r="D10" s="38" t="s">
        <v>0</v>
      </c>
      <c r="E10" s="38" t="s">
        <v>74</v>
      </c>
      <c r="F10" s="38" t="s">
        <v>75</v>
      </c>
      <c r="G10" s="39"/>
      <c r="H10" s="37" t="s">
        <v>76</v>
      </c>
      <c r="I10" s="38" t="s">
        <v>77</v>
      </c>
      <c r="J10" s="38" t="s">
        <v>78</v>
      </c>
      <c r="K10" s="40" t="s">
        <v>79</v>
      </c>
      <c r="L10" s="39"/>
      <c r="M10" s="38" t="s">
        <v>80</v>
      </c>
      <c r="N10" s="40" t="s">
        <v>81</v>
      </c>
      <c r="O10" s="39"/>
      <c r="P10" s="38" t="s">
        <v>82</v>
      </c>
      <c r="Q10" s="39"/>
      <c r="R10" s="38" t="s">
        <v>83</v>
      </c>
      <c r="S10" s="38" t="s">
        <v>84</v>
      </c>
      <c r="T10" s="41"/>
      <c r="U10" s="38" t="s">
        <v>85</v>
      </c>
      <c r="V10" s="38" t="s">
        <v>86</v>
      </c>
      <c r="W10" s="38" t="s">
        <v>87</v>
      </c>
      <c r="X10" s="41"/>
      <c r="Y10" s="38" t="s">
        <v>88</v>
      </c>
      <c r="Z10" s="38" t="s">
        <v>89</v>
      </c>
      <c r="AA10" s="38" t="s">
        <v>90</v>
      </c>
      <c r="AB10" s="41"/>
      <c r="AC10" s="38" t="s">
        <v>91</v>
      </c>
      <c r="AD10" s="38" t="s">
        <v>92</v>
      </c>
      <c r="AE10" s="38" t="s">
        <v>93</v>
      </c>
      <c r="AF10" s="39"/>
      <c r="AG10" s="42" t="s">
        <v>94</v>
      </c>
      <c r="AH10" s="43" t="s">
        <v>95</v>
      </c>
      <c r="AI10" s="43" t="s">
        <v>96</v>
      </c>
      <c r="AJ10" s="44" t="s">
        <v>97</v>
      </c>
      <c r="AK10" s="39"/>
      <c r="AL10" s="45" t="s">
        <v>98</v>
      </c>
      <c r="AM10" s="46" t="s">
        <v>99</v>
      </c>
      <c r="AN10" s="46" t="s">
        <v>100</v>
      </c>
      <c r="AO10" s="129" t="s">
        <v>99</v>
      </c>
      <c r="AP10" s="132" t="s">
        <v>101</v>
      </c>
    </row>
    <row r="11" spans="1:42" s="47" customFormat="1">
      <c r="B11" s="48" t="s">
        <v>102</v>
      </c>
      <c r="C11" s="49" t="s">
        <v>103</v>
      </c>
      <c r="D11" s="49" t="s">
        <v>104</v>
      </c>
      <c r="E11" s="49" t="s">
        <v>105</v>
      </c>
      <c r="F11" s="49" t="s">
        <v>106</v>
      </c>
      <c r="G11" s="50"/>
      <c r="H11" s="49" t="s">
        <v>107</v>
      </c>
      <c r="I11" s="49" t="s">
        <v>108</v>
      </c>
      <c r="J11" s="49" t="s">
        <v>109</v>
      </c>
      <c r="K11" s="49" t="s">
        <v>110</v>
      </c>
      <c r="L11" s="51"/>
      <c r="M11" s="52" t="s">
        <v>111</v>
      </c>
      <c r="N11" s="49" t="s">
        <v>112</v>
      </c>
      <c r="O11" s="51"/>
      <c r="P11" s="49" t="s">
        <v>113</v>
      </c>
      <c r="Q11" s="53"/>
      <c r="R11" s="52" t="s">
        <v>114</v>
      </c>
      <c r="S11" s="52" t="s">
        <v>115</v>
      </c>
      <c r="T11" s="53"/>
      <c r="U11" s="54" t="s">
        <v>116</v>
      </c>
      <c r="V11" s="54" t="s">
        <v>117</v>
      </c>
      <c r="W11" s="54" t="s">
        <v>118</v>
      </c>
      <c r="X11" s="53"/>
      <c r="Y11" s="54" t="s">
        <v>119</v>
      </c>
      <c r="Z11" s="54" t="s">
        <v>120</v>
      </c>
      <c r="AA11" s="54" t="s">
        <v>121</v>
      </c>
      <c r="AB11" s="53"/>
      <c r="AC11" s="55" t="s">
        <v>122</v>
      </c>
      <c r="AD11" s="54" t="s">
        <v>123</v>
      </c>
      <c r="AE11" s="54" t="s">
        <v>124</v>
      </c>
      <c r="AF11" s="53"/>
      <c r="AG11" s="54" t="s">
        <v>125</v>
      </c>
      <c r="AH11" s="54" t="s">
        <v>126</v>
      </c>
      <c r="AI11" s="54" t="s">
        <v>127</v>
      </c>
      <c r="AJ11" s="54" t="s">
        <v>128</v>
      </c>
      <c r="AK11" s="53"/>
      <c r="AL11" s="54" t="s">
        <v>129</v>
      </c>
      <c r="AM11" s="56" t="s">
        <v>130</v>
      </c>
      <c r="AN11" s="56" t="s">
        <v>131</v>
      </c>
      <c r="AO11" s="130" t="s">
        <v>132</v>
      </c>
      <c r="AP11" s="128"/>
    </row>
    <row r="12" spans="1:42">
      <c r="A12" s="6" t="s">
        <v>20</v>
      </c>
      <c r="B12" s="36" t="s">
        <v>133</v>
      </c>
      <c r="C12" s="57" t="s">
        <v>45</v>
      </c>
      <c r="D12" s="2" t="s">
        <v>134</v>
      </c>
      <c r="E12" s="58">
        <v>6294</v>
      </c>
      <c r="F12" s="59">
        <v>0.91259999999999997</v>
      </c>
      <c r="G12" s="60"/>
      <c r="H12" s="61">
        <v>7633.2544009600888</v>
      </c>
      <c r="I12" s="62">
        <v>43844683.539994016</v>
      </c>
      <c r="J12" s="61">
        <f t="shared" ref="J12:J38" si="0">(H12+$R$3)*(1+$R$4)</f>
        <v>10049.179418863956</v>
      </c>
      <c r="K12" s="63">
        <f t="shared" ref="K12:K38" si="1">E12*F12*J12</f>
        <v>57721525.880402118</v>
      </c>
      <c r="L12" s="64"/>
      <c r="M12" s="13">
        <v>1.2779378727662076</v>
      </c>
      <c r="N12" s="61">
        <f>J12/M12</f>
        <v>7863.5899545817774</v>
      </c>
      <c r="O12" s="64"/>
      <c r="P12" s="61">
        <f t="shared" ref="P12:P38" si="2">K$39/M$39/F$39/E$39</f>
        <v>7013.1362702967108</v>
      </c>
      <c r="Q12" s="64"/>
      <c r="R12" s="33">
        <v>5811.6038993623324</v>
      </c>
      <c r="S12" s="33">
        <v>7426.8687245108968</v>
      </c>
      <c r="T12" s="64"/>
      <c r="U12" s="33">
        <f t="shared" ref="U12:U38" si="3">(1/2*(P12))+((1/2*(N12)))</f>
        <v>7438.3631124392441</v>
      </c>
      <c r="V12" s="65">
        <f>VLOOKUP(B12,'WI_IME Rate Modifier'!$A$7:$J$35,10,FALSE)</f>
        <v>1.2676997499268083</v>
      </c>
      <c r="W12" s="33">
        <f>U12*V12</f>
        <v>9429.6110575040257</v>
      </c>
      <c r="X12" s="64"/>
      <c r="Y12" s="33">
        <f t="shared" ref="Y12:Y38" si="4">(3/4*(P12))+((1/4*(N12)))</f>
        <v>7225.7496913679779</v>
      </c>
      <c r="Z12" s="65">
        <v>1.2779378727662076</v>
      </c>
      <c r="AA12" s="33">
        <f>Y12*Z12</f>
        <v>9234.0591897278755</v>
      </c>
      <c r="AB12" s="64"/>
      <c r="AC12" s="66">
        <f>P12</f>
        <v>7013.1362702967108</v>
      </c>
      <c r="AD12" s="65">
        <v>1.2779378727662076</v>
      </c>
      <c r="AE12" s="33">
        <f>AC12*AD12</f>
        <v>8962.3524466825147</v>
      </c>
      <c r="AF12" s="64"/>
      <c r="AG12" s="67">
        <v>42659223.94494053</v>
      </c>
      <c r="AH12" s="67">
        <f t="shared" ref="AH12:AH38" si="5">W12*E12*F12</f>
        <v>54162784.44348602</v>
      </c>
      <c r="AI12" s="67">
        <f t="shared" ref="AI12:AI38" si="6">AA12*F12*E12</f>
        <v>53039553.209738374</v>
      </c>
      <c r="AJ12" s="225">
        <f t="shared" ref="AJ12:AJ38" si="7">E12*F12*AE12</f>
        <v>51478895.652850457</v>
      </c>
      <c r="AK12" s="64"/>
      <c r="AL12" s="68">
        <f>AG12-I12</f>
        <v>-1185459.5950534865</v>
      </c>
      <c r="AM12" s="69">
        <f>AH12-AG12</f>
        <v>11503560.49854549</v>
      </c>
      <c r="AN12" s="69">
        <f>AI12-AH12</f>
        <v>-1123231.2337476462</v>
      </c>
      <c r="AO12" s="131">
        <f>+AH12-AG12</f>
        <v>11503560.49854549</v>
      </c>
      <c r="AP12" s="131">
        <f>+AO12/12*5</f>
        <v>4793150.2077272879</v>
      </c>
    </row>
    <row r="13" spans="1:42">
      <c r="A13" s="6" t="s">
        <v>6</v>
      </c>
      <c r="B13" s="36" t="s">
        <v>135</v>
      </c>
      <c r="C13" s="2" t="s">
        <v>32</v>
      </c>
      <c r="D13" s="2" t="s">
        <v>136</v>
      </c>
      <c r="E13" s="58">
        <v>774</v>
      </c>
      <c r="F13" s="70">
        <v>0.48370000000000002</v>
      </c>
      <c r="G13" s="60"/>
      <c r="H13" s="61">
        <v>7866.9937646139806</v>
      </c>
      <c r="I13" s="62">
        <v>2945275.0201724875</v>
      </c>
      <c r="J13" s="61">
        <f t="shared" si="0"/>
        <v>10356.897291114305</v>
      </c>
      <c r="K13" s="62">
        <f t="shared" si="1"/>
        <v>3877454.5640570796</v>
      </c>
      <c r="L13" s="64"/>
      <c r="M13" s="13">
        <v>1.1182504</v>
      </c>
      <c r="N13" s="61">
        <f t="shared" ref="N13:N38" si="8">J13/M13</f>
        <v>9261.6978193026407</v>
      </c>
      <c r="O13" s="64"/>
      <c r="P13" s="61">
        <f t="shared" si="2"/>
        <v>7013.1362702967108</v>
      </c>
      <c r="Q13" s="64"/>
      <c r="R13" s="33">
        <v>6608.0952769093483</v>
      </c>
      <c r="S13" s="33">
        <v>7389.505186641989</v>
      </c>
      <c r="T13" s="64"/>
      <c r="U13" s="33">
        <f t="shared" si="3"/>
        <v>8137.4170447996758</v>
      </c>
      <c r="V13" s="65">
        <f>VLOOKUP(B13,'WI_IME Rate Modifier'!$A$7:$J$35,10,FALSE)</f>
        <v>1.1262866999999999</v>
      </c>
      <c r="W13" s="33">
        <f t="shared" ref="W13:W38" si="9">U13*V13</f>
        <v>9165.0645899111787</v>
      </c>
      <c r="X13" s="64"/>
      <c r="Y13" s="33">
        <f t="shared" si="4"/>
        <v>7575.2766575481937</v>
      </c>
      <c r="Z13" s="65">
        <v>1.1182504</v>
      </c>
      <c r="AA13" s="33">
        <f t="shared" ref="AA13:AA38" si="10">Y13*Z13</f>
        <v>8471.0561524139302</v>
      </c>
      <c r="AB13" s="64"/>
      <c r="AC13" s="66">
        <f t="shared" ref="AC13:AC38" si="11">P13</f>
        <v>7013.1362702967108</v>
      </c>
      <c r="AD13" s="71">
        <v>1.1182504</v>
      </c>
      <c r="AE13" s="33">
        <f t="shared" ref="AE13:AE38" si="12">AC13*AD13</f>
        <v>7842.4424395138049</v>
      </c>
      <c r="AF13" s="64"/>
      <c r="AG13" s="67">
        <v>2766511.0318947369</v>
      </c>
      <c r="AH13" s="67">
        <f t="shared" si="5"/>
        <v>3431251.7084163888</v>
      </c>
      <c r="AI13" s="67">
        <f t="shared" si="6"/>
        <v>3171426.1923541068</v>
      </c>
      <c r="AJ13" s="67">
        <f t="shared" si="7"/>
        <v>2936083.4017864484</v>
      </c>
      <c r="AK13" s="64"/>
      <c r="AL13" s="67">
        <f t="shared" ref="AL13:AL38" si="13">AG13-I13</f>
        <v>-178763.98827775056</v>
      </c>
      <c r="AM13" s="69">
        <f t="shared" ref="AM13:AN38" si="14">AH13-AG13</f>
        <v>664740.67652165191</v>
      </c>
      <c r="AN13" s="69">
        <f t="shared" si="14"/>
        <v>-259825.51606228203</v>
      </c>
      <c r="AO13" s="131">
        <f>+AH13-AG13</f>
        <v>664740.67652165191</v>
      </c>
      <c r="AP13" s="131">
        <f>+AO13/12*5</f>
        <v>276975.28188402165</v>
      </c>
    </row>
    <row r="14" spans="1:42">
      <c r="A14" s="6" t="s">
        <v>23</v>
      </c>
      <c r="B14" s="36" t="s">
        <v>137</v>
      </c>
      <c r="C14" s="2" t="s">
        <v>44</v>
      </c>
      <c r="D14" s="2" t="s">
        <v>138</v>
      </c>
      <c r="E14" s="58">
        <v>200</v>
      </c>
      <c r="F14" s="70">
        <v>0.44990000000000002</v>
      </c>
      <c r="G14" s="60"/>
      <c r="H14" s="61">
        <v>7830.1683691752587</v>
      </c>
      <c r="I14" s="62">
        <v>704558.54985838977</v>
      </c>
      <c r="J14" s="61">
        <f t="shared" si="0"/>
        <v>10308.416658019229</v>
      </c>
      <c r="K14" s="62">
        <f t="shared" si="1"/>
        <v>927551.33088857029</v>
      </c>
      <c r="L14" s="64"/>
      <c r="M14" s="13">
        <v>1.1182504</v>
      </c>
      <c r="N14" s="61">
        <f t="shared" si="8"/>
        <v>9218.3438146046974</v>
      </c>
      <c r="O14" s="64"/>
      <c r="P14" s="61">
        <f t="shared" si="2"/>
        <v>7013.1362702967108</v>
      </c>
      <c r="Q14" s="64"/>
      <c r="R14" s="33">
        <v>6583.3968313921005</v>
      </c>
      <c r="S14" s="33">
        <v>7361.8861400629485</v>
      </c>
      <c r="T14" s="64"/>
      <c r="U14" s="33">
        <f t="shared" si="3"/>
        <v>8115.7400424507041</v>
      </c>
      <c r="V14" s="65">
        <f>VLOOKUP(B14,'WI_IME Rate Modifier'!$A$7:$J$35,10,FALSE)</f>
        <v>1.1067529</v>
      </c>
      <c r="W14" s="33">
        <f t="shared" si="9"/>
        <v>8982.1188276284411</v>
      </c>
      <c r="X14" s="64"/>
      <c r="Y14" s="33">
        <f t="shared" si="4"/>
        <v>7564.4381563737079</v>
      </c>
      <c r="Z14" s="65">
        <v>1.1182504</v>
      </c>
      <c r="AA14" s="33">
        <f t="shared" si="10"/>
        <v>8458.9359941401617</v>
      </c>
      <c r="AB14" s="64"/>
      <c r="AC14" s="66">
        <f t="shared" si="11"/>
        <v>7013.1362702967108</v>
      </c>
      <c r="AD14" s="71">
        <v>1.1182504</v>
      </c>
      <c r="AE14" s="33">
        <f t="shared" si="12"/>
        <v>7842.4424395138049</v>
      </c>
      <c r="AF14" s="64"/>
      <c r="AG14" s="67">
        <v>662422.51488286408</v>
      </c>
      <c r="AH14" s="67">
        <f t="shared" si="5"/>
        <v>808211.05211000715</v>
      </c>
      <c r="AI14" s="67">
        <f t="shared" si="6"/>
        <v>761135.06075273175</v>
      </c>
      <c r="AJ14" s="67">
        <f t="shared" si="7"/>
        <v>705662.97070745216</v>
      </c>
      <c r="AK14" s="64"/>
      <c r="AL14" s="67">
        <f t="shared" si="13"/>
        <v>-42136.03497552569</v>
      </c>
      <c r="AM14" s="69">
        <f t="shared" si="14"/>
        <v>145788.53722714307</v>
      </c>
      <c r="AN14" s="69">
        <f t="shared" si="14"/>
        <v>-47075.991357275401</v>
      </c>
      <c r="AO14" s="131">
        <f t="shared" ref="AO14:AO39" si="15">+AH14-AG14</f>
        <v>145788.53722714307</v>
      </c>
      <c r="AP14" s="131">
        <f t="shared" ref="AP14:AP38" si="16">+AO14/12*5</f>
        <v>60745.22384464294</v>
      </c>
    </row>
    <row r="15" spans="1:42">
      <c r="A15" s="7" t="s">
        <v>25</v>
      </c>
      <c r="B15" s="36" t="s">
        <v>139</v>
      </c>
      <c r="C15" s="2" t="s">
        <v>359</v>
      </c>
      <c r="D15" s="2" t="s">
        <v>140</v>
      </c>
      <c r="E15" s="58">
        <v>2797</v>
      </c>
      <c r="F15" s="70">
        <v>0.68</v>
      </c>
      <c r="G15" s="60"/>
      <c r="H15" s="61">
        <v>6907.5019789058497</v>
      </c>
      <c r="I15" s="62">
        <v>13137792.463799775</v>
      </c>
      <c r="J15" s="61">
        <f>(H15+$R$3)*(1+$R$4)</f>
        <v>9093.7263552295517</v>
      </c>
      <c r="K15" s="62">
        <f>E15*F15*J15</f>
        <v>17295903.7785924</v>
      </c>
      <c r="L15" s="64"/>
      <c r="M15" s="13">
        <v>1.2504687536643488</v>
      </c>
      <c r="N15" s="61">
        <f t="shared" si="8"/>
        <v>7272.2539676273209</v>
      </c>
      <c r="O15" s="64"/>
      <c r="P15" s="61">
        <f t="shared" si="2"/>
        <v>7013.1362702967108</v>
      </c>
      <c r="Q15" s="64"/>
      <c r="R15" s="33">
        <v>5474.7243017809869</v>
      </c>
      <c r="S15" s="33">
        <v>6845.9716743039935</v>
      </c>
      <c r="T15" s="64"/>
      <c r="U15" s="33">
        <f t="shared" si="3"/>
        <v>7142.6951189620158</v>
      </c>
      <c r="V15" s="65">
        <f>VLOOKUP(B15,'WI_IME Rate Modifier'!$A$7:$J$35,10,FALSE)</f>
        <v>1.2441784426657987</v>
      </c>
      <c r="W15" s="33">
        <f t="shared" si="9"/>
        <v>8886.7872895467626</v>
      </c>
      <c r="X15" s="64"/>
      <c r="Y15" s="33">
        <f t="shared" si="4"/>
        <v>7077.9156946293642</v>
      </c>
      <c r="Z15" s="65">
        <v>1.2504687536643488</v>
      </c>
      <c r="AA15" s="33">
        <f t="shared" si="10"/>
        <v>8850.7124172045151</v>
      </c>
      <c r="AB15" s="64"/>
      <c r="AC15" s="66">
        <f t="shared" si="11"/>
        <v>7013.1362702967108</v>
      </c>
      <c r="AD15" s="71">
        <v>1.2504687536643488</v>
      </c>
      <c r="AE15" s="33">
        <f t="shared" si="12"/>
        <v>8769.7077711961683</v>
      </c>
      <c r="AF15" s="64"/>
      <c r="AG15" s="67">
        <v>13020764.285659224</v>
      </c>
      <c r="AH15" s="67">
        <f t="shared" si="5"/>
        <v>16902313.953226361</v>
      </c>
      <c r="AI15" s="67">
        <f t="shared" si="6"/>
        <v>16833700.989026301</v>
      </c>
      <c r="AJ15" s="67">
        <f t="shared" si="7"/>
        <v>16679633.392504266</v>
      </c>
      <c r="AK15" s="64"/>
      <c r="AL15" s="67">
        <f t="shared" si="13"/>
        <v>-117028.17814055085</v>
      </c>
      <c r="AM15" s="69">
        <f t="shared" si="14"/>
        <v>3881549.6675671376</v>
      </c>
      <c r="AN15" s="69">
        <f t="shared" si="14"/>
        <v>-68612.964200060815</v>
      </c>
      <c r="AO15" s="131">
        <f t="shared" si="15"/>
        <v>3881549.6675671376</v>
      </c>
      <c r="AP15" s="131">
        <f t="shared" si="16"/>
        <v>1617312.3614863073</v>
      </c>
    </row>
    <row r="16" spans="1:42">
      <c r="A16" s="6" t="s">
        <v>24</v>
      </c>
      <c r="B16" s="72" t="s">
        <v>141</v>
      </c>
      <c r="C16" s="4" t="s">
        <v>48</v>
      </c>
      <c r="D16" s="4" t="s">
        <v>142</v>
      </c>
      <c r="E16" s="73">
        <v>2960</v>
      </c>
      <c r="F16" s="74">
        <v>0.68679999999999997</v>
      </c>
      <c r="G16" s="60"/>
      <c r="H16" s="75">
        <v>6754.7440174233852</v>
      </c>
      <c r="I16" s="76">
        <v>13731908.245852487</v>
      </c>
      <c r="J16" s="75">
        <f t="shared" si="0"/>
        <v>8892.6204989378875</v>
      </c>
      <c r="K16" s="76">
        <f t="shared" si="1"/>
        <v>18078057.205664802</v>
      </c>
      <c r="L16" s="64"/>
      <c r="M16" s="77">
        <v>1.3649969276408735</v>
      </c>
      <c r="N16" s="75">
        <f t="shared" si="8"/>
        <v>6514.7549557543825</v>
      </c>
      <c r="O16" s="64"/>
      <c r="P16" s="75">
        <f t="shared" si="2"/>
        <v>7013.1362702967108</v>
      </c>
      <c r="Q16" s="64"/>
      <c r="R16" s="78">
        <v>5043.1828973717911</v>
      </c>
      <c r="S16" s="78">
        <v>6883.9291604434939</v>
      </c>
      <c r="T16" s="64"/>
      <c r="U16" s="78">
        <f t="shared" si="3"/>
        <v>6763.9456130255467</v>
      </c>
      <c r="V16" s="79">
        <f>VLOOKUP(B16,'WI_IME Rate Modifier'!$A$7:$J$35,10,FALSE)</f>
        <v>1.3393867905255203</v>
      </c>
      <c r="W16" s="78">
        <f t="shared" si="9"/>
        <v>9059.5394059194605</v>
      </c>
      <c r="X16" s="64"/>
      <c r="Y16" s="78">
        <f t="shared" si="4"/>
        <v>6888.5409416611292</v>
      </c>
      <c r="Z16" s="79">
        <v>1.3649969276408735</v>
      </c>
      <c r="AA16" s="78">
        <f t="shared" si="10"/>
        <v>9402.8372212958111</v>
      </c>
      <c r="AB16" s="64"/>
      <c r="AC16" s="78">
        <f t="shared" si="11"/>
        <v>7013.1362702967108</v>
      </c>
      <c r="AD16" s="79">
        <v>1.3649969276408735</v>
      </c>
      <c r="AE16" s="78">
        <f t="shared" si="12"/>
        <v>9572.909462081785</v>
      </c>
      <c r="AF16" s="64"/>
      <c r="AG16" s="80">
        <v>13994532.340282071</v>
      </c>
      <c r="AH16" s="80">
        <f t="shared" si="5"/>
        <v>18417391.325397037</v>
      </c>
      <c r="AI16" s="80">
        <f t="shared" si="6"/>
        <v>19115291.066614449</v>
      </c>
      <c r="AJ16" s="81">
        <f t="shared" si="7"/>
        <v>19461035.686930999</v>
      </c>
      <c r="AK16" s="64"/>
      <c r="AL16" s="80">
        <f t="shared" si="13"/>
        <v>262624.09442958422</v>
      </c>
      <c r="AM16" s="82">
        <f t="shared" si="14"/>
        <v>4422858.9851149656</v>
      </c>
      <c r="AN16" s="82">
        <f t="shared" si="14"/>
        <v>697899.74121741205</v>
      </c>
      <c r="AO16" s="227">
        <f t="shared" si="15"/>
        <v>4422858.9851149656</v>
      </c>
      <c r="AP16" s="227">
        <f t="shared" si="16"/>
        <v>1842857.910464569</v>
      </c>
    </row>
    <row r="17" spans="1:42">
      <c r="A17" s="6" t="s">
        <v>13</v>
      </c>
      <c r="B17" s="36" t="s">
        <v>143</v>
      </c>
      <c r="C17" s="2" t="s">
        <v>39</v>
      </c>
      <c r="D17" s="2" t="s">
        <v>144</v>
      </c>
      <c r="E17" s="58">
        <v>2545</v>
      </c>
      <c r="F17" s="70">
        <v>0.72140000000000004</v>
      </c>
      <c r="G17" s="60"/>
      <c r="H17" s="61">
        <v>7141.6929655130371</v>
      </c>
      <c r="I17" s="62">
        <v>13111884.042042213</v>
      </c>
      <c r="J17" s="61">
        <f t="shared" si="0"/>
        <v>9402.0387890979127</v>
      </c>
      <c r="K17" s="62">
        <f t="shared" si="1"/>
        <v>17261795.341348574</v>
      </c>
      <c r="L17" s="64"/>
      <c r="M17" s="13">
        <v>1.1213482576398275</v>
      </c>
      <c r="N17" s="61">
        <f t="shared" si="8"/>
        <v>8384.5841156314618</v>
      </c>
      <c r="O17" s="64"/>
      <c r="P17" s="61">
        <f t="shared" si="2"/>
        <v>7013.1362702967108</v>
      </c>
      <c r="Q17" s="64"/>
      <c r="R17" s="33">
        <v>6108.4102957066261</v>
      </c>
      <c r="S17" s="33">
        <v>6849.6552420398084</v>
      </c>
      <c r="T17" s="64"/>
      <c r="U17" s="33">
        <f t="shared" si="3"/>
        <v>7698.8601929640863</v>
      </c>
      <c r="V17" s="65">
        <f>VLOOKUP(B17,'WI_IME Rate Modifier'!$A$7:$J$35,10,FALSE)</f>
        <v>1.1471138197315915</v>
      </c>
      <c r="W17" s="33">
        <f t="shared" si="9"/>
        <v>8831.4689235305304</v>
      </c>
      <c r="X17" s="64"/>
      <c r="Y17" s="33">
        <f t="shared" si="4"/>
        <v>7355.9982316303995</v>
      </c>
      <c r="Z17" s="65">
        <v>1.1213482576398275</v>
      </c>
      <c r="AA17" s="33">
        <f t="shared" si="10"/>
        <v>8248.6358002404013</v>
      </c>
      <c r="AB17" s="64"/>
      <c r="AC17" s="83">
        <f t="shared" si="11"/>
        <v>7013.1362702967108</v>
      </c>
      <c r="AD17" s="71">
        <v>1.1213482576398275</v>
      </c>
      <c r="AE17" s="33">
        <f t="shared" si="12"/>
        <v>7864.1681372878948</v>
      </c>
      <c r="AF17" s="64"/>
      <c r="AG17" s="67">
        <v>12575713.587141132</v>
      </c>
      <c r="AH17" s="67">
        <f t="shared" si="5"/>
        <v>16214250.179251883</v>
      </c>
      <c r="AI17" s="67">
        <f t="shared" si="6"/>
        <v>15144190.129716769</v>
      </c>
      <c r="AJ17" s="67">
        <f t="shared" si="7"/>
        <v>14438321.725839498</v>
      </c>
      <c r="AK17" s="64"/>
      <c r="AL17" s="67">
        <f t="shared" si="13"/>
        <v>-536170.45490108058</v>
      </c>
      <c r="AM17" s="69">
        <f t="shared" si="14"/>
        <v>3638536.5921107512</v>
      </c>
      <c r="AN17" s="69">
        <f t="shared" si="14"/>
        <v>-1070060.0495351143</v>
      </c>
      <c r="AO17" s="131">
        <f t="shared" si="15"/>
        <v>3638536.5921107512</v>
      </c>
      <c r="AP17" s="131">
        <f t="shared" si="16"/>
        <v>1516056.9133794797</v>
      </c>
    </row>
    <row r="18" spans="1:42">
      <c r="A18" s="6" t="s">
        <v>12</v>
      </c>
      <c r="B18" s="36" t="s">
        <v>145</v>
      </c>
      <c r="C18" s="2" t="s">
        <v>38</v>
      </c>
      <c r="D18" s="2" t="s">
        <v>146</v>
      </c>
      <c r="E18" s="58">
        <v>355</v>
      </c>
      <c r="F18" s="70">
        <v>0.52129999999999999</v>
      </c>
      <c r="G18" s="60"/>
      <c r="H18" s="61">
        <v>5018.2371598418731</v>
      </c>
      <c r="I18" s="62">
        <v>928682.49615607678</v>
      </c>
      <c r="J18" s="61">
        <f t="shared" si="0"/>
        <v>6606.5092209318263</v>
      </c>
      <c r="K18" s="62">
        <f t="shared" si="1"/>
        <v>1222610.5061894751</v>
      </c>
      <c r="L18" s="64"/>
      <c r="M18" s="13">
        <v>1.1182504</v>
      </c>
      <c r="N18" s="61">
        <f t="shared" si="8"/>
        <v>5907.8979278092156</v>
      </c>
      <c r="O18" s="64"/>
      <c r="P18" s="61">
        <f t="shared" si="2"/>
        <v>7013.1362702967108</v>
      </c>
      <c r="Q18" s="64"/>
      <c r="R18" s="33">
        <v>4697.4610812237661</v>
      </c>
      <c r="S18" s="33">
        <v>5252.9377330629086</v>
      </c>
      <c r="T18" s="64"/>
      <c r="U18" s="33">
        <f t="shared" si="3"/>
        <v>6460.5170990529632</v>
      </c>
      <c r="V18" s="65">
        <f>VLOOKUP(B18,'WI_IME Rate Modifier'!$A$7:$J$35,10,FALSE)</f>
        <v>1.1067529</v>
      </c>
      <c r="W18" s="33">
        <f t="shared" si="9"/>
        <v>7150.1960348764542</v>
      </c>
      <c r="X18" s="64"/>
      <c r="Y18" s="33">
        <f t="shared" si="4"/>
        <v>6736.8266846748375</v>
      </c>
      <c r="Z18" s="65">
        <v>1.1182504</v>
      </c>
      <c r="AA18" s="33">
        <f t="shared" si="10"/>
        <v>7533.4591348683107</v>
      </c>
      <c r="AB18" s="64"/>
      <c r="AC18" s="66">
        <f t="shared" si="11"/>
        <v>7013.1362702967108</v>
      </c>
      <c r="AD18" s="71">
        <v>1.1182504</v>
      </c>
      <c r="AE18" s="33">
        <f t="shared" si="12"/>
        <v>7842.4424395138049</v>
      </c>
      <c r="AF18" s="64"/>
      <c r="AG18" s="67">
        <v>972116.53628722136</v>
      </c>
      <c r="AH18" s="67">
        <f t="shared" si="5"/>
        <v>1323226.0035082889</v>
      </c>
      <c r="AI18" s="67">
        <f t="shared" si="6"/>
        <v>1394153.2476874318</v>
      </c>
      <c r="AJ18" s="67">
        <f t="shared" si="7"/>
        <v>1451334.1615200839</v>
      </c>
      <c r="AK18" s="64"/>
      <c r="AL18" s="67">
        <f t="shared" si="13"/>
        <v>43434.040131144575</v>
      </c>
      <c r="AM18" s="69">
        <f t="shared" si="14"/>
        <v>351109.46722106752</v>
      </c>
      <c r="AN18" s="69">
        <f t="shared" si="14"/>
        <v>70927.244179142872</v>
      </c>
      <c r="AO18" s="131">
        <f t="shared" si="15"/>
        <v>351109.46722106752</v>
      </c>
      <c r="AP18" s="131">
        <f t="shared" si="16"/>
        <v>146295.61134211146</v>
      </c>
    </row>
    <row r="19" spans="1:42">
      <c r="A19" s="7" t="s">
        <v>3</v>
      </c>
      <c r="B19" s="36" t="s">
        <v>147</v>
      </c>
      <c r="C19" s="2" t="s">
        <v>29</v>
      </c>
      <c r="D19" s="2" t="s">
        <v>148</v>
      </c>
      <c r="E19" s="58">
        <v>5650</v>
      </c>
      <c r="F19" s="70">
        <v>0.75949999999999995</v>
      </c>
      <c r="G19" s="60"/>
      <c r="H19" s="61">
        <v>9281.4436591934718</v>
      </c>
      <c r="I19" s="62">
        <v>39828298.994239546</v>
      </c>
      <c r="J19" s="61">
        <f t="shared" si="0"/>
        <v>12219.020577328205</v>
      </c>
      <c r="K19" s="62">
        <f t="shared" si="1"/>
        <v>52433955.625916362</v>
      </c>
      <c r="L19" s="64"/>
      <c r="M19" s="13">
        <v>1.4151430792577278</v>
      </c>
      <c r="N19" s="61">
        <f t="shared" si="8"/>
        <v>8634.4771468177896</v>
      </c>
      <c r="O19" s="64"/>
      <c r="P19" s="61">
        <f t="shared" si="2"/>
        <v>7013.1362702967108</v>
      </c>
      <c r="Q19" s="64"/>
      <c r="R19" s="33">
        <v>6250.7724479206372</v>
      </c>
      <c r="S19" s="33">
        <v>8845.7373696897757</v>
      </c>
      <c r="T19" s="64"/>
      <c r="U19" s="33">
        <f t="shared" si="3"/>
        <v>7823.8067085572502</v>
      </c>
      <c r="V19" s="65">
        <f>VLOOKUP(B19,'WI_IME Rate Modifier'!$A$7:$J$35,10,FALSE)</f>
        <v>1.3906001417469285</v>
      </c>
      <c r="W19" s="33">
        <f t="shared" si="9"/>
        <v>10879.786717920282</v>
      </c>
      <c r="X19" s="64"/>
      <c r="Y19" s="33">
        <f t="shared" si="4"/>
        <v>7418.471489426981</v>
      </c>
      <c r="Z19" s="65">
        <v>1.4151430792577278</v>
      </c>
      <c r="AA19" s="33">
        <f t="shared" si="10"/>
        <v>10498.19858693336</v>
      </c>
      <c r="AB19" s="64"/>
      <c r="AC19" s="66">
        <f t="shared" si="11"/>
        <v>7013.1362702967108</v>
      </c>
      <c r="AD19" s="71">
        <v>1.4151430792577278</v>
      </c>
      <c r="AE19" s="33">
        <f t="shared" si="12"/>
        <v>9924.5912568017429</v>
      </c>
      <c r="AF19" s="64"/>
      <c r="AG19" s="67">
        <v>37958607.057378523</v>
      </c>
      <c r="AH19" s="67">
        <f t="shared" si="5"/>
        <v>46687068.769271567</v>
      </c>
      <c r="AI19" s="67">
        <f t="shared" si="6"/>
        <v>45049607.321283765</v>
      </c>
      <c r="AJ19" s="67">
        <f t="shared" si="7"/>
        <v>42588157.88640622</v>
      </c>
      <c r="AK19" s="64"/>
      <c r="AL19" s="67">
        <f t="shared" si="13"/>
        <v>-1869691.9368610233</v>
      </c>
      <c r="AM19" s="69">
        <f t="shared" si="14"/>
        <v>8728461.7118930444</v>
      </c>
      <c r="AN19" s="69">
        <f t="shared" si="14"/>
        <v>-1637461.4479878023</v>
      </c>
      <c r="AO19" s="131">
        <f t="shared" si="15"/>
        <v>8728461.7118930444</v>
      </c>
      <c r="AP19" s="131">
        <f t="shared" si="16"/>
        <v>3636859.0466221021</v>
      </c>
    </row>
    <row r="20" spans="1:42">
      <c r="A20" s="6" t="s">
        <v>11</v>
      </c>
      <c r="B20" s="84" t="s">
        <v>149</v>
      </c>
      <c r="C20" s="5" t="s">
        <v>37</v>
      </c>
      <c r="D20" s="2" t="s">
        <v>150</v>
      </c>
      <c r="E20" s="58">
        <v>902</v>
      </c>
      <c r="F20" s="70">
        <v>0.67579999999999996</v>
      </c>
      <c r="G20" s="60"/>
      <c r="H20" s="61">
        <v>5641.369764112721</v>
      </c>
      <c r="I20" s="62">
        <v>3438818.7933018138</v>
      </c>
      <c r="J20" s="61">
        <f t="shared" si="0"/>
        <v>7426.863294454397</v>
      </c>
      <c r="K20" s="62">
        <f t="shared" si="1"/>
        <v>4527204.9413818382</v>
      </c>
      <c r="L20" s="64"/>
      <c r="M20" s="13">
        <v>1.1182504</v>
      </c>
      <c r="N20" s="61">
        <f t="shared" si="8"/>
        <v>6641.5029178209079</v>
      </c>
      <c r="O20" s="64"/>
      <c r="P20" s="61">
        <f t="shared" si="2"/>
        <v>7013.1362702967108</v>
      </c>
      <c r="Q20" s="64"/>
      <c r="R20" s="33">
        <v>5115.3902437826491</v>
      </c>
      <c r="S20" s="33">
        <v>5720.287186266045</v>
      </c>
      <c r="T20" s="64"/>
      <c r="U20" s="33">
        <f t="shared" si="3"/>
        <v>6827.3195940588093</v>
      </c>
      <c r="V20" s="65">
        <f>VLOOKUP(B20,'WI_IME Rate Modifier'!$A$7:$J$35,10,FALSE)</f>
        <v>1.1067529</v>
      </c>
      <c r="W20" s="33">
        <f t="shared" si="9"/>
        <v>7556.1557599514099</v>
      </c>
      <c r="X20" s="64"/>
      <c r="Y20" s="33">
        <f t="shared" si="4"/>
        <v>6920.2279321777605</v>
      </c>
      <c r="Z20" s="65">
        <v>1.1182504</v>
      </c>
      <c r="AA20" s="33">
        <f t="shared" si="10"/>
        <v>7738.5476532489538</v>
      </c>
      <c r="AB20" s="64"/>
      <c r="AC20" s="66">
        <f t="shared" si="11"/>
        <v>7013.1362702967108</v>
      </c>
      <c r="AD20" s="71">
        <v>1.1182504</v>
      </c>
      <c r="AE20" s="33">
        <f t="shared" si="12"/>
        <v>7842.4424395138049</v>
      </c>
      <c r="AF20" s="64"/>
      <c r="AG20" s="67">
        <v>3486924.6125916908</v>
      </c>
      <c r="AH20" s="67">
        <f t="shared" si="5"/>
        <v>4606017.9564427966</v>
      </c>
      <c r="AI20" s="67">
        <f t="shared" si="6"/>
        <v>4717198.8746672096</v>
      </c>
      <c r="AJ20" s="67">
        <f t="shared" si="7"/>
        <v>4780530.1857623328</v>
      </c>
      <c r="AK20" s="64"/>
      <c r="AL20" s="67">
        <f t="shared" si="13"/>
        <v>48105.819289877079</v>
      </c>
      <c r="AM20" s="69">
        <f t="shared" si="14"/>
        <v>1119093.3438511058</v>
      </c>
      <c r="AN20" s="69">
        <f t="shared" si="14"/>
        <v>111180.91822441295</v>
      </c>
      <c r="AO20" s="131">
        <f t="shared" si="15"/>
        <v>1119093.3438511058</v>
      </c>
      <c r="AP20" s="131">
        <f t="shared" si="16"/>
        <v>466288.89327129407</v>
      </c>
    </row>
    <row r="21" spans="1:42">
      <c r="A21" s="6" t="s">
        <v>19</v>
      </c>
      <c r="B21" s="72" t="s">
        <v>151</v>
      </c>
      <c r="C21" s="4" t="s">
        <v>360</v>
      </c>
      <c r="D21" s="4" t="s">
        <v>152</v>
      </c>
      <c r="E21" s="73">
        <v>217</v>
      </c>
      <c r="F21" s="74">
        <v>1.2676000000000001</v>
      </c>
      <c r="G21" s="60"/>
      <c r="H21" s="75">
        <v>5029.4087830744256</v>
      </c>
      <c r="I21" s="76">
        <v>1383435.4504332559</v>
      </c>
      <c r="J21" s="75">
        <f t="shared" si="0"/>
        <v>6621.2166629174817</v>
      </c>
      <c r="K21" s="76">
        <f t="shared" si="1"/>
        <v>1821292.7704953814</v>
      </c>
      <c r="L21" s="64"/>
      <c r="M21" s="77">
        <v>1.1257754552385275</v>
      </c>
      <c r="N21" s="75">
        <f t="shared" si="8"/>
        <v>5881.4718620016356</v>
      </c>
      <c r="O21" s="64"/>
      <c r="P21" s="75">
        <f t="shared" si="2"/>
        <v>7013.1362702967108</v>
      </c>
      <c r="Q21" s="64"/>
      <c r="R21" s="78">
        <v>4682.4063532665432</v>
      </c>
      <c r="S21" s="78">
        <v>5271.3381439604163</v>
      </c>
      <c r="T21" s="64"/>
      <c r="U21" s="78">
        <f t="shared" si="3"/>
        <v>6447.3040661491732</v>
      </c>
      <c r="V21" s="79">
        <f>VLOOKUP(B21,'WI_IME Rate Modifier'!$A$7:$J$35,10,FALSE)</f>
        <v>1.1134936194482736</v>
      </c>
      <c r="W21" s="78">
        <f t="shared" si="9"/>
        <v>7179.0319403000149</v>
      </c>
      <c r="X21" s="64"/>
      <c r="Y21" s="78">
        <f t="shared" si="4"/>
        <v>6730.2201682229424</v>
      </c>
      <c r="Z21" s="79">
        <v>1.1257754552385275</v>
      </c>
      <c r="AA21" s="78">
        <f t="shared" si="10"/>
        <v>7576.7166737367024</v>
      </c>
      <c r="AB21" s="64"/>
      <c r="AC21" s="78">
        <f t="shared" si="11"/>
        <v>7013.1362702967108</v>
      </c>
      <c r="AD21" s="79">
        <v>1.1257754552385275</v>
      </c>
      <c r="AE21" s="78">
        <f t="shared" si="12"/>
        <v>7895.2166773431081</v>
      </c>
      <c r="AF21" s="64"/>
      <c r="AG21" s="80">
        <v>1449982.7661886765</v>
      </c>
      <c r="AH21" s="80">
        <f t="shared" si="5"/>
        <v>1974730.5725927728</v>
      </c>
      <c r="AI21" s="80">
        <f t="shared" si="6"/>
        <v>2084121.3940714158</v>
      </c>
      <c r="AJ21" s="81">
        <f t="shared" si="7"/>
        <v>2171730.935263427</v>
      </c>
      <c r="AK21" s="64"/>
      <c r="AL21" s="80">
        <f t="shared" si="13"/>
        <v>66547.315755420597</v>
      </c>
      <c r="AM21" s="82">
        <f t="shared" si="14"/>
        <v>524747.80640409631</v>
      </c>
      <c r="AN21" s="82">
        <f t="shared" si="14"/>
        <v>109390.82147864299</v>
      </c>
      <c r="AO21" s="227">
        <f t="shared" si="15"/>
        <v>524747.80640409631</v>
      </c>
      <c r="AP21" s="227">
        <f t="shared" si="16"/>
        <v>218644.91933504015</v>
      </c>
    </row>
    <row r="22" spans="1:42">
      <c r="A22" s="85"/>
      <c r="B22" s="36" t="s">
        <v>153</v>
      </c>
      <c r="C22" s="2" t="s">
        <v>154</v>
      </c>
      <c r="D22" s="2" t="s">
        <v>155</v>
      </c>
      <c r="E22" s="58">
        <v>69</v>
      </c>
      <c r="F22" s="70">
        <v>0.83309999999999995</v>
      </c>
      <c r="G22" s="60"/>
      <c r="H22" s="61">
        <v>8529.1280337443641</v>
      </c>
      <c r="I22" s="62">
        <v>490287.54297895764</v>
      </c>
      <c r="J22" s="61">
        <f t="shared" si="0"/>
        <v>11228.597056424456</v>
      </c>
      <c r="K22" s="62">
        <f t="shared" si="1"/>
        <v>645463.5503317978</v>
      </c>
      <c r="L22" s="64"/>
      <c r="M22" s="13">
        <v>1.2553596451727547</v>
      </c>
      <c r="N22" s="61">
        <f t="shared" si="8"/>
        <v>8944.5260564188738</v>
      </c>
      <c r="O22" s="64"/>
      <c r="P22" s="61">
        <f t="shared" si="2"/>
        <v>7013.1362702967108</v>
      </c>
      <c r="Q22" s="64"/>
      <c r="R22" s="33">
        <v>6427.4049448449159</v>
      </c>
      <c r="S22" s="33">
        <v>8068.7047909421226</v>
      </c>
      <c r="T22" s="64"/>
      <c r="U22" s="33">
        <f t="shared" si="3"/>
        <v>7978.8311633577923</v>
      </c>
      <c r="V22" s="65">
        <f>VLOOKUP(B22,'WI_IME Rate Modifier'!$A$7:$J$35,10,FALSE)</f>
        <v>1.2446827292798619</v>
      </c>
      <c r="W22" s="33">
        <f t="shared" si="9"/>
        <v>9931.1133488713931</v>
      </c>
      <c r="X22" s="64"/>
      <c r="Y22" s="33">
        <f t="shared" si="4"/>
        <v>7495.9837168272516</v>
      </c>
      <c r="Z22" s="65">
        <v>1.2553596451727547</v>
      </c>
      <c r="AA22" s="33">
        <f t="shared" si="10"/>
        <v>9410.1554589770058</v>
      </c>
      <c r="AB22" s="64"/>
      <c r="AC22" s="83">
        <f t="shared" si="11"/>
        <v>7013.1362702967108</v>
      </c>
      <c r="AD22" s="71">
        <v>1.2553596451727547</v>
      </c>
      <c r="AE22" s="33">
        <f t="shared" si="12"/>
        <v>8804.008259827855</v>
      </c>
      <c r="AF22" s="64"/>
      <c r="AG22" s="67">
        <v>463820.61933203787</v>
      </c>
      <c r="AH22" s="67">
        <f t="shared" si="5"/>
        <v>570879.12663518824</v>
      </c>
      <c r="AI22" s="67">
        <f t="shared" si="6"/>
        <v>540932.43538828834</v>
      </c>
      <c r="AJ22" s="67">
        <f t="shared" si="7"/>
        <v>506088.73040711845</v>
      </c>
      <c r="AK22" s="64"/>
      <c r="AL22" s="67">
        <f t="shared" si="13"/>
        <v>-26466.923646919779</v>
      </c>
      <c r="AM22" s="69">
        <f t="shared" si="14"/>
        <v>107058.50730315037</v>
      </c>
      <c r="AN22" s="69">
        <f t="shared" si="14"/>
        <v>-29946.691246899893</v>
      </c>
      <c r="AO22" s="131">
        <f t="shared" si="15"/>
        <v>107058.50730315037</v>
      </c>
      <c r="AP22" s="131">
        <f t="shared" si="16"/>
        <v>44607.711376312654</v>
      </c>
    </row>
    <row r="23" spans="1:42">
      <c r="A23" s="6" t="s">
        <v>21</v>
      </c>
      <c r="B23" s="36" t="s">
        <v>156</v>
      </c>
      <c r="C23" s="2" t="s">
        <v>46</v>
      </c>
      <c r="D23" s="2" t="s">
        <v>157</v>
      </c>
      <c r="E23" s="58">
        <v>3091</v>
      </c>
      <c r="F23" s="70">
        <v>0.78159999999999996</v>
      </c>
      <c r="G23" s="60"/>
      <c r="H23" s="61">
        <v>6809.0032442626898</v>
      </c>
      <c r="I23" s="62">
        <v>16450045.248297285</v>
      </c>
      <c r="J23" s="61">
        <f t="shared" si="0"/>
        <v>8964.0527710718306</v>
      </c>
      <c r="K23" s="62">
        <f t="shared" si="1"/>
        <v>21656484.569383375</v>
      </c>
      <c r="L23" s="64"/>
      <c r="M23" s="13">
        <v>1.3132751907553242</v>
      </c>
      <c r="N23" s="61">
        <f t="shared" si="8"/>
        <v>6825.7230732548878</v>
      </c>
      <c r="O23" s="64"/>
      <c r="P23" s="61">
        <f t="shared" si="2"/>
        <v>7013.1362702967108</v>
      </c>
      <c r="Q23" s="64"/>
      <c r="R23" s="33">
        <v>5220.3390600192506</v>
      </c>
      <c r="S23" s="33">
        <v>6855.7417748542512</v>
      </c>
      <c r="T23" s="64"/>
      <c r="U23" s="33">
        <f t="shared" si="3"/>
        <v>6919.4296717757989</v>
      </c>
      <c r="V23" s="65">
        <f>VLOOKUP(B23,'WI_IME Rate Modifier'!$A$7:$J$35,10,FALSE)</f>
        <v>1.2993487818720093</v>
      </c>
      <c r="W23" s="33">
        <f t="shared" si="9"/>
        <v>8990.7525152709222</v>
      </c>
      <c r="X23" s="64"/>
      <c r="Y23" s="33">
        <f t="shared" si="4"/>
        <v>6966.2829710362557</v>
      </c>
      <c r="Z23" s="65">
        <v>1.3132751907553242</v>
      </c>
      <c r="AA23" s="33">
        <f t="shared" si="10"/>
        <v>9148.6465976432046</v>
      </c>
      <c r="AB23" s="64"/>
      <c r="AC23" s="66">
        <f t="shared" si="11"/>
        <v>7013.1362702967108</v>
      </c>
      <c r="AD23" s="71">
        <v>1.3132751907553242</v>
      </c>
      <c r="AE23" s="33">
        <f t="shared" si="12"/>
        <v>9210.1778731669947</v>
      </c>
      <c r="AF23" s="64"/>
      <c r="AG23" s="67">
        <v>16562962.06085982</v>
      </c>
      <c r="AH23" s="67">
        <f t="shared" si="5"/>
        <v>21720989.164907411</v>
      </c>
      <c r="AI23" s="67">
        <f t="shared" si="6"/>
        <v>22102449.520599116</v>
      </c>
      <c r="AJ23" s="67">
        <f t="shared" si="7"/>
        <v>22251104.504337694</v>
      </c>
      <c r="AK23" s="64"/>
      <c r="AL23" s="67">
        <f t="shared" si="13"/>
        <v>112916.81256253459</v>
      </c>
      <c r="AM23" s="69">
        <f t="shared" si="14"/>
        <v>5158027.1040475909</v>
      </c>
      <c r="AN23" s="69">
        <f t="shared" si="14"/>
        <v>381460.3556917049</v>
      </c>
      <c r="AO23" s="131">
        <f t="shared" si="15"/>
        <v>5158027.1040475909</v>
      </c>
      <c r="AP23" s="131">
        <f t="shared" si="16"/>
        <v>2149177.9600198297</v>
      </c>
    </row>
    <row r="24" spans="1:42">
      <c r="A24" s="6" t="s">
        <v>15</v>
      </c>
      <c r="B24" s="36" t="s">
        <v>158</v>
      </c>
      <c r="C24" s="2" t="s">
        <v>41</v>
      </c>
      <c r="D24" s="2" t="s">
        <v>159</v>
      </c>
      <c r="E24" s="58">
        <v>1958</v>
      </c>
      <c r="F24" s="70">
        <v>0.6734</v>
      </c>
      <c r="G24" s="60"/>
      <c r="H24" s="61">
        <v>6715.5175378603353</v>
      </c>
      <c r="I24" s="62">
        <v>8854525.380570503</v>
      </c>
      <c r="J24" s="61">
        <f t="shared" si="0"/>
        <v>8840.9788385931315</v>
      </c>
      <c r="K24" s="62">
        <f t="shared" si="1"/>
        <v>11656982.663521068</v>
      </c>
      <c r="L24" s="64"/>
      <c r="M24" s="13">
        <v>1.1539552</v>
      </c>
      <c r="N24" s="61">
        <f t="shared" si="8"/>
        <v>7661.4576012943417</v>
      </c>
      <c r="O24" s="64"/>
      <c r="P24" s="61">
        <f t="shared" si="2"/>
        <v>7013.1362702967108</v>
      </c>
      <c r="Q24" s="64"/>
      <c r="R24" s="33">
        <v>5696.4506407481449</v>
      </c>
      <c r="S24" s="33">
        <v>6573.4488384346532</v>
      </c>
      <c r="T24" s="64"/>
      <c r="U24" s="33">
        <f t="shared" si="3"/>
        <v>7337.2969357955262</v>
      </c>
      <c r="V24" s="65">
        <f>VLOOKUP(B24,'WI_IME Rate Modifier'!$A$7:$J$35,10,FALSE)</f>
        <v>1.1288138000000001</v>
      </c>
      <c r="W24" s="33">
        <f t="shared" si="9"/>
        <v>8282.4420358237039</v>
      </c>
      <c r="X24" s="64"/>
      <c r="Y24" s="33">
        <f t="shared" si="4"/>
        <v>7175.2166030461194</v>
      </c>
      <c r="Z24" s="65">
        <v>1.1539552</v>
      </c>
      <c r="AA24" s="33">
        <f t="shared" si="10"/>
        <v>8279.8785102114052</v>
      </c>
      <c r="AB24" s="64"/>
      <c r="AC24" s="66">
        <f t="shared" si="11"/>
        <v>7013.1362702967108</v>
      </c>
      <c r="AD24" s="71">
        <v>1.1539552</v>
      </c>
      <c r="AE24" s="33">
        <f t="shared" si="12"/>
        <v>8092.8450674174946</v>
      </c>
      <c r="AF24" s="64"/>
      <c r="AG24" s="67">
        <v>8667205.3567961119</v>
      </c>
      <c r="AH24" s="67">
        <f t="shared" si="5"/>
        <v>10920542.282236569</v>
      </c>
      <c r="AI24" s="67">
        <f t="shared" si="6"/>
        <v>10917162.229624113</v>
      </c>
      <c r="AJ24" s="67">
        <f t="shared" si="7"/>
        <v>10670555.418325126</v>
      </c>
      <c r="AK24" s="64"/>
      <c r="AL24" s="67">
        <f t="shared" si="13"/>
        <v>-187320.02377439104</v>
      </c>
      <c r="AM24" s="69">
        <f t="shared" si="14"/>
        <v>2253336.9254404567</v>
      </c>
      <c r="AN24" s="69">
        <f t="shared" si="14"/>
        <v>-3380.0526124555618</v>
      </c>
      <c r="AO24" s="131">
        <f t="shared" si="15"/>
        <v>2253336.9254404567</v>
      </c>
      <c r="AP24" s="131">
        <f t="shared" si="16"/>
        <v>938890.38560019038</v>
      </c>
    </row>
    <row r="25" spans="1:42">
      <c r="A25" s="6" t="s">
        <v>7</v>
      </c>
      <c r="B25" s="36" t="s">
        <v>160</v>
      </c>
      <c r="C25" s="2" t="s">
        <v>33</v>
      </c>
      <c r="D25" s="2" t="s">
        <v>161</v>
      </c>
      <c r="E25" s="58">
        <v>393</v>
      </c>
      <c r="F25" s="70">
        <v>0.75139999999999996</v>
      </c>
      <c r="G25" s="60"/>
      <c r="H25" s="61">
        <v>9070.3780631191239</v>
      </c>
      <c r="I25" s="62">
        <v>2678484.4561146894</v>
      </c>
      <c r="J25" s="61">
        <f t="shared" si="0"/>
        <v>11941.152720096326</v>
      </c>
      <c r="K25" s="62">
        <f t="shared" si="1"/>
        <v>3526224.7864749888</v>
      </c>
      <c r="L25" s="64"/>
      <c r="M25" s="13">
        <v>1.3066858014155609</v>
      </c>
      <c r="N25" s="61">
        <f t="shared" si="8"/>
        <v>9138.5034620872266</v>
      </c>
      <c r="O25" s="64"/>
      <c r="P25" s="61">
        <f t="shared" si="2"/>
        <v>7013.1362702967108</v>
      </c>
      <c r="Q25" s="64"/>
      <c r="R25" s="33">
        <v>6537.9123920543852</v>
      </c>
      <c r="S25" s="33">
        <v>8542.9972935963106</v>
      </c>
      <c r="T25" s="64"/>
      <c r="U25" s="33">
        <f t="shared" si="3"/>
        <v>8075.8198661919687</v>
      </c>
      <c r="V25" s="65">
        <f>VLOOKUP(B25,'WI_IME Rate Modifier'!$A$7:$J$35,10,FALSE)</f>
        <v>1.2785803428923477</v>
      </c>
      <c r="W25" s="33">
        <f t="shared" si="9"/>
        <v>10325.58453365256</v>
      </c>
      <c r="X25" s="64"/>
      <c r="Y25" s="33">
        <f t="shared" si="4"/>
        <v>7544.4780682443397</v>
      </c>
      <c r="Z25" s="65">
        <v>1.3066858014155609</v>
      </c>
      <c r="AA25" s="33">
        <f t="shared" si="10"/>
        <v>9858.2623708659776</v>
      </c>
      <c r="AB25" s="64"/>
      <c r="AC25" s="66">
        <f t="shared" si="11"/>
        <v>7013.1362702967108</v>
      </c>
      <c r="AD25" s="71">
        <v>1.3066858014155609</v>
      </c>
      <c r="AE25" s="33">
        <f t="shared" si="12"/>
        <v>9163.9655877891946</v>
      </c>
      <c r="AF25" s="64"/>
      <c r="AG25" s="67">
        <v>2522748.809398449</v>
      </c>
      <c r="AH25" s="67">
        <f t="shared" si="5"/>
        <v>3049147.1779045076</v>
      </c>
      <c r="AI25" s="67">
        <f t="shared" si="6"/>
        <v>2911146.8497691974</v>
      </c>
      <c r="AJ25" s="67">
        <f t="shared" si="7"/>
        <v>2706120.8708672663</v>
      </c>
      <c r="AK25" s="64"/>
      <c r="AL25" s="67">
        <f t="shared" si="13"/>
        <v>-155735.64671624033</v>
      </c>
      <c r="AM25" s="69">
        <f t="shared" si="14"/>
        <v>526398.36850605858</v>
      </c>
      <c r="AN25" s="69">
        <f t="shared" si="14"/>
        <v>-138000.32813531021</v>
      </c>
      <c r="AO25" s="131">
        <f t="shared" si="15"/>
        <v>526398.36850605858</v>
      </c>
      <c r="AP25" s="131">
        <f t="shared" si="16"/>
        <v>219332.6535441911</v>
      </c>
    </row>
    <row r="26" spans="1:42">
      <c r="A26" s="6" t="s">
        <v>17</v>
      </c>
      <c r="B26" s="72" t="s">
        <v>162</v>
      </c>
      <c r="C26" s="4" t="s">
        <v>42</v>
      </c>
      <c r="D26" s="4" t="s">
        <v>163</v>
      </c>
      <c r="E26" s="73">
        <v>292</v>
      </c>
      <c r="F26" s="74">
        <v>0.77110000000000001</v>
      </c>
      <c r="G26" s="60"/>
      <c r="H26" s="75">
        <v>5128.3991174885405</v>
      </c>
      <c r="I26" s="76">
        <v>1154716.4993726609</v>
      </c>
      <c r="J26" s="75">
        <f t="shared" si="0"/>
        <v>6751.5374381736638</v>
      </c>
      <c r="K26" s="76">
        <f t="shared" si="1"/>
        <v>1520184.271424108</v>
      </c>
      <c r="L26" s="64"/>
      <c r="M26" s="77">
        <v>1.1539552</v>
      </c>
      <c r="N26" s="75">
        <f t="shared" si="8"/>
        <v>5850.7795087484019</v>
      </c>
      <c r="O26" s="64"/>
      <c r="P26" s="75">
        <f t="shared" si="2"/>
        <v>7013.1362702967108</v>
      </c>
      <c r="Q26" s="64"/>
      <c r="R26" s="78">
        <v>4664.9211539198468</v>
      </c>
      <c r="S26" s="78">
        <v>5383.1100231558075</v>
      </c>
      <c r="T26" s="64"/>
      <c r="U26" s="78">
        <f t="shared" si="3"/>
        <v>6431.9578895225568</v>
      </c>
      <c r="V26" s="79">
        <f>VLOOKUP(B26,'WI_IME Rate Modifier'!$A$7:$J$35,10,FALSE)</f>
        <v>1.1288138000000001</v>
      </c>
      <c r="W26" s="78">
        <f t="shared" si="9"/>
        <v>7260.4828267119383</v>
      </c>
      <c r="X26" s="64"/>
      <c r="Y26" s="78">
        <f t="shared" si="4"/>
        <v>6722.5470799096338</v>
      </c>
      <c r="Z26" s="79">
        <v>1.1539552</v>
      </c>
      <c r="AA26" s="78">
        <f t="shared" si="10"/>
        <v>7757.5181601065369</v>
      </c>
      <c r="AB26" s="64"/>
      <c r="AC26" s="78">
        <f t="shared" si="11"/>
        <v>7013.1362702967108</v>
      </c>
      <c r="AD26" s="79">
        <v>1.1539552</v>
      </c>
      <c r="AE26" s="78">
        <f t="shared" si="12"/>
        <v>8092.8450674174946</v>
      </c>
      <c r="AF26" s="64"/>
      <c r="AG26" s="80">
        <v>1212067.5125457894</v>
      </c>
      <c r="AH26" s="80">
        <f t="shared" si="5"/>
        <v>1634779.0258418522</v>
      </c>
      <c r="AI26" s="80">
        <f t="shared" si="6"/>
        <v>1746692.0979513798</v>
      </c>
      <c r="AJ26" s="81">
        <f t="shared" si="7"/>
        <v>1822194.706793804</v>
      </c>
      <c r="AK26" s="64"/>
      <c r="AL26" s="80">
        <f t="shared" si="13"/>
        <v>57351.013173128478</v>
      </c>
      <c r="AM26" s="82">
        <f t="shared" si="14"/>
        <v>422711.51329606283</v>
      </c>
      <c r="AN26" s="82">
        <f t="shared" si="14"/>
        <v>111913.07210952765</v>
      </c>
      <c r="AO26" s="227">
        <f t="shared" si="15"/>
        <v>422711.51329606283</v>
      </c>
      <c r="AP26" s="227">
        <f t="shared" si="16"/>
        <v>176129.79720669286</v>
      </c>
    </row>
    <row r="27" spans="1:42">
      <c r="A27" s="6" t="s">
        <v>16</v>
      </c>
      <c r="B27" s="36" t="s">
        <v>164</v>
      </c>
      <c r="C27" s="2" t="s">
        <v>40</v>
      </c>
      <c r="D27" s="2" t="s">
        <v>165</v>
      </c>
      <c r="E27" s="58">
        <v>1817</v>
      </c>
      <c r="F27" s="70">
        <v>0.72570000000000001</v>
      </c>
      <c r="G27" s="60"/>
      <c r="H27" s="61">
        <v>7055.895720380865</v>
      </c>
      <c r="I27" s="62">
        <v>9303882.2236174755</v>
      </c>
      <c r="J27" s="61">
        <f t="shared" si="0"/>
        <v>9289.086715881409</v>
      </c>
      <c r="K27" s="62">
        <f t="shared" si="1"/>
        <v>12248560.947392406</v>
      </c>
      <c r="L27" s="64"/>
      <c r="M27" s="13">
        <v>1.1811886092899413</v>
      </c>
      <c r="N27" s="61">
        <f t="shared" si="8"/>
        <v>7864.1858233508046</v>
      </c>
      <c r="O27" s="64"/>
      <c r="P27" s="61">
        <f t="shared" si="2"/>
        <v>7013.1362702967108</v>
      </c>
      <c r="Q27" s="64"/>
      <c r="R27" s="33">
        <v>5811.9433612512576</v>
      </c>
      <c r="S27" s="33">
        <v>6865.0012961482798</v>
      </c>
      <c r="T27" s="64"/>
      <c r="U27" s="33">
        <f t="shared" si="3"/>
        <v>7438.6610468237577</v>
      </c>
      <c r="V27" s="65">
        <f>VLOOKUP(B27,'WI_IME Rate Modifier'!$A$7:$J$35,10,FALSE)</f>
        <v>1.1716537412149881</v>
      </c>
      <c r="W27" s="33">
        <f t="shared" si="9"/>
        <v>8715.535045141256</v>
      </c>
      <c r="X27" s="64"/>
      <c r="Y27" s="33">
        <f t="shared" si="4"/>
        <v>7225.8986585602343</v>
      </c>
      <c r="Z27" s="65">
        <v>1.1811886092899413</v>
      </c>
      <c r="AA27" s="33">
        <f t="shared" si="10"/>
        <v>8535.1491873748146</v>
      </c>
      <c r="AB27" s="64"/>
      <c r="AC27" s="83">
        <f t="shared" si="11"/>
        <v>7013.1362702967108</v>
      </c>
      <c r="AD27" s="71">
        <v>1.1811886092899413</v>
      </c>
      <c r="AE27" s="33">
        <f t="shared" si="12"/>
        <v>8283.8366778726177</v>
      </c>
      <c r="AF27" s="64"/>
      <c r="AG27" s="67">
        <v>9052169.4275971036</v>
      </c>
      <c r="AH27" s="67">
        <f t="shared" si="5"/>
        <v>11492277.492364621</v>
      </c>
      <c r="AI27" s="67">
        <f t="shared" si="6"/>
        <v>11254421.259509949</v>
      </c>
      <c r="AJ27" s="67">
        <f t="shared" si="7"/>
        <v>10923041.363549132</v>
      </c>
      <c r="AK27" s="64"/>
      <c r="AL27" s="67">
        <f t="shared" si="13"/>
        <v>-251712.79602037184</v>
      </c>
      <c r="AM27" s="69">
        <f t="shared" si="14"/>
        <v>2440108.0647675171</v>
      </c>
      <c r="AN27" s="69">
        <f t="shared" si="14"/>
        <v>-237856.23285467178</v>
      </c>
      <c r="AO27" s="131">
        <f t="shared" si="15"/>
        <v>2440108.0647675171</v>
      </c>
      <c r="AP27" s="131">
        <f t="shared" si="16"/>
        <v>1016711.6936531321</v>
      </c>
    </row>
    <row r="28" spans="1:42">
      <c r="A28" s="7" t="s">
        <v>26</v>
      </c>
      <c r="B28" s="36" t="s">
        <v>166</v>
      </c>
      <c r="C28" s="2" t="s">
        <v>49</v>
      </c>
      <c r="D28" s="2" t="s">
        <v>167</v>
      </c>
      <c r="E28" s="58">
        <v>430</v>
      </c>
      <c r="F28" s="70">
        <v>0.78039999999999998</v>
      </c>
      <c r="G28" s="60"/>
      <c r="H28" s="61">
        <v>7170.7792779453976</v>
      </c>
      <c r="I28" s="62">
        <v>2406312.7438586932</v>
      </c>
      <c r="J28" s="61">
        <f t="shared" si="0"/>
        <v>9440.3309194151152</v>
      </c>
      <c r="K28" s="62">
        <f t="shared" si="1"/>
        <v>3167910.7272899691</v>
      </c>
      <c r="L28" s="64"/>
      <c r="M28" s="13">
        <v>1.1182504</v>
      </c>
      <c r="N28" s="61">
        <f t="shared" si="8"/>
        <v>8442.0545876085671</v>
      </c>
      <c r="O28" s="64"/>
      <c r="P28" s="61">
        <f t="shared" si="2"/>
        <v>7013.1362702967108</v>
      </c>
      <c r="Q28" s="64"/>
      <c r="R28" s="33">
        <v>6141.1507848694291</v>
      </c>
      <c r="S28" s="33">
        <v>6867.3443216405531</v>
      </c>
      <c r="T28" s="64"/>
      <c r="U28" s="33">
        <f t="shared" si="3"/>
        <v>7727.5954289526389</v>
      </c>
      <c r="V28" s="65">
        <f>VLOOKUP(B28,'WI_IME Rate Modifier'!$A$7:$J$35,10,FALSE)</f>
        <v>1.1262866999999999</v>
      </c>
      <c r="W28" s="33">
        <f t="shared" si="9"/>
        <v>8703.4879546101511</v>
      </c>
      <c r="X28" s="64"/>
      <c r="Y28" s="33">
        <f t="shared" si="4"/>
        <v>7370.3658496246753</v>
      </c>
      <c r="Z28" s="65">
        <v>1.1182504</v>
      </c>
      <c r="AA28" s="33">
        <f t="shared" si="10"/>
        <v>8241.9145594891324</v>
      </c>
      <c r="AB28" s="64"/>
      <c r="AC28" s="66">
        <f t="shared" si="11"/>
        <v>7013.1362702967108</v>
      </c>
      <c r="AD28" s="71">
        <v>1.1182504</v>
      </c>
      <c r="AE28" s="33">
        <f t="shared" si="12"/>
        <v>7842.4424395138049</v>
      </c>
      <c r="AF28" s="64"/>
      <c r="AG28" s="67">
        <v>2304488.4687015633</v>
      </c>
      <c r="AH28" s="67">
        <f t="shared" si="5"/>
        <v>2920646.8599044373</v>
      </c>
      <c r="AI28" s="67">
        <f t="shared" si="6"/>
        <v>2765755.752556887</v>
      </c>
      <c r="AJ28" s="67">
        <f t="shared" si="7"/>
        <v>2631704.0943125268</v>
      </c>
      <c r="AK28" s="64"/>
      <c r="AL28" s="67">
        <f t="shared" si="13"/>
        <v>-101824.27515712986</v>
      </c>
      <c r="AM28" s="69">
        <f t="shared" si="14"/>
        <v>616158.39120287402</v>
      </c>
      <c r="AN28" s="69">
        <f t="shared" si="14"/>
        <v>-154891.10734755034</v>
      </c>
      <c r="AO28" s="131">
        <f t="shared" si="15"/>
        <v>616158.39120287402</v>
      </c>
      <c r="AP28" s="131">
        <f t="shared" si="16"/>
        <v>256732.66300119751</v>
      </c>
    </row>
    <row r="29" spans="1:42">
      <c r="A29" s="4" t="s">
        <v>27</v>
      </c>
      <c r="B29" s="36" t="s">
        <v>168</v>
      </c>
      <c r="C29" s="2" t="s">
        <v>50</v>
      </c>
      <c r="D29" s="2" t="s">
        <v>169</v>
      </c>
      <c r="E29" s="58">
        <v>18135</v>
      </c>
      <c r="F29" s="70">
        <v>1.0448</v>
      </c>
      <c r="G29" s="60"/>
      <c r="H29" s="61">
        <v>6883.1283586746367</v>
      </c>
      <c r="I29" s="62">
        <v>130417716.65331303</v>
      </c>
      <c r="J29" s="61">
        <f t="shared" si="0"/>
        <v>9061.6384841951585</v>
      </c>
      <c r="K29" s="62">
        <f t="shared" si="1"/>
        <v>171694923.97408658</v>
      </c>
      <c r="L29" s="64"/>
      <c r="M29" s="13">
        <v>1.475201477809533</v>
      </c>
      <c r="N29" s="61">
        <f t="shared" si="8"/>
        <v>6142.6446627822115</v>
      </c>
      <c r="O29" s="64"/>
      <c r="P29" s="61">
        <f t="shared" si="2"/>
        <v>7013.1362702967108</v>
      </c>
      <c r="Q29" s="64"/>
      <c r="R29" s="33">
        <v>4831.1945041100162</v>
      </c>
      <c r="S29" s="33">
        <v>7126.9852720483896</v>
      </c>
      <c r="T29" s="64"/>
      <c r="U29" s="33">
        <f t="shared" si="3"/>
        <v>6577.8904665394612</v>
      </c>
      <c r="V29" s="65">
        <f>VLOOKUP(B29,'WI_IME Rate Modifier'!$A$7:$J$35,10,FALSE)</f>
        <v>1.424904000513511</v>
      </c>
      <c r="W29" s="33">
        <f t="shared" si="9"/>
        <v>9372.8624407117641</v>
      </c>
      <c r="X29" s="64"/>
      <c r="Y29" s="33">
        <f t="shared" si="4"/>
        <v>6795.5133684180864</v>
      </c>
      <c r="Z29" s="65">
        <v>1.475201477809533</v>
      </c>
      <c r="AA29" s="33">
        <f t="shared" si="10"/>
        <v>10024.751363564799</v>
      </c>
      <c r="AB29" s="64"/>
      <c r="AC29" s="66">
        <f t="shared" si="11"/>
        <v>7013.1362702967108</v>
      </c>
      <c r="AD29" s="71">
        <v>1.475201477809533</v>
      </c>
      <c r="AE29" s="33">
        <f t="shared" si="12"/>
        <v>10345.788990021345</v>
      </c>
      <c r="AF29" s="64"/>
      <c r="AG29" s="67">
        <v>135038182.83890271</v>
      </c>
      <c r="AH29" s="67">
        <f t="shared" si="5"/>
        <v>177591823.70653924</v>
      </c>
      <c r="AI29" s="67">
        <f t="shared" si="6"/>
        <v>189943455.17407313</v>
      </c>
      <c r="AJ29" s="67">
        <f t="shared" si="7"/>
        <v>196026298.90740195</v>
      </c>
      <c r="AK29" s="64"/>
      <c r="AL29" s="67">
        <f t="shared" si="13"/>
        <v>4620466.185589686</v>
      </c>
      <c r="AM29" s="69">
        <f t="shared" si="14"/>
        <v>42553640.867636532</v>
      </c>
      <c r="AN29" s="69">
        <f t="shared" si="14"/>
        <v>12351631.467533886</v>
      </c>
      <c r="AO29" s="131">
        <f t="shared" si="15"/>
        <v>42553640.867636532</v>
      </c>
      <c r="AP29" s="131">
        <f t="shared" si="16"/>
        <v>17730683.694848556</v>
      </c>
    </row>
    <row r="30" spans="1:42">
      <c r="A30" s="7" t="s">
        <v>2</v>
      </c>
      <c r="B30" s="36" t="s">
        <v>170</v>
      </c>
      <c r="C30" s="2" t="s">
        <v>28</v>
      </c>
      <c r="D30" s="2" t="s">
        <v>171</v>
      </c>
      <c r="E30" s="58">
        <v>2228</v>
      </c>
      <c r="F30" s="70">
        <v>0.76559999999999995</v>
      </c>
      <c r="G30" s="60"/>
      <c r="H30" s="61">
        <v>5906.0659254536404</v>
      </c>
      <c r="I30" s="62">
        <v>10074312.11359084</v>
      </c>
      <c r="J30" s="61">
        <f t="shared" si="0"/>
        <v>7775.3357908597172</v>
      </c>
      <c r="K30" s="62">
        <f t="shared" si="1"/>
        <v>13262831.897542339</v>
      </c>
      <c r="L30" s="64"/>
      <c r="M30" s="13">
        <v>1.1187375999999998</v>
      </c>
      <c r="N30" s="61">
        <f t="shared" si="8"/>
        <v>6950.0978521323668</v>
      </c>
      <c r="O30" s="64"/>
      <c r="P30" s="61">
        <f t="shared" si="2"/>
        <v>7013.1362702967108</v>
      </c>
      <c r="Q30" s="64"/>
      <c r="R30" s="33">
        <v>5291.1944220838977</v>
      </c>
      <c r="S30" s="33">
        <v>5919.4581488955255</v>
      </c>
      <c r="T30" s="64"/>
      <c r="U30" s="33">
        <f t="shared" si="3"/>
        <v>6981.6170612145388</v>
      </c>
      <c r="V30" s="65">
        <f>VLOOKUP(B30,'WI_IME Rate Modifier'!$A$7:$J$35,10,FALSE)</f>
        <v>1.1444544999999997</v>
      </c>
      <c r="W30" s="33">
        <f t="shared" si="9"/>
        <v>7990.1430629837523</v>
      </c>
      <c r="X30" s="64"/>
      <c r="Y30" s="33">
        <f t="shared" si="4"/>
        <v>6997.3766657556253</v>
      </c>
      <c r="Z30" s="65">
        <v>1.1187375999999998</v>
      </c>
      <c r="AA30" s="33">
        <f t="shared" si="10"/>
        <v>7828.2283773434492</v>
      </c>
      <c r="AB30" s="64"/>
      <c r="AC30" s="66">
        <f t="shared" si="11"/>
        <v>7013.1362702967108</v>
      </c>
      <c r="AD30" s="71">
        <v>1.1187375999999998</v>
      </c>
      <c r="AE30" s="33">
        <f t="shared" si="12"/>
        <v>7845.8592395046917</v>
      </c>
      <c r="AF30" s="64"/>
      <c r="AG30" s="67">
        <v>10097155.989793954</v>
      </c>
      <c r="AH30" s="67">
        <f t="shared" si="5"/>
        <v>13629240.862657361</v>
      </c>
      <c r="AI30" s="67">
        <f t="shared" si="6"/>
        <v>13353053.786606552</v>
      </c>
      <c r="AJ30" s="67">
        <f t="shared" si="7"/>
        <v>13383127.749627955</v>
      </c>
      <c r="AK30" s="64"/>
      <c r="AL30" s="67">
        <f t="shared" si="13"/>
        <v>22843.876203114167</v>
      </c>
      <c r="AM30" s="69">
        <f t="shared" si="14"/>
        <v>3532084.8728634063</v>
      </c>
      <c r="AN30" s="69">
        <f t="shared" si="14"/>
        <v>-276187.07605080865</v>
      </c>
      <c r="AO30" s="131">
        <f t="shared" si="15"/>
        <v>3532084.8728634063</v>
      </c>
      <c r="AP30" s="131">
        <f t="shared" si="16"/>
        <v>1471702.0303597525</v>
      </c>
    </row>
    <row r="31" spans="1:42">
      <c r="A31" s="6" t="s">
        <v>9</v>
      </c>
      <c r="B31" s="72" t="s">
        <v>172</v>
      </c>
      <c r="C31" s="4" t="s">
        <v>35</v>
      </c>
      <c r="D31" s="4" t="s">
        <v>173</v>
      </c>
      <c r="E31" s="73">
        <v>7216</v>
      </c>
      <c r="F31" s="74">
        <v>1.0328999999999999</v>
      </c>
      <c r="G31" s="60"/>
      <c r="H31" s="75">
        <v>6567.6715249900435</v>
      </c>
      <c r="I31" s="76">
        <v>48951524.977458552</v>
      </c>
      <c r="J31" s="75">
        <f t="shared" si="0"/>
        <v>8646.339562649393</v>
      </c>
      <c r="K31" s="76">
        <f t="shared" si="1"/>
        <v>64444682.632824183</v>
      </c>
      <c r="L31" s="64"/>
      <c r="M31" s="77">
        <v>1.3035294848547438</v>
      </c>
      <c r="N31" s="75">
        <f t="shared" si="8"/>
        <v>6633.0218557448898</v>
      </c>
      <c r="O31" s="64"/>
      <c r="P31" s="75">
        <f t="shared" si="2"/>
        <v>7013.1362702967108</v>
      </c>
      <c r="Q31" s="64"/>
      <c r="R31" s="78">
        <v>5110.5586474613319</v>
      </c>
      <c r="S31" s="78">
        <v>6661.7638810452263</v>
      </c>
      <c r="T31" s="64"/>
      <c r="U31" s="78">
        <f t="shared" si="3"/>
        <v>6823.0790630208003</v>
      </c>
      <c r="V31" s="79">
        <f>VLOOKUP(B31,'WI_IME Rate Modifier'!$A$7:$J$35,10,FALSE)</f>
        <v>1.2879538739807495</v>
      </c>
      <c r="W31" s="78">
        <f t="shared" si="9"/>
        <v>8787.811111694582</v>
      </c>
      <c r="X31" s="64"/>
      <c r="Y31" s="78">
        <f t="shared" si="4"/>
        <v>6918.107666658756</v>
      </c>
      <c r="Z31" s="79">
        <v>1.3035294848547438</v>
      </c>
      <c r="AA31" s="78">
        <f t="shared" si="10"/>
        <v>9017.9573228893423</v>
      </c>
      <c r="AB31" s="64"/>
      <c r="AC31" s="78">
        <f t="shared" si="11"/>
        <v>7013.1362702967108</v>
      </c>
      <c r="AD31" s="79">
        <v>1.3035294848547438</v>
      </c>
      <c r="AE31" s="78">
        <f t="shared" si="12"/>
        <v>9141.8299096359915</v>
      </c>
      <c r="AF31" s="64"/>
      <c r="AG31" s="80">
        <v>49652833.546271324</v>
      </c>
      <c r="AH31" s="80">
        <f t="shared" si="5"/>
        <v>65499127.581895508</v>
      </c>
      <c r="AI31" s="80">
        <f t="shared" si="6"/>
        <v>67214500.825350285</v>
      </c>
      <c r="AJ31" s="81">
        <f t="shared" si="7"/>
        <v>68137773.556192324</v>
      </c>
      <c r="AK31" s="64"/>
      <c r="AL31" s="80">
        <f t="shared" si="13"/>
        <v>701308.56881277263</v>
      </c>
      <c r="AM31" s="82">
        <f t="shared" si="14"/>
        <v>15846294.035624184</v>
      </c>
      <c r="AN31" s="82">
        <f t="shared" si="14"/>
        <v>1715373.2434547767</v>
      </c>
      <c r="AO31" s="227">
        <f t="shared" si="15"/>
        <v>15846294.035624184</v>
      </c>
      <c r="AP31" s="227">
        <f t="shared" si="16"/>
        <v>6602622.5148434099</v>
      </c>
    </row>
    <row r="32" spans="1:42">
      <c r="A32" s="6" t="s">
        <v>14</v>
      </c>
      <c r="B32" s="36" t="s">
        <v>174</v>
      </c>
      <c r="C32" s="2" t="s">
        <v>361</v>
      </c>
      <c r="D32" s="2" t="s">
        <v>175</v>
      </c>
      <c r="E32" s="58">
        <v>1498</v>
      </c>
      <c r="F32" s="70">
        <v>0.64900000000000002</v>
      </c>
      <c r="G32" s="60"/>
      <c r="H32" s="61">
        <v>7860.3893197666894</v>
      </c>
      <c r="I32" s="62">
        <v>7641886.2174558146</v>
      </c>
      <c r="J32" s="61">
        <f t="shared" si="0"/>
        <v>10348.202539472846</v>
      </c>
      <c r="K32" s="62">
        <f t="shared" si="1"/>
        <v>10060543.20528058</v>
      </c>
      <c r="L32" s="64"/>
      <c r="M32" s="13">
        <v>1.2000393802775866</v>
      </c>
      <c r="N32" s="61">
        <f t="shared" si="8"/>
        <v>8623.2191289248822</v>
      </c>
      <c r="O32" s="64"/>
      <c r="P32" s="61">
        <f t="shared" si="2"/>
        <v>7013.1362702967108</v>
      </c>
      <c r="Q32" s="64"/>
      <c r="R32" s="33">
        <v>6244.3588410693801</v>
      </c>
      <c r="S32" s="33">
        <v>7493.4765138677676</v>
      </c>
      <c r="T32" s="64"/>
      <c r="U32" s="33">
        <f t="shared" si="3"/>
        <v>7818.1776996107965</v>
      </c>
      <c r="V32" s="65">
        <f>VLOOKUP(B32,'WI_IME Rate Modifier'!$A$7:$J$35,10,FALSE)</f>
        <v>1.1977300164818139</v>
      </c>
      <c r="W32" s="33">
        <f t="shared" si="9"/>
        <v>9364.0661050125891</v>
      </c>
      <c r="X32" s="64"/>
      <c r="Y32" s="33">
        <f t="shared" si="4"/>
        <v>7415.6569849537536</v>
      </c>
      <c r="Z32" s="65">
        <v>1.2000393802775866</v>
      </c>
      <c r="AA32" s="33">
        <f t="shared" si="10"/>
        <v>8899.0804125750583</v>
      </c>
      <c r="AB32" s="64"/>
      <c r="AC32" s="83">
        <f t="shared" si="11"/>
        <v>7013.1362702967108</v>
      </c>
      <c r="AD32" s="71">
        <v>1.2000393802775866</v>
      </c>
      <c r="AE32" s="33">
        <f t="shared" si="12"/>
        <v>8416.0397036091308</v>
      </c>
      <c r="AF32" s="64"/>
      <c r="AG32" s="67">
        <v>7285172.8537352718</v>
      </c>
      <c r="AH32" s="67">
        <f t="shared" si="5"/>
        <v>9103763.7954254504</v>
      </c>
      <c r="AI32" s="67">
        <f t="shared" si="6"/>
        <v>8651703.7752662972</v>
      </c>
      <c r="AJ32" s="67">
        <f t="shared" si="7"/>
        <v>8182090.6319282046</v>
      </c>
      <c r="AK32" s="64"/>
      <c r="AL32" s="67">
        <f t="shared" si="13"/>
        <v>-356713.36372054275</v>
      </c>
      <c r="AM32" s="69">
        <f t="shared" si="14"/>
        <v>1818590.9416901786</v>
      </c>
      <c r="AN32" s="69">
        <f t="shared" si="14"/>
        <v>-452060.02015915327</v>
      </c>
      <c r="AO32" s="131">
        <f t="shared" si="15"/>
        <v>1818590.9416901786</v>
      </c>
      <c r="AP32" s="131">
        <f t="shared" si="16"/>
        <v>757746.22570424108</v>
      </c>
    </row>
    <row r="33" spans="1:42">
      <c r="A33" s="6" t="s">
        <v>22</v>
      </c>
      <c r="B33" s="36" t="s">
        <v>176</v>
      </c>
      <c r="C33" s="2" t="s">
        <v>47</v>
      </c>
      <c r="D33" s="2" t="s">
        <v>177</v>
      </c>
      <c r="E33" s="58">
        <v>2750</v>
      </c>
      <c r="F33" s="70">
        <v>0.8407</v>
      </c>
      <c r="G33" s="60"/>
      <c r="H33" s="61">
        <v>5924.4966272517058</v>
      </c>
      <c r="I33" s="62">
        <v>13696991.864958901</v>
      </c>
      <c r="J33" s="61">
        <f t="shared" si="0"/>
        <v>7799.5998097768706</v>
      </c>
      <c r="K33" s="62">
        <f t="shared" si="1"/>
        <v>18032089.790218394</v>
      </c>
      <c r="L33" s="64"/>
      <c r="M33" s="13">
        <v>1.3162802170226191</v>
      </c>
      <c r="N33" s="61">
        <f t="shared" si="8"/>
        <v>5925.4858569699536</v>
      </c>
      <c r="O33" s="64"/>
      <c r="P33" s="61">
        <f t="shared" si="2"/>
        <v>7013.1362702967108</v>
      </c>
      <c r="Q33" s="64"/>
      <c r="R33" s="33">
        <v>4707.4807902025386</v>
      </c>
      <c r="S33" s="33">
        <v>6196.3638361576077</v>
      </c>
      <c r="T33" s="64"/>
      <c r="U33" s="33">
        <f t="shared" si="3"/>
        <v>6469.3110636333322</v>
      </c>
      <c r="V33" s="65">
        <f>VLOOKUP(B33,'WI_IME Rate Modifier'!$A$7:$J$35,10,FALSE)</f>
        <v>1.3011211696456877</v>
      </c>
      <c r="W33" s="33">
        <f t="shared" si="9"/>
        <v>8417.3575779163893</v>
      </c>
      <c r="X33" s="64"/>
      <c r="Y33" s="33">
        <f t="shared" si="4"/>
        <v>6741.2236669650219</v>
      </c>
      <c r="Z33" s="65">
        <v>1.3162802170226191</v>
      </c>
      <c r="AA33" s="33">
        <f t="shared" si="10"/>
        <v>8873.3393513507344</v>
      </c>
      <c r="AB33" s="64"/>
      <c r="AC33" s="66">
        <f t="shared" si="11"/>
        <v>7013.1362702967108</v>
      </c>
      <c r="AD33" s="71">
        <v>1.3162802170226191</v>
      </c>
      <c r="AE33" s="33">
        <f t="shared" si="12"/>
        <v>9231.252531875356</v>
      </c>
      <c r="AF33" s="64"/>
      <c r="AG33" s="67">
        <v>14325528.461908678</v>
      </c>
      <c r="AH33" s="67">
        <f t="shared" si="5"/>
        <v>19460299.418324348</v>
      </c>
      <c r="AI33" s="67">
        <f t="shared" si="6"/>
        <v>20514495.079871546</v>
      </c>
      <c r="AJ33" s="67">
        <f t="shared" si="7"/>
        <v>21341963.509755936</v>
      </c>
      <c r="AK33" s="64"/>
      <c r="AL33" s="67">
        <f t="shared" si="13"/>
        <v>628536.59694977663</v>
      </c>
      <c r="AM33" s="69">
        <f t="shared" si="14"/>
        <v>5134770.95641567</v>
      </c>
      <c r="AN33" s="69">
        <f t="shared" si="14"/>
        <v>1054195.6615471989</v>
      </c>
      <c r="AO33" s="131">
        <f t="shared" si="15"/>
        <v>5134770.95641567</v>
      </c>
      <c r="AP33" s="131">
        <f t="shared" si="16"/>
        <v>2139487.8985065292</v>
      </c>
    </row>
    <row r="34" spans="1:42">
      <c r="A34" s="7" t="s">
        <v>4</v>
      </c>
      <c r="B34" s="36" t="s">
        <v>178</v>
      </c>
      <c r="C34" s="2" t="s">
        <v>30</v>
      </c>
      <c r="D34" s="2" t="s">
        <v>179</v>
      </c>
      <c r="E34" s="58">
        <v>1157</v>
      </c>
      <c r="F34" s="70">
        <v>0.69730000000000003</v>
      </c>
      <c r="G34" s="60"/>
      <c r="H34" s="61">
        <v>5953.0971421090708</v>
      </c>
      <c r="I34" s="62">
        <v>4802816.4952319022</v>
      </c>
      <c r="J34" s="61">
        <f t="shared" si="0"/>
        <v>7837.2523875865918</v>
      </c>
      <c r="K34" s="62">
        <f t="shared" si="1"/>
        <v>6322907.9159727991</v>
      </c>
      <c r="L34" s="64"/>
      <c r="M34" s="13">
        <v>1.1182504</v>
      </c>
      <c r="N34" s="61">
        <f t="shared" si="8"/>
        <v>7008.4950451049172</v>
      </c>
      <c r="O34" s="64"/>
      <c r="P34" s="61">
        <f t="shared" si="2"/>
        <v>7013.1362702967108</v>
      </c>
      <c r="Q34" s="64"/>
      <c r="R34" s="33">
        <v>5324.4628571233307</v>
      </c>
      <c r="S34" s="33">
        <v>5954.0827197633071</v>
      </c>
      <c r="T34" s="64"/>
      <c r="U34" s="33">
        <f t="shared" si="3"/>
        <v>7010.815657700814</v>
      </c>
      <c r="V34" s="65">
        <f>VLOOKUP(B34,'WI_IME Rate Modifier'!$A$7:$J$35,10,FALSE)</f>
        <v>1.1067529</v>
      </c>
      <c r="W34" s="33">
        <f t="shared" si="9"/>
        <v>7759.2405605257836</v>
      </c>
      <c r="X34" s="64"/>
      <c r="Y34" s="33">
        <f t="shared" si="4"/>
        <v>7011.9759639987624</v>
      </c>
      <c r="Z34" s="65">
        <v>1.1182504</v>
      </c>
      <c r="AA34" s="33">
        <f t="shared" si="10"/>
        <v>7841.1449265320016</v>
      </c>
      <c r="AB34" s="64"/>
      <c r="AC34" s="66">
        <f t="shared" si="11"/>
        <v>7013.1362702967108</v>
      </c>
      <c r="AD34" s="71">
        <v>1.1182504</v>
      </c>
      <c r="AE34" s="33">
        <f t="shared" si="12"/>
        <v>7842.4424395138049</v>
      </c>
      <c r="AF34" s="64"/>
      <c r="AG34" s="67">
        <v>4803611.6357280333</v>
      </c>
      <c r="AH34" s="67">
        <f t="shared" si="5"/>
        <v>6259969.8383828057</v>
      </c>
      <c r="AI34" s="67">
        <f t="shared" si="6"/>
        <v>6326048.323362275</v>
      </c>
      <c r="AJ34" s="67">
        <f t="shared" si="7"/>
        <v>6327095.125825434</v>
      </c>
      <c r="AK34" s="64"/>
      <c r="AL34" s="67">
        <f t="shared" si="13"/>
        <v>795.14049613103271</v>
      </c>
      <c r="AM34" s="69">
        <f t="shared" si="14"/>
        <v>1456358.2026547724</v>
      </c>
      <c r="AN34" s="69">
        <f t="shared" si="14"/>
        <v>66078.484979469329</v>
      </c>
      <c r="AO34" s="131">
        <f t="shared" si="15"/>
        <v>1456358.2026547724</v>
      </c>
      <c r="AP34" s="131">
        <f t="shared" si="16"/>
        <v>606815.91777282185</v>
      </c>
    </row>
    <row r="35" spans="1:42">
      <c r="A35" s="6" t="s">
        <v>8</v>
      </c>
      <c r="B35" s="36" t="s">
        <v>180</v>
      </c>
      <c r="C35" s="2" t="s">
        <v>34</v>
      </c>
      <c r="D35" s="2" t="s">
        <v>181</v>
      </c>
      <c r="E35" s="58">
        <v>1190</v>
      </c>
      <c r="F35" s="70">
        <v>0.60629999999999995</v>
      </c>
      <c r="G35" s="60"/>
      <c r="H35" s="61">
        <v>7667.4118697196564</v>
      </c>
      <c r="I35" s="62">
        <v>5532014.6617671223</v>
      </c>
      <c r="J35" s="61">
        <f t="shared" si="0"/>
        <v>10094.147726485928</v>
      </c>
      <c r="K35" s="62">
        <f t="shared" si="1"/>
        <v>7282897.3022164172</v>
      </c>
      <c r="L35" s="64"/>
      <c r="M35" s="13">
        <v>1.3132323690508387</v>
      </c>
      <c r="N35" s="61">
        <f t="shared" si="8"/>
        <v>7686.4901934922964</v>
      </c>
      <c r="O35" s="64"/>
      <c r="P35" s="61">
        <f t="shared" si="2"/>
        <v>7013.1362702967108</v>
      </c>
      <c r="Q35" s="64"/>
      <c r="R35" s="33">
        <v>5710.7115174275723</v>
      </c>
      <c r="S35" s="33">
        <v>7499.4912149973206</v>
      </c>
      <c r="T35" s="64"/>
      <c r="U35" s="33">
        <f t="shared" si="3"/>
        <v>7349.8132318945036</v>
      </c>
      <c r="V35" s="65">
        <f>VLOOKUP(B35,'WI_IME Rate Modifier'!$A$7:$J$35,10,FALSE)</f>
        <v>1.2705899284536266</v>
      </c>
      <c r="W35" s="33">
        <f t="shared" si="9"/>
        <v>9338.5986684603558</v>
      </c>
      <c r="X35" s="64"/>
      <c r="Y35" s="33">
        <f t="shared" si="4"/>
        <v>7181.4747510956076</v>
      </c>
      <c r="Z35" s="65">
        <v>1.3132323690508387</v>
      </c>
      <c r="AA35" s="33">
        <f t="shared" si="10"/>
        <v>9430.9451006600666</v>
      </c>
      <c r="AB35" s="64"/>
      <c r="AC35" s="66">
        <f t="shared" si="11"/>
        <v>7013.1362702967108</v>
      </c>
      <c r="AD35" s="71">
        <v>1.3132323690508387</v>
      </c>
      <c r="AE35" s="33">
        <f t="shared" si="12"/>
        <v>9209.8775587181135</v>
      </c>
      <c r="AF35" s="64"/>
      <c r="AG35" s="67">
        <v>5410860.4131469214</v>
      </c>
      <c r="AH35" s="67">
        <f t="shared" si="5"/>
        <v>6737770.9234981406</v>
      </c>
      <c r="AI35" s="67">
        <f t="shared" si="6"/>
        <v>6804398.5972909359</v>
      </c>
      <c r="AJ35" s="67">
        <f t="shared" si="7"/>
        <v>6644899.0289824428</v>
      </c>
      <c r="AK35" s="64"/>
      <c r="AL35" s="67">
        <f t="shared" si="13"/>
        <v>-121154.2486202009</v>
      </c>
      <c r="AM35" s="69">
        <f t="shared" si="14"/>
        <v>1326910.5103512192</v>
      </c>
      <c r="AN35" s="69">
        <f t="shared" si="14"/>
        <v>66627.673792795278</v>
      </c>
      <c r="AO35" s="131">
        <f t="shared" si="15"/>
        <v>1326910.5103512192</v>
      </c>
      <c r="AP35" s="131">
        <f t="shared" si="16"/>
        <v>552879.37931300804</v>
      </c>
    </row>
    <row r="36" spans="1:42">
      <c r="A36" s="5" t="s">
        <v>5</v>
      </c>
      <c r="B36" s="72" t="s">
        <v>182</v>
      </c>
      <c r="C36" s="4" t="s">
        <v>31</v>
      </c>
      <c r="D36" s="4" t="s">
        <v>183</v>
      </c>
      <c r="E36" s="73">
        <v>3081</v>
      </c>
      <c r="F36" s="74">
        <v>0.69269999999999998</v>
      </c>
      <c r="G36" s="60"/>
      <c r="H36" s="75">
        <v>8529.1280337443641</v>
      </c>
      <c r="I36" s="76">
        <v>18202939.253031116</v>
      </c>
      <c r="J36" s="75">
        <f t="shared" si="0"/>
        <v>11228.597056424456</v>
      </c>
      <c r="K36" s="76">
        <f t="shared" si="1"/>
        <v>23964169.526615467</v>
      </c>
      <c r="L36" s="64"/>
      <c r="M36" s="77">
        <v>1.3784983423153099</v>
      </c>
      <c r="N36" s="75">
        <f t="shared" si="8"/>
        <v>8145.5281531677683</v>
      </c>
      <c r="O36" s="64"/>
      <c r="P36" s="75">
        <f t="shared" si="2"/>
        <v>7013.1362702967108</v>
      </c>
      <c r="Q36" s="64"/>
      <c r="R36" s="78">
        <v>5972.2219388150415</v>
      </c>
      <c r="S36" s="78">
        <v>8232.6980425956608</v>
      </c>
      <c r="T36" s="64"/>
      <c r="U36" s="78">
        <f t="shared" si="3"/>
        <v>7579.3322117322396</v>
      </c>
      <c r="V36" s="79">
        <f>VLOOKUP(B36,'WI_IME Rate Modifier'!$A$7:$J$35,10,FALSE)</f>
        <v>1.3540629229107761</v>
      </c>
      <c r="W36" s="78">
        <f t="shared" si="9"/>
        <v>10262.892728329954</v>
      </c>
      <c r="X36" s="64"/>
      <c r="Y36" s="78">
        <f t="shared" si="4"/>
        <v>7296.2342410144756</v>
      </c>
      <c r="Z36" s="79">
        <v>1.3784983423153099</v>
      </c>
      <c r="AA36" s="78">
        <f t="shared" si="10"/>
        <v>10057.846806382659</v>
      </c>
      <c r="AB36" s="64"/>
      <c r="AC36" s="78">
        <f t="shared" si="11"/>
        <v>7013.1362702967108</v>
      </c>
      <c r="AD36" s="79">
        <v>1.3784983423153099</v>
      </c>
      <c r="AE36" s="78">
        <f t="shared" si="12"/>
        <v>9667.5967230353908</v>
      </c>
      <c r="AF36" s="64"/>
      <c r="AG36" s="80">
        <v>17570295.786980629</v>
      </c>
      <c r="AH36" s="80">
        <f t="shared" si="5"/>
        <v>21903154.947968528</v>
      </c>
      <c r="AI36" s="80">
        <f t="shared" si="6"/>
        <v>21465544.157449085</v>
      </c>
      <c r="AJ36" s="81">
        <f t="shared" si="7"/>
        <v>20632669.034393623</v>
      </c>
      <c r="AK36" s="64"/>
      <c r="AL36" s="80">
        <f t="shared" si="13"/>
        <v>-632643.46605048701</v>
      </c>
      <c r="AM36" s="82">
        <f t="shared" si="14"/>
        <v>4332859.1609878987</v>
      </c>
      <c r="AN36" s="82">
        <f t="shared" si="14"/>
        <v>-437610.79051944241</v>
      </c>
      <c r="AO36" s="227">
        <f t="shared" si="15"/>
        <v>4332859.1609878987</v>
      </c>
      <c r="AP36" s="227">
        <f t="shared" si="16"/>
        <v>1805357.9837449579</v>
      </c>
    </row>
    <row r="37" spans="1:42">
      <c r="A37" s="6" t="s">
        <v>18</v>
      </c>
      <c r="B37" s="36" t="s">
        <v>184</v>
      </c>
      <c r="C37" s="2" t="s">
        <v>43</v>
      </c>
      <c r="D37" s="2" t="s">
        <v>185</v>
      </c>
      <c r="E37" s="58">
        <v>2227</v>
      </c>
      <c r="F37" s="70">
        <v>0.63949999999999996</v>
      </c>
      <c r="G37" s="60"/>
      <c r="H37" s="61">
        <v>10170.913592149825</v>
      </c>
      <c r="I37" s="62">
        <v>14485074.412334442</v>
      </c>
      <c r="J37" s="61">
        <f t="shared" si="0"/>
        <v>13390.007744065246</v>
      </c>
      <c r="K37" s="62">
        <f t="shared" si="1"/>
        <v>19069600.463838294</v>
      </c>
      <c r="L37" s="64"/>
      <c r="M37" s="13">
        <v>1.3568324506522391</v>
      </c>
      <c r="N37" s="61">
        <f t="shared" si="8"/>
        <v>9868.5786425793194</v>
      </c>
      <c r="O37" s="64"/>
      <c r="P37" s="61">
        <f t="shared" si="2"/>
        <v>7013.1362702967108</v>
      </c>
      <c r="Q37" s="64"/>
      <c r="R37" s="33">
        <v>6953.8306490760851</v>
      </c>
      <c r="S37" s="33">
        <v>9435.1830810065549</v>
      </c>
      <c r="T37" s="64"/>
      <c r="U37" s="33">
        <f t="shared" si="3"/>
        <v>8440.8574564380142</v>
      </c>
      <c r="V37" s="65">
        <f>VLOOKUP(B37,'WI_IME Rate Modifier'!$A$7:$J$35,10,FALSE)</f>
        <v>1.3263047569978421</v>
      </c>
      <c r="W37" s="33">
        <f t="shared" si="9"/>
        <v>11195.149397614445</v>
      </c>
      <c r="X37" s="64"/>
      <c r="Y37" s="33">
        <f t="shared" si="4"/>
        <v>7726.9968633673634</v>
      </c>
      <c r="Z37" s="65">
        <v>1.3568324506522391</v>
      </c>
      <c r="AA37" s="33">
        <f t="shared" si="10"/>
        <v>10484.240090304904</v>
      </c>
      <c r="AB37" s="64"/>
      <c r="AC37" s="83">
        <f t="shared" si="11"/>
        <v>7013.1362702967108</v>
      </c>
      <c r="AD37" s="71">
        <v>1.3568324506522391</v>
      </c>
      <c r="AE37" s="33">
        <f t="shared" si="12"/>
        <v>9515.650872384791</v>
      </c>
      <c r="AF37" s="64"/>
      <c r="AG37" s="67">
        <v>13437271.66533632</v>
      </c>
      <c r="AH37" s="67">
        <f t="shared" si="5"/>
        <v>15943756.734577671</v>
      </c>
      <c r="AI37" s="67">
        <f t="shared" si="6"/>
        <v>14931303.514569219</v>
      </c>
      <c r="AJ37" s="67">
        <f t="shared" si="7"/>
        <v>13551871.198146192</v>
      </c>
      <c r="AK37" s="64"/>
      <c r="AL37" s="67">
        <f t="shared" si="13"/>
        <v>-1047802.746998122</v>
      </c>
      <c r="AM37" s="69">
        <f t="shared" si="14"/>
        <v>2506485.0692413505</v>
      </c>
      <c r="AN37" s="69">
        <f t="shared" si="14"/>
        <v>-1012453.2200084515</v>
      </c>
      <c r="AO37" s="131">
        <f t="shared" si="15"/>
        <v>2506485.0692413505</v>
      </c>
      <c r="AP37" s="131">
        <f t="shared" si="16"/>
        <v>1044368.7788505626</v>
      </c>
    </row>
    <row r="38" spans="1:42">
      <c r="A38" s="6" t="s">
        <v>10</v>
      </c>
      <c r="B38" s="72" t="s">
        <v>186</v>
      </c>
      <c r="C38" s="4" t="s">
        <v>36</v>
      </c>
      <c r="D38" s="4" t="s">
        <v>187</v>
      </c>
      <c r="E38" s="73">
        <v>3246</v>
      </c>
      <c r="F38" s="74">
        <v>0.7258</v>
      </c>
      <c r="G38" s="41"/>
      <c r="H38" s="75">
        <v>6002.1917766501447</v>
      </c>
      <c r="I38" s="76">
        <v>14140844.509185225</v>
      </c>
      <c r="J38" s="75">
        <f t="shared" si="0"/>
        <v>7901.8854739599155</v>
      </c>
      <c r="K38" s="76">
        <f t="shared" si="1"/>
        <v>18616421.796342347</v>
      </c>
      <c r="L38" s="86"/>
      <c r="M38" s="77">
        <v>1.2050328950366043</v>
      </c>
      <c r="N38" s="75">
        <f t="shared" si="8"/>
        <v>6557.4022970716387</v>
      </c>
      <c r="O38" s="86"/>
      <c r="P38" s="75">
        <f t="shared" si="2"/>
        <v>7013.1362702967108</v>
      </c>
      <c r="Q38" s="86"/>
      <c r="R38" s="78">
        <v>5067.4787621556443</v>
      </c>
      <c r="S38" s="78">
        <v>6106.4786032969241</v>
      </c>
      <c r="T38" s="86"/>
      <c r="U38" s="78">
        <f t="shared" si="3"/>
        <v>6785.2692836841743</v>
      </c>
      <c r="V38" s="79">
        <f>VLOOKUP(B38,'WI_IME Rate Modifier'!$A$7:$J$35,10,FALSE)</f>
        <v>1.2016873027413544</v>
      </c>
      <c r="W38" s="78">
        <f t="shared" si="9"/>
        <v>8153.7719438841968</v>
      </c>
      <c r="X38" s="86"/>
      <c r="Y38" s="78">
        <f t="shared" si="4"/>
        <v>6899.2027769904435</v>
      </c>
      <c r="Z38" s="79">
        <v>1.2050328950366043</v>
      </c>
      <c r="AA38" s="78">
        <f t="shared" si="10"/>
        <v>8313.7662958013734</v>
      </c>
      <c r="AB38" s="86"/>
      <c r="AC38" s="78">
        <f t="shared" si="11"/>
        <v>7013.1362702967108</v>
      </c>
      <c r="AD38" s="79">
        <v>1.2050328950366043</v>
      </c>
      <c r="AE38" s="78">
        <f t="shared" si="12"/>
        <v>8451.0599030818594</v>
      </c>
      <c r="AF38" s="86"/>
      <c r="AG38" s="80">
        <v>14386538.724705856</v>
      </c>
      <c r="AH38" s="80">
        <f t="shared" si="5"/>
        <v>19209852.919123754</v>
      </c>
      <c r="AI38" s="80">
        <f t="shared" si="6"/>
        <v>19586791.1005411</v>
      </c>
      <c r="AJ38" s="80">
        <f t="shared" si="7"/>
        <v>19910247.535274018</v>
      </c>
      <c r="AK38" s="86"/>
      <c r="AL38" s="80">
        <f t="shared" si="13"/>
        <v>245694.21552063152</v>
      </c>
      <c r="AM38" s="82">
        <f t="shared" si="14"/>
        <v>4823314.1944178976</v>
      </c>
      <c r="AN38" s="82">
        <f t="shared" si="14"/>
        <v>376938.181417346</v>
      </c>
      <c r="AO38" s="227">
        <f t="shared" si="15"/>
        <v>4823314.1944178976</v>
      </c>
      <c r="AP38" s="227">
        <f t="shared" si="16"/>
        <v>2009714.2476741238</v>
      </c>
    </row>
    <row r="39" spans="1:42" s="9" customFormat="1">
      <c r="E39" s="87">
        <f>SUM(E12:E38)</f>
        <v>73472</v>
      </c>
      <c r="F39" s="88">
        <f>SUMPRODUCT(F12:F38,E12:E38)/E39</f>
        <v>0.84576283209930325</v>
      </c>
      <c r="G39" s="89"/>
      <c r="H39" s="90">
        <f>K39/F39/E39</f>
        <v>9371.4401804428744</v>
      </c>
      <c r="I39" s="91">
        <f>SUM(I12:I38)</f>
        <v>442339712.84898722</v>
      </c>
      <c r="J39" s="90"/>
      <c r="K39" s="91">
        <f>SUM(K12:K38)</f>
        <v>582340231.96569192</v>
      </c>
      <c r="M39" s="92">
        <f>SUMPRODUCT(M12:M38,E12:E38,F12:F38)/SUMPRODUCT(E12:E38,F12:F38)</f>
        <v>1.3362695118494241</v>
      </c>
      <c r="N39" s="90">
        <f>K39/F39/E39/M39</f>
        <v>7013.136270296709</v>
      </c>
      <c r="P39" s="93">
        <f>K$39/M$39/F$39/E$39</f>
        <v>7013.1362702967108</v>
      </c>
      <c r="S39" s="94"/>
      <c r="W39" s="95"/>
      <c r="Y39" s="95"/>
      <c r="AA39" s="95"/>
      <c r="AC39" s="95"/>
      <c r="AD39" s="96"/>
      <c r="AE39" s="95"/>
      <c r="AG39" s="97">
        <f>SUM(AG12:AG38)</f>
        <v>442339712.84898734</v>
      </c>
      <c r="AH39" s="97">
        <f>SUM(AH12:AH38)</f>
        <v>572175267.82189059</v>
      </c>
      <c r="AI39" s="97">
        <f>SUM(AI12:AI38)</f>
        <v>582340231.96569192</v>
      </c>
      <c r="AJ39" s="97">
        <f>SUM(AJ12:AJ38)</f>
        <v>582340231.96569192</v>
      </c>
      <c r="AL39" s="89">
        <f t="shared" ref="AL39:AP39" si="17">SUM(AL12:AL38)</f>
        <v>-2.1886080503463745E-8</v>
      </c>
      <c r="AM39" s="98">
        <f t="shared" si="17"/>
        <v>129835554.97290327</v>
      </c>
      <c r="AN39" s="98">
        <f t="shared" si="17"/>
        <v>10164964.143801391</v>
      </c>
      <c r="AO39" s="226">
        <f t="shared" si="15"/>
        <v>129835554.97290325</v>
      </c>
      <c r="AP39" s="226">
        <f t="shared" si="17"/>
        <v>54098147.90537636</v>
      </c>
    </row>
    <row r="40" spans="1:42">
      <c r="E40" s="87"/>
      <c r="F40" s="99"/>
      <c r="G40" s="99"/>
      <c r="H40" s="100">
        <v>7118.4505738267153</v>
      </c>
      <c r="I40" s="101">
        <v>442339712.84898722</v>
      </c>
      <c r="J40" s="100"/>
      <c r="K40" s="91">
        <v>442339712.84898722</v>
      </c>
      <c r="M40" s="65">
        <v>1.3362695118494241</v>
      </c>
      <c r="N40" s="7">
        <v>5327.1069276845474</v>
      </c>
      <c r="O40" s="102"/>
      <c r="P40" s="90">
        <v>5327.1069276845483</v>
      </c>
      <c r="Q40" s="102"/>
      <c r="R40" s="102"/>
      <c r="S40" s="102"/>
      <c r="T40" s="102"/>
      <c r="U40" s="102"/>
      <c r="W40" s="33"/>
      <c r="X40" s="102"/>
      <c r="Y40" s="33"/>
      <c r="AA40" s="33"/>
      <c r="AB40" s="102"/>
      <c r="AC40" s="33"/>
      <c r="AD40" s="102"/>
      <c r="AE40" s="33"/>
      <c r="AG40" s="10">
        <v>442339712.84898734</v>
      </c>
      <c r="AH40" s="10">
        <v>442339712.84898722</v>
      </c>
      <c r="AI40" s="10">
        <v>442339712.84898716</v>
      </c>
      <c r="AJ40" s="10">
        <v>442339712.84898722</v>
      </c>
      <c r="AL40" s="68"/>
      <c r="AM40" s="103"/>
      <c r="AN40" s="103"/>
      <c r="AO40" s="68"/>
    </row>
    <row r="41" spans="1:42" ht="18.75">
      <c r="B41" s="104" t="s">
        <v>188</v>
      </c>
      <c r="E41" s="87"/>
      <c r="F41" s="99"/>
      <c r="G41" s="99"/>
      <c r="H41" s="100"/>
      <c r="I41" s="105">
        <f>R5/I39</f>
        <v>0.31650000000000056</v>
      </c>
      <c r="J41" s="100"/>
      <c r="K41" s="91"/>
      <c r="M41" s="106"/>
      <c r="N41" s="91"/>
      <c r="P41" s="91"/>
      <c r="Q41" s="7"/>
      <c r="S41" s="106"/>
      <c r="W41" s="33"/>
      <c r="Y41" s="33"/>
      <c r="AA41" s="33"/>
      <c r="AC41" s="33"/>
      <c r="AD41" s="102"/>
      <c r="AE41" s="33"/>
      <c r="AG41" s="102"/>
      <c r="AH41" s="102"/>
      <c r="AI41" s="102"/>
      <c r="AJ41" s="102"/>
    </row>
    <row r="42" spans="1:42">
      <c r="E42" s="87"/>
      <c r="F42" s="99"/>
      <c r="G42" s="99"/>
      <c r="H42" s="100"/>
      <c r="I42" s="100"/>
      <c r="J42" s="100"/>
      <c r="K42" s="91"/>
      <c r="M42" s="106"/>
      <c r="N42" s="91"/>
      <c r="P42" s="91"/>
      <c r="Q42" s="7"/>
      <c r="S42" s="106"/>
      <c r="W42" s="33"/>
      <c r="Y42" s="33"/>
      <c r="AA42" s="33"/>
      <c r="AC42" s="33"/>
      <c r="AD42" s="102"/>
      <c r="AE42" s="33"/>
      <c r="AG42" s="102"/>
      <c r="AH42" s="102"/>
      <c r="AI42" s="102"/>
      <c r="AJ42" s="107"/>
    </row>
    <row r="43" spans="1:42">
      <c r="B43" s="108" t="s">
        <v>189</v>
      </c>
      <c r="C43" s="109" t="s">
        <v>190</v>
      </c>
      <c r="D43" s="109" t="s">
        <v>191</v>
      </c>
      <c r="E43" s="110">
        <v>3390</v>
      </c>
      <c r="F43" s="111">
        <v>1.5115000000000001</v>
      </c>
      <c r="G43" s="39"/>
      <c r="H43" s="112">
        <v>10776.131353677689</v>
      </c>
      <c r="I43" s="112">
        <v>55216735.414274178</v>
      </c>
      <c r="J43" s="238">
        <f>H43</f>
        <v>10776.131353677689</v>
      </c>
      <c r="K43" s="113">
        <f>E43*F43*J43</f>
        <v>55216735.414274178</v>
      </c>
      <c r="L43" s="114"/>
      <c r="M43" s="115">
        <v>1.3587873581531946</v>
      </c>
      <c r="N43" s="112">
        <f>J43/M43</f>
        <v>7930.6973891221242</v>
      </c>
      <c r="O43" s="114"/>
      <c r="P43" s="112">
        <f>N43</f>
        <v>7930.6973891221242</v>
      </c>
      <c r="Q43" s="114"/>
      <c r="R43" s="116">
        <f>(1/4*(P43))+((3/4*(N43)))</f>
        <v>7930.6973891221242</v>
      </c>
      <c r="S43" s="116">
        <f>R43*M43</f>
        <v>10776.131353677689</v>
      </c>
      <c r="T43" s="114"/>
      <c r="U43" s="116">
        <f>R43</f>
        <v>7930.6973891221242</v>
      </c>
      <c r="V43" s="117">
        <f>VLOOKUP(B43,'WI_IME Rate Modifier'!$A$7:$J$35,10,FALSE)</f>
        <v>1.3597480288855213</v>
      </c>
      <c r="W43" s="116">
        <f>U43*V43</f>
        <v>10783.750142546358</v>
      </c>
      <c r="X43" s="114"/>
      <c r="Y43" s="116">
        <f>U43</f>
        <v>7930.6973891221242</v>
      </c>
      <c r="Z43" s="117">
        <v>1.3587873581531946</v>
      </c>
      <c r="AA43" s="116">
        <f>Y43*Z43</f>
        <v>10776.131353677689</v>
      </c>
      <c r="AB43" s="114"/>
      <c r="AC43" s="116">
        <f>U43</f>
        <v>7930.6973891221242</v>
      </c>
      <c r="AD43" s="117">
        <v>1.3587873581531946</v>
      </c>
      <c r="AE43" s="116">
        <f>AC43*AD43</f>
        <v>10776.131353677689</v>
      </c>
      <c r="AF43" s="114"/>
      <c r="AG43" s="118">
        <f>S43*F43*E43</f>
        <v>55216735.414274171</v>
      </c>
      <c r="AH43" s="118">
        <f>W43*E43*F43</f>
        <v>55255773.974155404</v>
      </c>
      <c r="AI43" s="118">
        <f>AA43*F43*E43</f>
        <v>55216735.414274171</v>
      </c>
      <c r="AJ43" s="81">
        <f>E43*F43*AE43</f>
        <v>55216735.414274178</v>
      </c>
      <c r="AK43" s="114"/>
      <c r="AL43" s="118">
        <f>AG43-I43</f>
        <v>0</v>
      </c>
      <c r="AM43" s="119">
        <f>AH43-AG43</f>
        <v>39038.559881232679</v>
      </c>
      <c r="AN43" s="119">
        <f>AI43-AH43</f>
        <v>-39038.559881232679</v>
      </c>
      <c r="AO43" s="227">
        <f t="shared" ref="AO43" si="18">+AH43-AG43</f>
        <v>39038.559881232679</v>
      </c>
      <c r="AP43" s="227">
        <f t="shared" ref="AP43" si="19">+AO43/12*5</f>
        <v>16266.066617180284</v>
      </c>
    </row>
    <row r="44" spans="1:42">
      <c r="E44" s="87"/>
      <c r="F44" s="99"/>
      <c r="G44" s="99"/>
      <c r="H44" s="100"/>
      <c r="I44" s="100"/>
      <c r="J44" s="239"/>
      <c r="K44" s="91"/>
      <c r="M44" s="120"/>
      <c r="N44" s="91"/>
      <c r="P44" s="91"/>
      <c r="Q44" s="7"/>
      <c r="R44" s="33"/>
      <c r="S44" s="33"/>
      <c r="U44" s="33"/>
      <c r="W44" s="33"/>
      <c r="Y44" s="33"/>
      <c r="Z44" s="65"/>
      <c r="AA44" s="33"/>
      <c r="AC44" s="33"/>
      <c r="AD44" s="65"/>
      <c r="AE44" s="33"/>
      <c r="AG44" s="67"/>
      <c r="AH44" s="67"/>
      <c r="AI44" s="67"/>
      <c r="AJ44" s="67"/>
      <c r="AL44" s="67"/>
    </row>
    <row r="45" spans="1:42">
      <c r="E45" s="87"/>
      <c r="F45" s="99"/>
      <c r="G45" s="99"/>
      <c r="H45" s="100"/>
      <c r="I45" s="100"/>
      <c r="J45" s="239"/>
      <c r="K45" s="91"/>
      <c r="M45" s="120"/>
      <c r="N45" s="91"/>
      <c r="P45" s="91"/>
      <c r="Q45" s="7"/>
      <c r="R45" s="33"/>
      <c r="S45" s="33"/>
      <c r="U45" s="33"/>
      <c r="W45" s="33"/>
      <c r="Y45" s="33"/>
      <c r="Z45" s="65"/>
      <c r="AA45" s="33"/>
      <c r="AC45" s="33"/>
      <c r="AD45" s="65"/>
      <c r="AE45" s="33"/>
      <c r="AG45" s="67"/>
      <c r="AH45" s="67"/>
      <c r="AI45" s="67"/>
      <c r="AJ45" s="80"/>
      <c r="AL45" s="67"/>
    </row>
    <row r="46" spans="1:42">
      <c r="B46" s="108" t="s">
        <v>192</v>
      </c>
      <c r="C46" s="109" t="s">
        <v>193</v>
      </c>
      <c r="D46" s="109" t="s">
        <v>194</v>
      </c>
      <c r="E46" s="110">
        <v>1826</v>
      </c>
      <c r="F46" s="111">
        <v>1.0744</v>
      </c>
      <c r="G46" s="39"/>
      <c r="H46" s="121">
        <v>11229.001823050128</v>
      </c>
      <c r="I46" s="112">
        <v>22029666.634158913</v>
      </c>
      <c r="J46" s="238">
        <f>H46</f>
        <v>11229.001823050128</v>
      </c>
      <c r="K46" s="113">
        <f>E46*F46*J46</f>
        <v>22029666.634158913</v>
      </c>
      <c r="L46" s="114"/>
      <c r="M46" s="115">
        <v>1.7215633771685392</v>
      </c>
      <c r="N46" s="112">
        <f>J46/M46</f>
        <v>6522.5608141818766</v>
      </c>
      <c r="O46" s="114"/>
      <c r="P46" s="112">
        <f>N46</f>
        <v>6522.5608141818766</v>
      </c>
      <c r="Q46" s="114"/>
      <c r="R46" s="116">
        <f>(1/4*(P46))+((3/4*(N46)))</f>
        <v>6522.5608141818766</v>
      </c>
      <c r="S46" s="116">
        <f>R46*M46</f>
        <v>11229.001823050128</v>
      </c>
      <c r="T46" s="114"/>
      <c r="U46" s="116">
        <f>R46</f>
        <v>6522.5608141818766</v>
      </c>
      <c r="V46" s="117">
        <f>VLOOKUP(B46,'WI_IME Rate Modifier'!$A$7:$J$35,10,FALSE)</f>
        <v>1.7487627318586725</v>
      </c>
      <c r="W46" s="116">
        <f>U46*V46</f>
        <v>11406.411268123025</v>
      </c>
      <c r="X46" s="114"/>
      <c r="Y46" s="116">
        <f>U46</f>
        <v>6522.5608141818766</v>
      </c>
      <c r="Z46" s="117">
        <v>1.7215633771685392</v>
      </c>
      <c r="AA46" s="116">
        <f>Y46*Z46</f>
        <v>11229.001823050128</v>
      </c>
      <c r="AB46" s="114"/>
      <c r="AC46" s="116">
        <f>U46</f>
        <v>6522.5608141818766</v>
      </c>
      <c r="AD46" s="117">
        <v>1.7215633771685392</v>
      </c>
      <c r="AE46" s="116">
        <f>AC46*AD46</f>
        <v>11229.001823050128</v>
      </c>
      <c r="AF46" s="114"/>
      <c r="AG46" s="118">
        <f>S46*F46*E46</f>
        <v>22029666.634158917</v>
      </c>
      <c r="AH46" s="118">
        <f>W46*E46*F46</f>
        <v>22377718.134576738</v>
      </c>
      <c r="AI46" s="118">
        <f>AA46*F46*E46</f>
        <v>22029666.634158917</v>
      </c>
      <c r="AJ46" s="122">
        <f>E46*F46*AE46</f>
        <v>22029666.634158913</v>
      </c>
      <c r="AK46" s="114"/>
      <c r="AL46" s="118">
        <f>AG46-I46</f>
        <v>0</v>
      </c>
      <c r="AM46" s="119">
        <f>AH46-AG46</f>
        <v>348051.50041782111</v>
      </c>
      <c r="AN46" s="119">
        <f>AI46-AH46</f>
        <v>-348051.50041782111</v>
      </c>
      <c r="AO46" s="227">
        <f t="shared" ref="AO46" si="20">+AH46-AG46</f>
        <v>348051.50041782111</v>
      </c>
      <c r="AP46" s="227">
        <f t="shared" ref="AP46" si="21">+AO46/12*5</f>
        <v>145021.45850742547</v>
      </c>
    </row>
    <row r="47" spans="1:42">
      <c r="E47" s="87"/>
      <c r="F47" s="99"/>
      <c r="G47" s="99"/>
      <c r="H47" s="102"/>
      <c r="I47" s="102"/>
      <c r="J47" s="102"/>
      <c r="K47" s="91"/>
      <c r="M47" s="106"/>
      <c r="N47" s="91"/>
      <c r="P47" s="91"/>
      <c r="S47" s="106"/>
      <c r="AF47" s="102"/>
      <c r="AH47" s="102"/>
      <c r="AI47" s="102"/>
      <c r="AJ47" s="102"/>
      <c r="AK47" s="102"/>
    </row>
    <row r="48" spans="1:42">
      <c r="D48" s="9" t="s">
        <v>195</v>
      </c>
      <c r="E48" s="87">
        <f>E39+E43+E46</f>
        <v>78688</v>
      </c>
      <c r="F48" s="88">
        <f>((E39*F39)+(E43*F43)+(E46*F46))/E48</f>
        <v>0.87974946878812532</v>
      </c>
      <c r="G48" s="99"/>
      <c r="H48" s="102"/>
      <c r="I48" s="91">
        <f>I39+I43+I46</f>
        <v>519586114.89742029</v>
      </c>
      <c r="J48" s="102"/>
      <c r="K48" s="91">
        <f>K39+K43+K46</f>
        <v>659586634.01412511</v>
      </c>
      <c r="M48" s="106"/>
      <c r="N48" s="91"/>
      <c r="P48" s="91"/>
      <c r="S48" s="123"/>
      <c r="AF48" s="102"/>
      <c r="AG48" s="97">
        <f>AG46+AG43+AG39</f>
        <v>519586114.89742041</v>
      </c>
      <c r="AH48" s="97">
        <f>AH46+AH43+AH39</f>
        <v>649808759.9306227</v>
      </c>
      <c r="AI48" s="97">
        <f>AI46+AI43+AI39</f>
        <v>659586634.01412499</v>
      </c>
      <c r="AJ48" s="97">
        <f>AJ39+AJ43+AJ46</f>
        <v>659586634.01412511</v>
      </c>
      <c r="AK48" s="9"/>
      <c r="AL48" s="97">
        <f>AG48-I48</f>
        <v>0</v>
      </c>
      <c r="AM48" s="96">
        <v>0</v>
      </c>
      <c r="AN48" s="96">
        <v>0</v>
      </c>
      <c r="AO48" s="97">
        <f>AH48-AG48</f>
        <v>130222645.03320229</v>
      </c>
      <c r="AP48" s="97">
        <f>AP39+AP43+AP46</f>
        <v>54259435.430500969</v>
      </c>
    </row>
    <row r="49" spans="2:41">
      <c r="E49" s="87"/>
      <c r="F49" s="99"/>
      <c r="G49" s="99"/>
      <c r="H49" s="102"/>
      <c r="I49" s="102"/>
      <c r="J49" s="102"/>
      <c r="K49" s="91"/>
      <c r="M49" s="106"/>
      <c r="N49" s="91"/>
      <c r="P49" s="91"/>
      <c r="S49" s="123"/>
      <c r="AF49" s="102"/>
      <c r="AG49" s="67"/>
      <c r="AH49" s="67"/>
      <c r="AI49" s="67"/>
      <c r="AJ49" s="67"/>
      <c r="AL49" s="67"/>
      <c r="AM49" s="102"/>
      <c r="AN49" s="102"/>
      <c r="AO49" s="102"/>
    </row>
    <row r="50" spans="2:41">
      <c r="B50" s="7" t="s">
        <v>196</v>
      </c>
      <c r="E50" s="87"/>
      <c r="F50" s="99"/>
      <c r="G50" s="99"/>
      <c r="H50" s="102"/>
      <c r="I50" s="102"/>
      <c r="J50" s="102"/>
      <c r="K50" s="91"/>
      <c r="M50" s="106"/>
      <c r="N50" s="91"/>
      <c r="P50" s="91"/>
      <c r="S50" s="106"/>
      <c r="AF50" s="102"/>
      <c r="AH50" s="102"/>
      <c r="AI50" s="102"/>
      <c r="AJ50" s="102"/>
      <c r="AK50" s="102"/>
    </row>
    <row r="51" spans="2:41">
      <c r="B51" s="7" t="s">
        <v>353</v>
      </c>
      <c r="E51" s="87"/>
      <c r="F51" s="99"/>
      <c r="G51" s="99"/>
      <c r="H51" s="102"/>
      <c r="I51" s="102"/>
      <c r="J51" s="102"/>
      <c r="K51" s="91"/>
      <c r="M51" s="106"/>
      <c r="N51" s="91"/>
      <c r="P51" s="91"/>
      <c r="S51" s="106"/>
      <c r="AF51" s="102"/>
      <c r="AH51" s="102"/>
      <c r="AI51" s="102"/>
      <c r="AJ51" s="102"/>
      <c r="AK51" s="102"/>
    </row>
    <row r="53" spans="2:41">
      <c r="D53" s="7" t="s">
        <v>51</v>
      </c>
    </row>
    <row r="54" spans="2:41">
      <c r="D54" s="7" t="s">
        <v>197</v>
      </c>
      <c r="AG54" s="67">
        <f>+AG38+AG31+AG30+AG28+AG24</f>
        <v>85108222.086268812</v>
      </c>
      <c r="AH54" s="67">
        <f>+AH38+AH31+AH30+AH28+AH24</f>
        <v>112179410.50581765</v>
      </c>
      <c r="AI54" s="67">
        <f>+AI38+AI31+AI30+AI28+AI24</f>
        <v>113837263.69467893</v>
      </c>
      <c r="AJ54" s="67">
        <f>+AJ38+AJ31+AJ30+AJ28+AJ24</f>
        <v>114733408.35373195</v>
      </c>
      <c r="AL54" s="67">
        <f>+AL38+AL31+AL30+AL28+AL24</f>
        <v>680702.36160499742</v>
      </c>
      <c r="AM54" s="67">
        <f>+AM38+AM31+AM30+AM28+AM24</f>
        <v>27071188.419548821</v>
      </c>
      <c r="AN54" s="67">
        <f>+AN38+AN31+AN30+AN28+AN24</f>
        <v>1657853.1888613082</v>
      </c>
      <c r="AO54" s="67">
        <f>+AO38+AO31+AO30+AO28+AO24</f>
        <v>27071188.419548821</v>
      </c>
    </row>
    <row r="55" spans="2:41">
      <c r="D55" s="7" t="s">
        <v>198</v>
      </c>
      <c r="AG55" s="67">
        <f>+AG29+AG25+AG19+AG17</f>
        <v>188095252.29282081</v>
      </c>
      <c r="AH55" s="67">
        <f>+AH29+AH25+AH19+AH17</f>
        <v>243542289.83296719</v>
      </c>
      <c r="AI55" s="67">
        <f>+AI29+AI25+AI19+AI17</f>
        <v>253048399.47484285</v>
      </c>
      <c r="AJ55" s="67">
        <f>+AJ29+AJ25+AJ19+AJ17</f>
        <v>255758899.39051491</v>
      </c>
      <c r="AL55" s="67">
        <f>+AL29+AL25+AL19+AL17</f>
        <v>2058868.1471113414</v>
      </c>
      <c r="AM55" s="67">
        <f>+AM29+AM25+AM19+AM17</f>
        <v>55447037.540146388</v>
      </c>
      <c r="AN55" s="67">
        <f>+AN29+AN25+AN19+AN17</f>
        <v>9506109.64187566</v>
      </c>
      <c r="AO55" s="67">
        <f>+AO29+AO25+AO19+AO17</f>
        <v>55447037.540146388</v>
      </c>
    </row>
    <row r="56" spans="2:41">
      <c r="D56" s="7" t="s">
        <v>199</v>
      </c>
      <c r="AG56" s="67">
        <f>+AG12+AG18+AG23</f>
        <v>60194302.54208757</v>
      </c>
      <c r="AH56" s="67">
        <f>+AH12+AH18+AH23</f>
        <v>77206999.61190173</v>
      </c>
      <c r="AI56" s="67">
        <f>+AI12+AI18+AI23</f>
        <v>76536155.978024915</v>
      </c>
      <c r="AJ56" s="67">
        <f>+AJ12+AJ18+AJ23</f>
        <v>75181334.318708241</v>
      </c>
      <c r="AL56" s="67">
        <f>+AL12+AL18+AL23</f>
        <v>-1029108.7423598072</v>
      </c>
      <c r="AM56" s="67">
        <f>+AM12+AM18+AM23</f>
        <v>17012697.069814149</v>
      </c>
      <c r="AN56" s="67">
        <f>+AN12+AN18+AN23</f>
        <v>-670843.63387679844</v>
      </c>
      <c r="AO56" s="67">
        <f>+AO12+AO18+AO23</f>
        <v>17012697.069814149</v>
      </c>
    </row>
    <row r="57" spans="2:41">
      <c r="D57" s="7" t="s">
        <v>200</v>
      </c>
      <c r="AG57" s="67">
        <f>+AG15+AG21+AG32</f>
        <v>21755919.905583173</v>
      </c>
      <c r="AH57" s="67">
        <f>+AH15+AH21+AH32</f>
        <v>27980808.321244583</v>
      </c>
      <c r="AI57" s="67">
        <f>+AI15+AI21+AI32</f>
        <v>27569526.158364013</v>
      </c>
      <c r="AJ57" s="67">
        <f>+AJ15+AJ21+AJ32</f>
        <v>27033454.959695898</v>
      </c>
      <c r="AL57" s="67">
        <f>+AL15+AL21+AL32</f>
        <v>-407194.22610567301</v>
      </c>
      <c r="AM57" s="67">
        <f>+AM15+AM21+AM32</f>
        <v>6224888.4156614123</v>
      </c>
      <c r="AN57" s="67">
        <f>+AN15+AN21+AN32</f>
        <v>-411282.16288057109</v>
      </c>
      <c r="AO57" s="67">
        <f>+AO15+AO21+AO32</f>
        <v>6224888.4156614123</v>
      </c>
    </row>
    <row r="58" spans="2:41">
      <c r="D58" s="7" t="s">
        <v>201</v>
      </c>
      <c r="AG58" s="67">
        <f>+AG37+AG36+AG22</f>
        <v>31471388.071648985</v>
      </c>
      <c r="AH58" s="67">
        <f>+AH37+AH36+AH22</f>
        <v>38417790.809181385</v>
      </c>
      <c r="AI58" s="67">
        <f>+AI37+AI36+AI22</f>
        <v>36937780.107406594</v>
      </c>
      <c r="AJ58" s="67">
        <f>+AJ37+AJ36+AJ22</f>
        <v>34690628.962946936</v>
      </c>
      <c r="AL58" s="67">
        <f>+AL37+AL36+AL22</f>
        <v>-1706913.1366955289</v>
      </c>
      <c r="AM58" s="67">
        <f>+AM37+AM36+AM22</f>
        <v>6946402.7375323996</v>
      </c>
      <c r="AN58" s="67">
        <f>+AN37+AN36+AN22</f>
        <v>-1480010.7017747937</v>
      </c>
      <c r="AO58" s="67">
        <f>+AO37+AO36+AO22</f>
        <v>6946402.7375323996</v>
      </c>
    </row>
    <row r="60" spans="2:41">
      <c r="AG60" s="67">
        <f>SUM(AG54:AG59)</f>
        <v>386625084.89840925</v>
      </c>
      <c r="AH60" s="67">
        <f>SUM(AH54:AH59)</f>
        <v>499327299.08111256</v>
      </c>
      <c r="AI60" s="67">
        <f>SUM(AI54:AI59)</f>
        <v>507929125.41331732</v>
      </c>
      <c r="AJ60" s="67">
        <f>SUM(AJ54:AJ59)</f>
        <v>507397725.98559791</v>
      </c>
      <c r="AL60" s="67">
        <f>SUM(AL54:AL59)</f>
        <v>-403645.59644467034</v>
      </c>
      <c r="AM60" s="67">
        <f>SUM(AM54:AM59)</f>
        <v>112702214.18270317</v>
      </c>
      <c r="AN60" s="67">
        <f>SUM(AN54:AN59)</f>
        <v>8601826.3322048038</v>
      </c>
      <c r="AO60" s="67">
        <f>SUM(AO54:AO59)</f>
        <v>112702214.18270317</v>
      </c>
    </row>
  </sheetData>
  <mergeCells count="10">
    <mergeCell ref="AG9:AO9"/>
    <mergeCell ref="P2:R2"/>
    <mergeCell ref="R8:AE8"/>
    <mergeCell ref="E9:F9"/>
    <mergeCell ref="H9:K9"/>
    <mergeCell ref="M9:N9"/>
    <mergeCell ref="R9:S9"/>
    <mergeCell ref="U9:W9"/>
    <mergeCell ref="Y9:AA9"/>
    <mergeCell ref="AC9:AE9"/>
  </mergeCells>
  <pageMargins left="0.25" right="0.25" top="0.75" bottom="0.75" header="0.3" footer="0.3"/>
  <pageSetup paperSize="5" scale="54" fitToWidth="2" orientation="landscape" r:id="rId1"/>
  <headerFooter>
    <oddHeader>&amp;R&amp;P of &amp;N</oddHeader>
    <oddFooter>&amp;LMyers and Stauffer LC&amp;C&amp;F [&amp;A]&amp;R&amp;D</oddFooter>
  </headerFooter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J7" sqref="J7"/>
    </sheetView>
  </sheetViews>
  <sheetFormatPr defaultColWidth="9.140625" defaultRowHeight="15"/>
  <cols>
    <col min="1" max="1" width="9.5703125" style="7" customWidth="1"/>
    <col min="2" max="2" width="12.28515625" style="7" customWidth="1"/>
    <col min="3" max="3" width="25.85546875" style="7" customWidth="1"/>
    <col min="4" max="4" width="10.7109375" style="7" customWidth="1"/>
    <col min="5" max="5" width="13.5703125" style="7" customWidth="1"/>
    <col min="6" max="6" width="12.5703125" style="134" customWidth="1"/>
    <col min="7" max="7" width="2.7109375" style="134" customWidth="1"/>
    <col min="8" max="8" width="10.7109375" style="7" customWidth="1"/>
    <col min="9" max="9" width="12.85546875" style="7" customWidth="1"/>
    <col min="10" max="10" width="15.5703125" style="7" customWidth="1"/>
    <col min="11" max="11" width="2.7109375" style="7" customWidth="1"/>
    <col min="12" max="12" width="10.7109375" style="7" customWidth="1"/>
    <col min="13" max="13" width="13.42578125" style="7" customWidth="1"/>
    <col min="14" max="14" width="14.42578125" style="7" customWidth="1"/>
    <col min="15" max="15" width="2.7109375" style="7" customWidth="1"/>
    <col min="16" max="16" width="10.7109375" style="7" customWidth="1"/>
    <col min="17" max="17" width="13.140625" style="7" customWidth="1"/>
    <col min="18" max="18" width="12.42578125" style="7" customWidth="1"/>
    <col min="19" max="19" width="24.42578125" style="7" customWidth="1"/>
    <col min="20" max="20" width="16.42578125" style="7" customWidth="1"/>
    <col min="21" max="21" width="9.140625" style="7"/>
    <col min="22" max="22" width="11.7109375" style="7" customWidth="1"/>
    <col min="23" max="35" width="9.140625" style="7"/>
    <col min="36" max="36" width="11.5703125" style="7" bestFit="1" customWidth="1"/>
    <col min="37" max="16384" width="9.140625" style="7"/>
  </cols>
  <sheetData>
    <row r="1" spans="1:18" ht="18">
      <c r="A1" s="12" t="s">
        <v>52</v>
      </c>
    </row>
    <row r="2" spans="1:18" ht="15.75">
      <c r="A2" s="17" t="s">
        <v>209</v>
      </c>
      <c r="H2" s="7" t="s">
        <v>356</v>
      </c>
    </row>
    <row r="5" spans="1:18" ht="45">
      <c r="A5" s="37" t="s">
        <v>72</v>
      </c>
      <c r="B5" s="38" t="s">
        <v>73</v>
      </c>
      <c r="C5" s="38" t="s">
        <v>0</v>
      </c>
      <c r="D5" s="38" t="s">
        <v>355</v>
      </c>
      <c r="E5" s="38" t="s">
        <v>210</v>
      </c>
      <c r="F5" s="135" t="s">
        <v>211</v>
      </c>
      <c r="G5" s="39"/>
      <c r="H5" s="37" t="s">
        <v>354</v>
      </c>
      <c r="I5" s="38" t="s">
        <v>212</v>
      </c>
      <c r="J5" s="135" t="s">
        <v>213</v>
      </c>
      <c r="K5" s="39"/>
      <c r="L5" s="37" t="s">
        <v>214</v>
      </c>
      <c r="M5" s="38" t="s">
        <v>215</v>
      </c>
      <c r="N5" s="135" t="s">
        <v>216</v>
      </c>
      <c r="O5" s="39"/>
      <c r="P5" s="37" t="s">
        <v>217</v>
      </c>
      <c r="Q5" s="38" t="s">
        <v>218</v>
      </c>
      <c r="R5" s="135" t="s">
        <v>219</v>
      </c>
    </row>
    <row r="6" spans="1:18">
      <c r="A6" s="48" t="s">
        <v>102</v>
      </c>
      <c r="B6" s="49" t="s">
        <v>103</v>
      </c>
      <c r="C6" s="49" t="s">
        <v>104</v>
      </c>
      <c r="D6" s="136" t="s">
        <v>105</v>
      </c>
      <c r="E6" s="137" t="s">
        <v>106</v>
      </c>
      <c r="F6" s="138" t="s">
        <v>220</v>
      </c>
      <c r="G6" s="50"/>
      <c r="H6" s="228" t="s">
        <v>108</v>
      </c>
      <c r="I6" s="228" t="s">
        <v>202</v>
      </c>
      <c r="J6" s="228" t="s">
        <v>221</v>
      </c>
      <c r="K6" s="50"/>
      <c r="L6" s="52" t="s">
        <v>204</v>
      </c>
      <c r="M6" s="228" t="s">
        <v>222</v>
      </c>
      <c r="N6" s="52" t="s">
        <v>223</v>
      </c>
      <c r="O6" s="50"/>
      <c r="P6" s="52" t="s">
        <v>113</v>
      </c>
      <c r="Q6" s="228" t="s">
        <v>224</v>
      </c>
      <c r="R6" s="139" t="s">
        <v>225</v>
      </c>
    </row>
    <row r="7" spans="1:18">
      <c r="A7" s="36" t="s">
        <v>133</v>
      </c>
      <c r="B7" s="57" t="s">
        <v>45</v>
      </c>
      <c r="C7" s="2" t="s">
        <v>134</v>
      </c>
      <c r="D7" s="13">
        <v>1.1182504</v>
      </c>
      <c r="E7" s="140">
        <v>0.14280117652200949</v>
      </c>
      <c r="F7" s="134">
        <f>D7*(1+E7)</f>
        <v>1.2779378727662076</v>
      </c>
      <c r="G7" s="60"/>
      <c r="H7" s="229">
        <f>VLOOKUP(A7,'CT Wage Index'!$A$7:$M$36,13,FALSE)</f>
        <v>1.1067529</v>
      </c>
      <c r="I7" s="141">
        <f>VLOOKUP(A7,'IME 2018'!$A$7:$N$35,14,FALSE)</f>
        <v>0.14542256896440775</v>
      </c>
      <c r="J7" s="230">
        <f>H7*(1+I7)</f>
        <v>1.2676997499268083</v>
      </c>
      <c r="K7" s="60"/>
      <c r="L7" s="13">
        <v>1.1182504</v>
      </c>
      <c r="M7" s="141">
        <v>0.14280117652200949</v>
      </c>
      <c r="N7" s="134">
        <f>L7*(1+M7)</f>
        <v>1.2779378727662076</v>
      </c>
      <c r="O7" s="60"/>
      <c r="P7" s="13">
        <v>1.1182504</v>
      </c>
      <c r="Q7" s="141">
        <v>0.14280117652200949</v>
      </c>
      <c r="R7" s="142">
        <f>P7*(1+Q7)</f>
        <v>1.2779378727662076</v>
      </c>
    </row>
    <row r="8" spans="1:18">
      <c r="A8" s="36" t="s">
        <v>135</v>
      </c>
      <c r="B8" s="2" t="s">
        <v>32</v>
      </c>
      <c r="C8" s="2" t="s">
        <v>136</v>
      </c>
      <c r="D8" s="13">
        <v>1.1182504</v>
      </c>
      <c r="E8" s="140">
        <v>0</v>
      </c>
      <c r="F8" s="134">
        <f t="shared" ref="F8:F35" si="0">D8*(1+E8)</f>
        <v>1.1182504</v>
      </c>
      <c r="G8" s="60"/>
      <c r="H8" s="229">
        <f>VLOOKUP(A8,'CT Wage Index'!$A$7:$M$36,13,FALSE)</f>
        <v>1.1262866999999999</v>
      </c>
      <c r="I8" s="141">
        <f>VLOOKUP(A8,'IME 2018'!$A$7:$N$35,14,FALSE)</f>
        <v>0</v>
      </c>
      <c r="J8" s="230">
        <f t="shared" ref="J8:J35" si="1">H8*(1+I8)</f>
        <v>1.1262866999999999</v>
      </c>
      <c r="K8" s="60"/>
      <c r="L8" s="13">
        <v>1.1182504</v>
      </c>
      <c r="M8" s="141">
        <v>0</v>
      </c>
      <c r="N8" s="134">
        <f t="shared" ref="N8:N35" si="2">L8*(1+M8)</f>
        <v>1.1182504</v>
      </c>
      <c r="O8" s="60"/>
      <c r="P8" s="13">
        <v>1.1182504</v>
      </c>
      <c r="Q8" s="141">
        <v>0</v>
      </c>
      <c r="R8" s="142">
        <f t="shared" ref="R8:R35" si="3">P8*(1+Q8)</f>
        <v>1.1182504</v>
      </c>
    </row>
    <row r="9" spans="1:18">
      <c r="A9" s="36" t="s">
        <v>137</v>
      </c>
      <c r="B9" s="2" t="s">
        <v>44</v>
      </c>
      <c r="C9" s="2" t="s">
        <v>138</v>
      </c>
      <c r="D9" s="13">
        <v>1.1182504</v>
      </c>
      <c r="E9" s="140">
        <v>0</v>
      </c>
      <c r="F9" s="134">
        <f t="shared" si="0"/>
        <v>1.1182504</v>
      </c>
      <c r="G9" s="60"/>
      <c r="H9" s="229">
        <f>VLOOKUP(A9,'CT Wage Index'!$A$7:$M$36,13,FALSE)</f>
        <v>1.1067529</v>
      </c>
      <c r="I9" s="141">
        <f>VLOOKUP(A9,'IME 2018'!$A$7:$N$35,14,FALSE)</f>
        <v>0</v>
      </c>
      <c r="J9" s="230">
        <f t="shared" si="1"/>
        <v>1.1067529</v>
      </c>
      <c r="K9" s="60"/>
      <c r="L9" s="13">
        <v>1.1182504</v>
      </c>
      <c r="M9" s="141">
        <v>0</v>
      </c>
      <c r="N9" s="134">
        <f t="shared" si="2"/>
        <v>1.1182504</v>
      </c>
      <c r="O9" s="60"/>
      <c r="P9" s="13">
        <v>1.1182504</v>
      </c>
      <c r="Q9" s="141">
        <v>0</v>
      </c>
      <c r="R9" s="142">
        <f t="shared" si="3"/>
        <v>1.1182504</v>
      </c>
    </row>
    <row r="10" spans="1:18">
      <c r="A10" s="36" t="s">
        <v>139</v>
      </c>
      <c r="B10" s="2" t="s">
        <v>359</v>
      </c>
      <c r="C10" s="2" t="s">
        <v>140</v>
      </c>
      <c r="D10" s="13">
        <v>1.1539552</v>
      </c>
      <c r="E10" s="140">
        <v>8.3637175571762992E-2</v>
      </c>
      <c r="F10" s="134">
        <f t="shared" si="0"/>
        <v>1.2504687536643488</v>
      </c>
      <c r="G10" s="60"/>
      <c r="H10" s="229">
        <f>VLOOKUP(A10,'CT Wage Index'!$A$7:$M$36,13,FALSE)</f>
        <v>1.1288138000000001</v>
      </c>
      <c r="I10" s="141">
        <f>VLOOKUP(A10,'IME 2018'!$A$7:$N$35,14,FALSE)</f>
        <v>0.10219988687753338</v>
      </c>
      <c r="J10" s="230">
        <f t="shared" si="1"/>
        <v>1.2441784426657987</v>
      </c>
      <c r="K10" s="60"/>
      <c r="L10" s="13">
        <v>1.1539552</v>
      </c>
      <c r="M10" s="141">
        <v>8.3637175571762992E-2</v>
      </c>
      <c r="N10" s="134">
        <f t="shared" si="2"/>
        <v>1.2504687536643488</v>
      </c>
      <c r="O10" s="60"/>
      <c r="P10" s="13">
        <v>1.1539552</v>
      </c>
      <c r="Q10" s="141">
        <v>8.3637175571762992E-2</v>
      </c>
      <c r="R10" s="142">
        <f t="shared" si="3"/>
        <v>1.2504687536643488</v>
      </c>
    </row>
    <row r="11" spans="1:18">
      <c r="A11" s="72" t="s">
        <v>141</v>
      </c>
      <c r="B11" s="4" t="s">
        <v>48</v>
      </c>
      <c r="C11" s="4" t="s">
        <v>142</v>
      </c>
      <c r="D11" s="77">
        <v>1.2279399999999998</v>
      </c>
      <c r="E11" s="124">
        <v>0.11161532944677556</v>
      </c>
      <c r="F11" s="143">
        <f t="shared" si="0"/>
        <v>1.3649969276408735</v>
      </c>
      <c r="G11" s="60"/>
      <c r="H11" s="231">
        <f>VLOOKUP(A11,'CT Wage Index'!$A$7:$M$36,13,FALSE)</f>
        <v>1.2040120999999999</v>
      </c>
      <c r="I11" s="145">
        <f>VLOOKUP(A11,'IME 2018'!$A$7:$N$35,14,FALSE)</f>
        <v>0.11243632063624634</v>
      </c>
      <c r="J11" s="232">
        <f t="shared" si="1"/>
        <v>1.3393867905255203</v>
      </c>
      <c r="K11" s="60"/>
      <c r="L11" s="144">
        <v>1.2279399999999998</v>
      </c>
      <c r="M11" s="145">
        <v>0.11161532944677556</v>
      </c>
      <c r="N11" s="143">
        <f t="shared" si="2"/>
        <v>1.3649969276408735</v>
      </c>
      <c r="O11" s="60"/>
      <c r="P11" s="144">
        <v>1.2279399999999998</v>
      </c>
      <c r="Q11" s="145">
        <v>0.11161532944677556</v>
      </c>
      <c r="R11" s="143">
        <f t="shared" si="3"/>
        <v>1.3649969276408735</v>
      </c>
    </row>
    <row r="12" spans="1:18">
      <c r="A12" s="36" t="s">
        <v>143</v>
      </c>
      <c r="B12" s="2" t="s">
        <v>39</v>
      </c>
      <c r="C12" s="2" t="s">
        <v>144</v>
      </c>
      <c r="D12" s="13">
        <v>1.1187375999999998</v>
      </c>
      <c r="E12" s="140">
        <v>2.3335745932091092E-3</v>
      </c>
      <c r="F12" s="134">
        <f t="shared" si="0"/>
        <v>1.1213482576398275</v>
      </c>
      <c r="G12" s="60"/>
      <c r="H12" s="229">
        <f>VLOOKUP(A12,'CT Wage Index'!$A$7:$M$36,13,FALSE)</f>
        <v>1.1444544999999997</v>
      </c>
      <c r="I12" s="141">
        <f>VLOOKUP(A12,'IME 2018'!$A$7:$N$35,14,FALSE)</f>
        <v>2.3236570187734175E-3</v>
      </c>
      <c r="J12" s="230">
        <f t="shared" si="1"/>
        <v>1.1471138197315915</v>
      </c>
      <c r="K12" s="60"/>
      <c r="L12" s="13">
        <v>1.1187375999999998</v>
      </c>
      <c r="M12" s="141">
        <v>2.3335745932091092E-3</v>
      </c>
      <c r="N12" s="134">
        <f t="shared" si="2"/>
        <v>1.1213482576398275</v>
      </c>
      <c r="O12" s="60"/>
      <c r="P12" s="13">
        <v>1.1187375999999998</v>
      </c>
      <c r="Q12" s="141">
        <v>2.3335745932091092E-3</v>
      </c>
      <c r="R12" s="142">
        <f t="shared" si="3"/>
        <v>1.1213482576398275</v>
      </c>
    </row>
    <row r="13" spans="1:18">
      <c r="A13" s="36" t="s">
        <v>145</v>
      </c>
      <c r="B13" s="2" t="s">
        <v>38</v>
      </c>
      <c r="C13" s="2" t="s">
        <v>146</v>
      </c>
      <c r="D13" s="13">
        <v>1.1182504</v>
      </c>
      <c r="E13" s="140">
        <v>0</v>
      </c>
      <c r="F13" s="134">
        <f t="shared" si="0"/>
        <v>1.1182504</v>
      </c>
      <c r="G13" s="60"/>
      <c r="H13" s="229">
        <f>VLOOKUP(A13,'CT Wage Index'!$A$7:$M$36,13,FALSE)</f>
        <v>1.1067529</v>
      </c>
      <c r="I13" s="141">
        <f>VLOOKUP(A13,'IME 2018'!$A$7:$N$35,14,FALSE)</f>
        <v>0</v>
      </c>
      <c r="J13" s="230">
        <f t="shared" si="1"/>
        <v>1.1067529</v>
      </c>
      <c r="K13" s="60"/>
      <c r="L13" s="13">
        <v>1.1182504</v>
      </c>
      <c r="M13" s="141">
        <v>0</v>
      </c>
      <c r="N13" s="134">
        <f t="shared" si="2"/>
        <v>1.1182504</v>
      </c>
      <c r="O13" s="60"/>
      <c r="P13" s="13">
        <v>1.1182504</v>
      </c>
      <c r="Q13" s="141">
        <v>0</v>
      </c>
      <c r="R13" s="142">
        <f t="shared" si="3"/>
        <v>1.1182504</v>
      </c>
    </row>
    <row r="14" spans="1:18">
      <c r="A14" s="36" t="s">
        <v>147</v>
      </c>
      <c r="B14" s="2" t="s">
        <v>29</v>
      </c>
      <c r="C14" s="2" t="s">
        <v>148</v>
      </c>
      <c r="D14" s="13">
        <v>1.2279399999999998</v>
      </c>
      <c r="E14" s="140">
        <v>0.15245295312289536</v>
      </c>
      <c r="F14" s="134">
        <f t="shared" si="0"/>
        <v>1.4151430792577278</v>
      </c>
      <c r="G14" s="60"/>
      <c r="H14" s="229">
        <f>VLOOKUP(A14,'CT Wage Index'!$A$7:$M$36,13,FALSE)</f>
        <v>1.2040120999999999</v>
      </c>
      <c r="I14" s="141">
        <f>VLOOKUP(A14,'IME 2018'!$A$7:$N$35,14,FALSE)</f>
        <v>0.15497189915859536</v>
      </c>
      <c r="J14" s="230">
        <f t="shared" si="1"/>
        <v>1.3906001417469285</v>
      </c>
      <c r="K14" s="60"/>
      <c r="L14" s="13">
        <v>1.2279399999999998</v>
      </c>
      <c r="M14" s="141">
        <v>0.15245295312289536</v>
      </c>
      <c r="N14" s="134">
        <f t="shared" si="2"/>
        <v>1.4151430792577278</v>
      </c>
      <c r="O14" s="60"/>
      <c r="P14" s="13">
        <v>1.2279399999999998</v>
      </c>
      <c r="Q14" s="141">
        <v>0.15245295312289536</v>
      </c>
      <c r="R14" s="142">
        <f t="shared" si="3"/>
        <v>1.4151430792577278</v>
      </c>
    </row>
    <row r="15" spans="1:18">
      <c r="A15" s="84" t="s">
        <v>149</v>
      </c>
      <c r="B15" s="5" t="s">
        <v>37</v>
      </c>
      <c r="C15" s="2" t="s">
        <v>150</v>
      </c>
      <c r="D15" s="13">
        <v>1.1182504</v>
      </c>
      <c r="E15" s="140">
        <v>0</v>
      </c>
      <c r="F15" s="134">
        <f t="shared" si="0"/>
        <v>1.1182504</v>
      </c>
      <c r="G15" s="60"/>
      <c r="H15" s="229">
        <f>VLOOKUP(A15,'CT Wage Index'!$A$7:$M$36,13,FALSE)</f>
        <v>1.1067529</v>
      </c>
      <c r="I15" s="141">
        <f>VLOOKUP(A15,'IME 2018'!$A$7:$N$35,14,FALSE)</f>
        <v>0</v>
      </c>
      <c r="J15" s="230">
        <f t="shared" si="1"/>
        <v>1.1067529</v>
      </c>
      <c r="K15" s="60"/>
      <c r="L15" s="13">
        <v>1.1182504</v>
      </c>
      <c r="M15" s="141">
        <v>0</v>
      </c>
      <c r="N15" s="134">
        <f t="shared" si="2"/>
        <v>1.1182504</v>
      </c>
      <c r="O15" s="60"/>
      <c r="P15" s="13">
        <v>1.1182504</v>
      </c>
      <c r="Q15" s="141">
        <v>0</v>
      </c>
      <c r="R15" s="142">
        <f t="shared" si="3"/>
        <v>1.1182504</v>
      </c>
    </row>
    <row r="16" spans="1:18">
      <c r="A16" s="72" t="s">
        <v>151</v>
      </c>
      <c r="B16" s="4" t="s">
        <v>360</v>
      </c>
      <c r="C16" s="4" t="s">
        <v>152</v>
      </c>
      <c r="D16" s="77">
        <v>1.1182504</v>
      </c>
      <c r="E16" s="124">
        <v>6.7293114659538475E-3</v>
      </c>
      <c r="F16" s="143">
        <f t="shared" si="0"/>
        <v>1.1257754552385275</v>
      </c>
      <c r="G16" s="60"/>
      <c r="H16" s="231">
        <f>VLOOKUP(A16,'CT Wage Index'!$A$7:$M$36,13,FALSE)</f>
        <v>1.1067529</v>
      </c>
      <c r="I16" s="145">
        <f>VLOOKUP(A16,'IME 2018'!$A$7:$N$35,14,FALSE)</f>
        <v>6.0905369647312087E-3</v>
      </c>
      <c r="J16" s="232">
        <f t="shared" si="1"/>
        <v>1.1134936194482736</v>
      </c>
      <c r="K16" s="60"/>
      <c r="L16" s="144">
        <v>1.1182504</v>
      </c>
      <c r="M16" s="145">
        <v>6.7293114659538475E-3</v>
      </c>
      <c r="N16" s="143">
        <f t="shared" si="2"/>
        <v>1.1257754552385275</v>
      </c>
      <c r="O16" s="60"/>
      <c r="P16" s="144">
        <v>1.1182504</v>
      </c>
      <c r="Q16" s="145">
        <v>6.7293114659538475E-3</v>
      </c>
      <c r="R16" s="143">
        <f t="shared" si="3"/>
        <v>1.1257754552385275</v>
      </c>
    </row>
    <row r="17" spans="1:18">
      <c r="A17" s="36" t="s">
        <v>153</v>
      </c>
      <c r="B17" s="2" t="s">
        <v>154</v>
      </c>
      <c r="C17" s="2" t="s">
        <v>155</v>
      </c>
      <c r="D17" s="13">
        <v>1.1182504</v>
      </c>
      <c r="E17" s="140">
        <v>0.12261050402732217</v>
      </c>
      <c r="F17" s="134">
        <f t="shared" si="0"/>
        <v>1.2553596451727547</v>
      </c>
      <c r="G17" s="60"/>
      <c r="H17" s="229">
        <f>VLOOKUP(A17,'CT Wage Index'!$A$7:$M$36,13,FALSE)</f>
        <v>1.1067529</v>
      </c>
      <c r="I17" s="141">
        <f>VLOOKUP(A17,'IME 2018'!$A$7:$N$35,14,FALSE)</f>
        <v>0.12462567686053673</v>
      </c>
      <c r="J17" s="230">
        <f t="shared" si="1"/>
        <v>1.2446827292798619</v>
      </c>
      <c r="K17" s="60"/>
      <c r="L17" s="13">
        <v>1.1182504</v>
      </c>
      <c r="M17" s="141">
        <v>0.12261050402732217</v>
      </c>
      <c r="N17" s="134">
        <f t="shared" si="2"/>
        <v>1.2553596451727547</v>
      </c>
      <c r="O17" s="60"/>
      <c r="P17" s="13">
        <v>1.1182504</v>
      </c>
      <c r="Q17" s="141">
        <v>0.12261050402732217</v>
      </c>
      <c r="R17" s="142">
        <f t="shared" si="3"/>
        <v>1.2553596451727547</v>
      </c>
    </row>
    <row r="18" spans="1:18">
      <c r="A18" s="36" t="s">
        <v>156</v>
      </c>
      <c r="B18" s="2" t="s">
        <v>46</v>
      </c>
      <c r="C18" s="2" t="s">
        <v>157</v>
      </c>
      <c r="D18" s="13">
        <v>1.1539552</v>
      </c>
      <c r="E18" s="140">
        <v>0.13806427732664506</v>
      </c>
      <c r="F18" s="134">
        <f t="shared" si="0"/>
        <v>1.3132751907553242</v>
      </c>
      <c r="G18" s="60"/>
      <c r="H18" s="229">
        <f>VLOOKUP(A18,'CT Wage Index'!$A$7:$M$36,13,FALSE)</f>
        <v>1.1288138000000001</v>
      </c>
      <c r="I18" s="141">
        <f>VLOOKUP(A18,'IME 2018'!$A$7:$N$35,14,FALSE)</f>
        <v>0.15107450127913852</v>
      </c>
      <c r="J18" s="230">
        <f t="shared" si="1"/>
        <v>1.2993487818720093</v>
      </c>
      <c r="K18" s="60"/>
      <c r="L18" s="13">
        <v>1.1539552</v>
      </c>
      <c r="M18" s="141">
        <v>0.13806427732664506</v>
      </c>
      <c r="N18" s="134">
        <f t="shared" si="2"/>
        <v>1.3132751907553242</v>
      </c>
      <c r="O18" s="60"/>
      <c r="P18" s="13">
        <v>1.1539552</v>
      </c>
      <c r="Q18" s="141">
        <v>0.13806427732664506</v>
      </c>
      <c r="R18" s="142">
        <f t="shared" si="3"/>
        <v>1.3132751907553242</v>
      </c>
    </row>
    <row r="19" spans="1:18">
      <c r="A19" s="36" t="s">
        <v>158</v>
      </c>
      <c r="B19" s="2" t="s">
        <v>41</v>
      </c>
      <c r="C19" s="2" t="s">
        <v>159</v>
      </c>
      <c r="D19" s="13">
        <v>1.1539552</v>
      </c>
      <c r="E19" s="140">
        <v>0</v>
      </c>
      <c r="F19" s="134">
        <f t="shared" si="0"/>
        <v>1.1539552</v>
      </c>
      <c r="G19" s="60"/>
      <c r="H19" s="229">
        <f>VLOOKUP(A19,'CT Wage Index'!$A$7:$M$36,13,FALSE)</f>
        <v>1.1288138000000001</v>
      </c>
      <c r="I19" s="141">
        <f>VLOOKUP(A19,'IME 2018'!$A$7:$N$35,14,FALSE)</f>
        <v>0</v>
      </c>
      <c r="J19" s="230">
        <f t="shared" si="1"/>
        <v>1.1288138000000001</v>
      </c>
      <c r="K19" s="60"/>
      <c r="L19" s="13">
        <v>1.1539552</v>
      </c>
      <c r="M19" s="141">
        <v>0</v>
      </c>
      <c r="N19" s="134">
        <f t="shared" si="2"/>
        <v>1.1539552</v>
      </c>
      <c r="O19" s="60"/>
      <c r="P19" s="13">
        <v>1.1539552</v>
      </c>
      <c r="Q19" s="141">
        <v>0</v>
      </c>
      <c r="R19" s="142">
        <f t="shared" si="3"/>
        <v>1.1539552</v>
      </c>
    </row>
    <row r="20" spans="1:18">
      <c r="A20" s="36" t="s">
        <v>160</v>
      </c>
      <c r="B20" s="2" t="s">
        <v>33</v>
      </c>
      <c r="C20" s="2" t="s">
        <v>161</v>
      </c>
      <c r="D20" s="13">
        <v>1.2279399999999998</v>
      </c>
      <c r="E20" s="140">
        <v>6.4128378760819865E-2</v>
      </c>
      <c r="F20" s="134">
        <f t="shared" si="0"/>
        <v>1.3066858014155609</v>
      </c>
      <c r="G20" s="60"/>
      <c r="H20" s="229">
        <f>VLOOKUP(A20,'CT Wage Index'!$A$7:$M$36,13,FALSE)</f>
        <v>1.2040120999999999</v>
      </c>
      <c r="I20" s="141">
        <f>VLOOKUP(A20,'IME 2018'!$A$7:$N$35,14,FALSE)</f>
        <v>6.1933134137395852E-2</v>
      </c>
      <c r="J20" s="230">
        <f t="shared" si="1"/>
        <v>1.2785803428923477</v>
      </c>
      <c r="K20" s="60"/>
      <c r="L20" s="13">
        <v>1.2279399999999998</v>
      </c>
      <c r="M20" s="141">
        <v>6.4128378760819865E-2</v>
      </c>
      <c r="N20" s="134">
        <f t="shared" si="2"/>
        <v>1.3066858014155609</v>
      </c>
      <c r="O20" s="60"/>
      <c r="P20" s="13">
        <v>1.2279399999999998</v>
      </c>
      <c r="Q20" s="141">
        <v>6.4128378760819865E-2</v>
      </c>
      <c r="R20" s="142">
        <f t="shared" si="3"/>
        <v>1.3066858014155609</v>
      </c>
    </row>
    <row r="21" spans="1:18">
      <c r="A21" s="72" t="s">
        <v>162</v>
      </c>
      <c r="B21" s="4" t="s">
        <v>42</v>
      </c>
      <c r="C21" s="4" t="s">
        <v>163</v>
      </c>
      <c r="D21" s="77">
        <v>1.1539552</v>
      </c>
      <c r="E21" s="124">
        <v>0</v>
      </c>
      <c r="F21" s="143">
        <f t="shared" si="0"/>
        <v>1.1539552</v>
      </c>
      <c r="G21" s="60"/>
      <c r="H21" s="231">
        <f>VLOOKUP(A21,'CT Wage Index'!$A$7:$M$36,13,FALSE)</f>
        <v>1.1288138000000001</v>
      </c>
      <c r="I21" s="145">
        <f>VLOOKUP(A21,'IME 2018'!$A$7:$N$35,14,FALSE)</f>
        <v>0</v>
      </c>
      <c r="J21" s="232">
        <f t="shared" si="1"/>
        <v>1.1288138000000001</v>
      </c>
      <c r="K21" s="60"/>
      <c r="L21" s="144">
        <v>1.1539552</v>
      </c>
      <c r="M21" s="145">
        <v>0</v>
      </c>
      <c r="N21" s="143">
        <f t="shared" si="2"/>
        <v>1.1539552</v>
      </c>
      <c r="O21" s="60"/>
      <c r="P21" s="144">
        <v>1.1539552</v>
      </c>
      <c r="Q21" s="145">
        <v>0</v>
      </c>
      <c r="R21" s="143">
        <f t="shared" si="3"/>
        <v>1.1539552</v>
      </c>
    </row>
    <row r="22" spans="1:18">
      <c r="A22" s="36" t="s">
        <v>164</v>
      </c>
      <c r="B22" s="2" t="s">
        <v>40</v>
      </c>
      <c r="C22" s="2" t="s">
        <v>165</v>
      </c>
      <c r="D22" s="13">
        <v>1.1182504</v>
      </c>
      <c r="E22" s="140">
        <v>5.6282751421275014E-2</v>
      </c>
      <c r="F22" s="134">
        <f t="shared" si="0"/>
        <v>1.1811886092899413</v>
      </c>
      <c r="G22" s="60"/>
      <c r="H22" s="229">
        <f>VLOOKUP(A22,'CT Wage Index'!$A$7:$M$36,13,FALSE)</f>
        <v>1.1067529</v>
      </c>
      <c r="I22" s="141">
        <f>VLOOKUP(A22,'IME 2018'!$A$7:$N$35,14,FALSE)</f>
        <v>5.8640769059641142E-2</v>
      </c>
      <c r="J22" s="230">
        <f t="shared" si="1"/>
        <v>1.1716537412149881</v>
      </c>
      <c r="K22" s="60"/>
      <c r="L22" s="13">
        <v>1.1182504</v>
      </c>
      <c r="M22" s="141">
        <v>5.6282751421275014E-2</v>
      </c>
      <c r="N22" s="134">
        <f t="shared" si="2"/>
        <v>1.1811886092899413</v>
      </c>
      <c r="O22" s="60"/>
      <c r="P22" s="13">
        <v>1.1182504</v>
      </c>
      <c r="Q22" s="141">
        <v>5.6282751421275014E-2</v>
      </c>
      <c r="R22" s="142">
        <f t="shared" si="3"/>
        <v>1.1811886092899413</v>
      </c>
    </row>
    <row r="23" spans="1:18">
      <c r="A23" s="36" t="s">
        <v>166</v>
      </c>
      <c r="B23" s="2" t="s">
        <v>49</v>
      </c>
      <c r="C23" s="2" t="s">
        <v>167</v>
      </c>
      <c r="D23" s="13">
        <v>1.1182504</v>
      </c>
      <c r="E23" s="140">
        <v>0</v>
      </c>
      <c r="F23" s="134">
        <f t="shared" si="0"/>
        <v>1.1182504</v>
      </c>
      <c r="G23" s="60"/>
      <c r="H23" s="229">
        <f>VLOOKUP(A23,'CT Wage Index'!$A$7:$M$36,13,FALSE)</f>
        <v>1.1262866999999999</v>
      </c>
      <c r="I23" s="141">
        <f>VLOOKUP(A23,'IME 2018'!$A$7:$N$35,14,FALSE)</f>
        <v>0</v>
      </c>
      <c r="J23" s="230">
        <f t="shared" si="1"/>
        <v>1.1262866999999999</v>
      </c>
      <c r="K23" s="60"/>
      <c r="L23" s="13">
        <v>1.1182504</v>
      </c>
      <c r="M23" s="141">
        <v>0</v>
      </c>
      <c r="N23" s="134">
        <f t="shared" si="2"/>
        <v>1.1182504</v>
      </c>
      <c r="O23" s="60"/>
      <c r="P23" s="13">
        <v>1.1182504</v>
      </c>
      <c r="Q23" s="141">
        <v>0</v>
      </c>
      <c r="R23" s="142">
        <f t="shared" si="3"/>
        <v>1.1182504</v>
      </c>
    </row>
    <row r="24" spans="1:18">
      <c r="A24" s="36" t="s">
        <v>168</v>
      </c>
      <c r="B24" s="2" t="s">
        <v>50</v>
      </c>
      <c r="C24" s="2" t="s">
        <v>169</v>
      </c>
      <c r="D24" s="13">
        <v>1.1539552</v>
      </c>
      <c r="E24" s="140">
        <v>0.27838713132843718</v>
      </c>
      <c r="F24" s="134">
        <f t="shared" si="0"/>
        <v>1.475201477809533</v>
      </c>
      <c r="G24" s="60"/>
      <c r="H24" s="229">
        <f>VLOOKUP(A24,'CT Wage Index'!$A$7:$M$36,13,FALSE)</f>
        <v>1.1288138000000001</v>
      </c>
      <c r="I24" s="141">
        <f>VLOOKUP(A24,'IME 2018'!$A$7:$N$35,14,FALSE)</f>
        <v>0.26230207365777336</v>
      </c>
      <c r="J24" s="230">
        <f t="shared" si="1"/>
        <v>1.424904000513511</v>
      </c>
      <c r="K24" s="60"/>
      <c r="L24" s="13">
        <v>1.1539552</v>
      </c>
      <c r="M24" s="141">
        <v>0.27838713132843718</v>
      </c>
      <c r="N24" s="134">
        <f t="shared" si="2"/>
        <v>1.475201477809533</v>
      </c>
      <c r="O24" s="60"/>
      <c r="P24" s="13">
        <v>1.1539552</v>
      </c>
      <c r="Q24" s="141">
        <v>0.27838713132843718</v>
      </c>
      <c r="R24" s="142">
        <f t="shared" si="3"/>
        <v>1.475201477809533</v>
      </c>
    </row>
    <row r="25" spans="1:18">
      <c r="A25" s="36" t="s">
        <v>170</v>
      </c>
      <c r="B25" s="2" t="s">
        <v>28</v>
      </c>
      <c r="C25" s="2" t="s">
        <v>171</v>
      </c>
      <c r="D25" s="13">
        <v>1.1187375999999998</v>
      </c>
      <c r="E25" s="140">
        <v>0</v>
      </c>
      <c r="F25" s="134">
        <f t="shared" si="0"/>
        <v>1.1187375999999998</v>
      </c>
      <c r="G25" s="60"/>
      <c r="H25" s="229">
        <f>VLOOKUP(A25,'CT Wage Index'!$A$7:$M$36,13,FALSE)</f>
        <v>1.1444544999999997</v>
      </c>
      <c r="I25" s="141">
        <f>VLOOKUP(A25,'IME 2018'!$A$7:$N$35,14,FALSE)</f>
        <v>0</v>
      </c>
      <c r="J25" s="230">
        <f t="shared" si="1"/>
        <v>1.1444544999999997</v>
      </c>
      <c r="K25" s="60"/>
      <c r="L25" s="13">
        <v>1.1187375999999998</v>
      </c>
      <c r="M25" s="141">
        <v>0</v>
      </c>
      <c r="N25" s="134">
        <f t="shared" si="2"/>
        <v>1.1187375999999998</v>
      </c>
      <c r="O25" s="60"/>
      <c r="P25" s="13">
        <v>1.1187375999999998</v>
      </c>
      <c r="Q25" s="141">
        <v>0</v>
      </c>
      <c r="R25" s="142">
        <f t="shared" si="3"/>
        <v>1.1187375999999998</v>
      </c>
    </row>
    <row r="26" spans="1:18">
      <c r="A26" s="72" t="s">
        <v>172</v>
      </c>
      <c r="B26" s="4" t="s">
        <v>35</v>
      </c>
      <c r="C26" s="4" t="s">
        <v>173</v>
      </c>
      <c r="D26" s="77">
        <v>1.1182504</v>
      </c>
      <c r="E26" s="124">
        <v>0.16568658044275578</v>
      </c>
      <c r="F26" s="143">
        <f t="shared" si="0"/>
        <v>1.3035294848547438</v>
      </c>
      <c r="G26" s="60"/>
      <c r="H26" s="231">
        <f>VLOOKUP(A26,'CT Wage Index'!$A$7:$M$36,13,FALSE)</f>
        <v>1.1067529</v>
      </c>
      <c r="I26" s="145">
        <f>VLOOKUP(A26,'IME 2018'!$A$7:$N$35,14,FALSE)</f>
        <v>0.16372306228495034</v>
      </c>
      <c r="J26" s="232">
        <f t="shared" si="1"/>
        <v>1.2879538739807495</v>
      </c>
      <c r="K26" s="60"/>
      <c r="L26" s="144">
        <v>1.1182504</v>
      </c>
      <c r="M26" s="145">
        <v>0.16568658044275578</v>
      </c>
      <c r="N26" s="143">
        <f t="shared" si="2"/>
        <v>1.3035294848547438</v>
      </c>
      <c r="O26" s="60"/>
      <c r="P26" s="144">
        <v>1.1182504</v>
      </c>
      <c r="Q26" s="145">
        <v>0.16568658044275578</v>
      </c>
      <c r="R26" s="143">
        <f t="shared" si="3"/>
        <v>1.3035294848547438</v>
      </c>
    </row>
    <row r="27" spans="1:18">
      <c r="A27" s="36" t="s">
        <v>174</v>
      </c>
      <c r="B27" s="2" t="s">
        <v>361</v>
      </c>
      <c r="C27" s="2" t="s">
        <v>175</v>
      </c>
      <c r="D27" s="13">
        <v>1.1182504</v>
      </c>
      <c r="E27" s="140">
        <v>7.3140130580401835E-2</v>
      </c>
      <c r="F27" s="134">
        <f t="shared" si="0"/>
        <v>1.2000393802775866</v>
      </c>
      <c r="G27" s="60"/>
      <c r="H27" s="229">
        <f>VLOOKUP(A27,'CT Wage Index'!$A$7:$M$36,13,FALSE)</f>
        <v>1.1067529</v>
      </c>
      <c r="I27" s="141">
        <f>VLOOKUP(A27,'IME 2018'!$A$7:$N$35,14,FALSE)</f>
        <v>8.2201832479331022E-2</v>
      </c>
      <c r="J27" s="230">
        <f t="shared" si="1"/>
        <v>1.1977300164818139</v>
      </c>
      <c r="K27" s="60"/>
      <c r="L27" s="13">
        <v>1.1182504</v>
      </c>
      <c r="M27" s="141">
        <v>7.3140130580401835E-2</v>
      </c>
      <c r="N27" s="134">
        <f t="shared" si="2"/>
        <v>1.2000393802775866</v>
      </c>
      <c r="O27" s="60"/>
      <c r="P27" s="13">
        <v>1.1182504</v>
      </c>
      <c r="Q27" s="141">
        <v>7.3140130580401835E-2</v>
      </c>
      <c r="R27" s="142">
        <f t="shared" si="3"/>
        <v>1.2000393802775866</v>
      </c>
    </row>
    <row r="28" spans="1:18">
      <c r="A28" s="36" t="s">
        <v>176</v>
      </c>
      <c r="B28" s="2" t="s">
        <v>47</v>
      </c>
      <c r="C28" s="2" t="s">
        <v>177</v>
      </c>
      <c r="D28" s="13">
        <v>1.2279399999999998</v>
      </c>
      <c r="E28" s="140">
        <v>7.1941802549488842E-2</v>
      </c>
      <c r="F28" s="134">
        <f t="shared" si="0"/>
        <v>1.3162802170226191</v>
      </c>
      <c r="G28" s="60"/>
      <c r="H28" s="229">
        <f>VLOOKUP(A28,'CT Wage Index'!$A$7:$M$36,13,FALSE)</f>
        <v>1.2040120999999999</v>
      </c>
      <c r="I28" s="141">
        <f>VLOOKUP(A28,'IME 2018'!$A$7:$N$35,14,FALSE)</f>
        <v>8.0654562894914295E-2</v>
      </c>
      <c r="J28" s="230">
        <f t="shared" si="1"/>
        <v>1.3011211696456877</v>
      </c>
      <c r="K28" s="60"/>
      <c r="L28" s="13">
        <v>1.2279399999999998</v>
      </c>
      <c r="M28" s="141">
        <v>7.1941802549488842E-2</v>
      </c>
      <c r="N28" s="134">
        <f t="shared" si="2"/>
        <v>1.3162802170226191</v>
      </c>
      <c r="O28" s="60"/>
      <c r="P28" s="13">
        <v>1.2279399999999998</v>
      </c>
      <c r="Q28" s="141">
        <v>7.1941802549488842E-2</v>
      </c>
      <c r="R28" s="142">
        <f t="shared" si="3"/>
        <v>1.3162802170226191</v>
      </c>
    </row>
    <row r="29" spans="1:18">
      <c r="A29" s="36" t="s">
        <v>178</v>
      </c>
      <c r="B29" s="2" t="s">
        <v>30</v>
      </c>
      <c r="C29" s="2" t="s">
        <v>179</v>
      </c>
      <c r="D29" s="13">
        <v>1.1182504</v>
      </c>
      <c r="E29" s="140">
        <v>0</v>
      </c>
      <c r="F29" s="134">
        <f t="shared" si="0"/>
        <v>1.1182504</v>
      </c>
      <c r="G29" s="60"/>
      <c r="H29" s="229">
        <f>VLOOKUP(A29,'CT Wage Index'!$A$7:$M$36,13,FALSE)</f>
        <v>1.1067529</v>
      </c>
      <c r="I29" s="141">
        <f>VLOOKUP(A29,'IME 2018'!$A$7:$N$35,14,FALSE)</f>
        <v>0</v>
      </c>
      <c r="J29" s="230">
        <f t="shared" si="1"/>
        <v>1.1067529</v>
      </c>
      <c r="K29" s="60"/>
      <c r="L29" s="13">
        <v>1.1182504</v>
      </c>
      <c r="M29" s="141">
        <v>0</v>
      </c>
      <c r="N29" s="134">
        <f t="shared" si="2"/>
        <v>1.1182504</v>
      </c>
      <c r="O29" s="60"/>
      <c r="P29" s="13">
        <v>1.1182504</v>
      </c>
      <c r="Q29" s="141">
        <v>0</v>
      </c>
      <c r="R29" s="142">
        <f t="shared" si="3"/>
        <v>1.1182504</v>
      </c>
    </row>
    <row r="30" spans="1:18">
      <c r="A30" s="36" t="s">
        <v>180</v>
      </c>
      <c r="B30" s="2" t="s">
        <v>34</v>
      </c>
      <c r="C30" s="2" t="s">
        <v>181</v>
      </c>
      <c r="D30" s="13">
        <v>1.1539552</v>
      </c>
      <c r="E30" s="140">
        <v>0.13802716868977133</v>
      </c>
      <c r="F30" s="134">
        <f t="shared" si="0"/>
        <v>1.3132323690508387</v>
      </c>
      <c r="G30" s="60"/>
      <c r="H30" s="229">
        <f>VLOOKUP(A30,'CT Wage Index'!$A$7:$M$36,13,FALSE)</f>
        <v>1.1288138000000001</v>
      </c>
      <c r="I30" s="141">
        <f>VLOOKUP(A30,'IME 2018'!$A$7:$N$35,14,FALSE)</f>
        <v>0.1255974443735775</v>
      </c>
      <c r="J30" s="230">
        <f t="shared" si="1"/>
        <v>1.2705899284536266</v>
      </c>
      <c r="K30" s="60"/>
      <c r="L30" s="13">
        <v>1.1539552</v>
      </c>
      <c r="M30" s="141">
        <v>0.13802716868977133</v>
      </c>
      <c r="N30" s="134">
        <f t="shared" si="2"/>
        <v>1.3132323690508387</v>
      </c>
      <c r="O30" s="60"/>
      <c r="P30" s="13">
        <v>1.1539552</v>
      </c>
      <c r="Q30" s="141">
        <v>0.13802716868977133</v>
      </c>
      <c r="R30" s="142">
        <f t="shared" si="3"/>
        <v>1.3132323690508387</v>
      </c>
    </row>
    <row r="31" spans="1:18">
      <c r="A31" s="72" t="s">
        <v>182</v>
      </c>
      <c r="B31" s="4" t="s">
        <v>31</v>
      </c>
      <c r="C31" s="4" t="s">
        <v>183</v>
      </c>
      <c r="D31" s="77">
        <v>1.2279399999999998</v>
      </c>
      <c r="E31" s="124">
        <v>0.12261050402732217</v>
      </c>
      <c r="F31" s="143">
        <f t="shared" si="0"/>
        <v>1.3784983423153099</v>
      </c>
      <c r="G31" s="60"/>
      <c r="H31" s="231">
        <f>VLOOKUP(A31,'CT Wage Index'!$A$7:$M$36,13,FALSE)</f>
        <v>1.2040120999999999</v>
      </c>
      <c r="I31" s="145">
        <f>VLOOKUP(A31,'IME 2018'!$A$7:$N$35,14,FALSE)</f>
        <v>0.12462567686053673</v>
      </c>
      <c r="J31" s="232">
        <f t="shared" si="1"/>
        <v>1.3540629229107761</v>
      </c>
      <c r="K31" s="60"/>
      <c r="L31" s="144">
        <v>1.2279399999999998</v>
      </c>
      <c r="M31" s="145">
        <v>0.12261050402732217</v>
      </c>
      <c r="N31" s="143">
        <f t="shared" si="2"/>
        <v>1.3784983423153099</v>
      </c>
      <c r="O31" s="60"/>
      <c r="P31" s="144">
        <v>1.2279399999999998</v>
      </c>
      <c r="Q31" s="145">
        <v>0.12261050402732217</v>
      </c>
      <c r="R31" s="143">
        <f t="shared" si="3"/>
        <v>1.3784983423153099</v>
      </c>
    </row>
    <row r="32" spans="1:18">
      <c r="A32" s="36" t="s">
        <v>184</v>
      </c>
      <c r="B32" s="2" t="s">
        <v>43</v>
      </c>
      <c r="C32" s="2" t="s">
        <v>185</v>
      </c>
      <c r="D32" s="13">
        <v>1.2279399999999998</v>
      </c>
      <c r="E32" s="140">
        <v>0.10496640768460958</v>
      </c>
      <c r="F32" s="134">
        <f t="shared" si="0"/>
        <v>1.3568324506522391</v>
      </c>
      <c r="G32" s="60"/>
      <c r="H32" s="229">
        <f>VLOOKUP(A32,'CT Wage Index'!$A$7:$M$36,13,FALSE)</f>
        <v>1.2040120999999999</v>
      </c>
      <c r="I32" s="141">
        <f>VLOOKUP(A32,'IME 2018'!$A$7:$N$35,14,FALSE)</f>
        <v>0.1015709534794892</v>
      </c>
      <c r="J32" s="230">
        <f t="shared" si="1"/>
        <v>1.3263047569978421</v>
      </c>
      <c r="K32" s="60"/>
      <c r="L32" s="13">
        <v>1.2279399999999998</v>
      </c>
      <c r="M32" s="141">
        <v>0.10496640768460958</v>
      </c>
      <c r="N32" s="134">
        <f t="shared" si="2"/>
        <v>1.3568324506522391</v>
      </c>
      <c r="O32" s="60"/>
      <c r="P32" s="13">
        <v>1.2279399999999998</v>
      </c>
      <c r="Q32" s="141">
        <v>0.10496640768460958</v>
      </c>
      <c r="R32" s="142">
        <f t="shared" si="3"/>
        <v>1.3568324506522391</v>
      </c>
    </row>
    <row r="33" spans="1:18">
      <c r="A33" s="36" t="s">
        <v>186</v>
      </c>
      <c r="B33" s="2" t="s">
        <v>36</v>
      </c>
      <c r="C33" s="2" t="s">
        <v>187</v>
      </c>
      <c r="D33" s="13">
        <v>1.1182504</v>
      </c>
      <c r="E33" s="140">
        <v>7.7605601604617547E-2</v>
      </c>
      <c r="F33" s="134">
        <f t="shared" si="0"/>
        <v>1.2050328950366043</v>
      </c>
      <c r="G33" s="60"/>
      <c r="H33" s="229">
        <f>VLOOKUP(A33,'CT Wage Index'!$A$7:$M$36,13,FALSE)</f>
        <v>1.1067529</v>
      </c>
      <c r="I33" s="141">
        <f>VLOOKUP(A33,'IME 2018'!$A$7:$N$35,14,FALSE)</f>
        <v>8.5777414941812402E-2</v>
      </c>
      <c r="J33" s="230">
        <f t="shared" si="1"/>
        <v>1.2016873027413544</v>
      </c>
      <c r="K33" s="60"/>
      <c r="L33" s="13">
        <v>1.1182504</v>
      </c>
      <c r="M33" s="141">
        <v>7.7605601604617547E-2</v>
      </c>
      <c r="N33" s="134">
        <f t="shared" si="2"/>
        <v>1.2050328950366043</v>
      </c>
      <c r="O33" s="60"/>
      <c r="P33" s="13">
        <v>1.1182504</v>
      </c>
      <c r="Q33" s="141">
        <v>7.7605601604617547E-2</v>
      </c>
      <c r="R33" s="142">
        <f t="shared" si="3"/>
        <v>1.2050328950366043</v>
      </c>
    </row>
    <row r="34" spans="1:18">
      <c r="A34" s="36" t="s">
        <v>192</v>
      </c>
      <c r="B34" s="2" t="s">
        <v>193</v>
      </c>
      <c r="C34" s="2" t="s">
        <v>194</v>
      </c>
      <c r="D34" s="146">
        <v>1.1182504</v>
      </c>
      <c r="E34" s="140">
        <v>0.53951510070422448</v>
      </c>
      <c r="F34" s="134">
        <f t="shared" si="0"/>
        <v>1.7215633771685392</v>
      </c>
      <c r="G34" s="60"/>
      <c r="H34" s="229">
        <f>VLOOKUP(A34,'CT Wage Index'!$A$7:$M$36,13,FALSE)</f>
        <v>1.1067529</v>
      </c>
      <c r="I34" s="141">
        <f>VLOOKUP(A34,'IME 2018'!$A$7:$N$35,14,FALSE)</f>
        <v>0.58008416500076243</v>
      </c>
      <c r="J34" s="230">
        <f t="shared" si="1"/>
        <v>1.7487627318586725</v>
      </c>
      <c r="K34" s="60"/>
      <c r="L34" s="13">
        <v>1.1182504</v>
      </c>
      <c r="M34" s="141">
        <v>0.53951510070422448</v>
      </c>
      <c r="N34" s="134">
        <f t="shared" si="2"/>
        <v>1.7215633771685392</v>
      </c>
      <c r="O34" s="60"/>
      <c r="P34" s="13">
        <v>1.1182504</v>
      </c>
      <c r="Q34" s="141">
        <v>0.53951510070422448</v>
      </c>
      <c r="R34" s="142">
        <f t="shared" si="3"/>
        <v>1.7215633771685392</v>
      </c>
    </row>
    <row r="35" spans="1:18">
      <c r="A35" s="72" t="s">
        <v>189</v>
      </c>
      <c r="B35" s="4" t="s">
        <v>190</v>
      </c>
      <c r="C35" s="4" t="s">
        <v>226</v>
      </c>
      <c r="D35" s="77">
        <v>1.1182504</v>
      </c>
      <c r="E35" s="124">
        <v>0.21510115994878662</v>
      </c>
      <c r="F35" s="143">
        <f t="shared" si="0"/>
        <v>1.3587873581531946</v>
      </c>
      <c r="G35" s="41"/>
      <c r="H35" s="231">
        <f>VLOOKUP(A35,'CT Wage Index'!$A$7:$M$36,13,FALSE)</f>
        <v>1.1067529</v>
      </c>
      <c r="I35" s="145">
        <f>VLOOKUP(A35,'IME 2018'!$A$7:$N$35,14,FALSE)</f>
        <v>0.22859224392863225</v>
      </c>
      <c r="J35" s="232">
        <f t="shared" si="1"/>
        <v>1.3597480288855213</v>
      </c>
      <c r="K35" s="41"/>
      <c r="L35" s="144">
        <v>1.1182504</v>
      </c>
      <c r="M35" s="145">
        <v>0.21510115994878662</v>
      </c>
      <c r="N35" s="143">
        <f t="shared" si="2"/>
        <v>1.3587873581531946</v>
      </c>
      <c r="O35" s="41"/>
      <c r="P35" s="144">
        <v>1.1182504</v>
      </c>
      <c r="Q35" s="145">
        <v>0.21510115994878662</v>
      </c>
      <c r="R35" s="143">
        <f t="shared" si="3"/>
        <v>1.3587873581531946</v>
      </c>
    </row>
    <row r="36" spans="1:18">
      <c r="E36" s="125"/>
      <c r="H36" s="243"/>
      <c r="I36" s="243"/>
      <c r="J36" s="6"/>
      <c r="M36" s="125"/>
      <c r="Q36" s="125"/>
    </row>
    <row r="37" spans="1:18">
      <c r="A37" s="2"/>
      <c r="B37" s="2"/>
      <c r="C37" s="2"/>
      <c r="D37" s="2"/>
      <c r="H37" s="233"/>
      <c r="I37" s="6"/>
      <c r="J37" s="6"/>
    </row>
    <row r="38" spans="1:18">
      <c r="A38" s="2"/>
      <c r="B38" s="2"/>
      <c r="C38" s="2"/>
      <c r="D38" s="2"/>
      <c r="H38" s="244"/>
      <c r="I38" s="6"/>
      <c r="J38" s="6"/>
    </row>
    <row r="39" spans="1:18">
      <c r="A39" s="2"/>
      <c r="B39" s="2"/>
      <c r="C39" s="2"/>
      <c r="D39" s="2"/>
      <c r="H39" s="234"/>
      <c r="I39" s="6"/>
      <c r="J39" s="6"/>
    </row>
    <row r="40" spans="1:18" s="2" customFormat="1">
      <c r="F40" s="147"/>
      <c r="G40" s="147"/>
      <c r="H40" s="5"/>
      <c r="I40" s="5"/>
      <c r="J40" s="5"/>
    </row>
    <row r="41" spans="1:18" s="2" customFormat="1">
      <c r="F41" s="147"/>
      <c r="G41" s="147"/>
      <c r="I41" s="2" t="s">
        <v>57</v>
      </c>
    </row>
    <row r="42" spans="1:18" s="2" customFormat="1">
      <c r="F42" s="147"/>
      <c r="G42" s="147"/>
      <c r="L42" s="274"/>
      <c r="M42" s="274"/>
    </row>
    <row r="43" spans="1:18" s="2" customFormat="1">
      <c r="F43" s="147"/>
      <c r="G43" s="147"/>
    </row>
    <row r="44" spans="1:18" s="2" customFormat="1">
      <c r="F44" s="147"/>
      <c r="G44" s="147"/>
    </row>
    <row r="45" spans="1:18" s="2" customFormat="1">
      <c r="F45" s="147"/>
      <c r="G45" s="147"/>
    </row>
    <row r="69" spans="21:23">
      <c r="U69" s="123"/>
      <c r="V69" s="123"/>
    </row>
    <row r="70" spans="21:23">
      <c r="W70" s="102"/>
    </row>
    <row r="85" spans="2:7">
      <c r="B85" s="123"/>
      <c r="C85" s="123"/>
    </row>
    <row r="96" spans="2:7">
      <c r="F96" s="7"/>
      <c r="G96" s="7"/>
    </row>
    <row r="97" spans="6:7">
      <c r="F97" s="7"/>
      <c r="G97" s="7"/>
    </row>
    <row r="98" spans="6:7">
      <c r="F98" s="7"/>
      <c r="G98" s="7"/>
    </row>
    <row r="99" spans="6:7">
      <c r="F99" s="7"/>
      <c r="G99" s="7"/>
    </row>
    <row r="100" spans="6:7">
      <c r="F100" s="7"/>
      <c r="G100" s="7"/>
    </row>
    <row r="101" spans="6:7">
      <c r="F101" s="7"/>
      <c r="G101" s="7"/>
    </row>
    <row r="102" spans="6:7">
      <c r="F102" s="7"/>
      <c r="G102" s="7"/>
    </row>
    <row r="103" spans="6:7">
      <c r="F103" s="7"/>
      <c r="G103" s="7"/>
    </row>
    <row r="104" spans="6:7">
      <c r="F104" s="7"/>
      <c r="G104" s="7"/>
    </row>
    <row r="105" spans="6:7">
      <c r="F105" s="7"/>
      <c r="G105" s="7"/>
    </row>
    <row r="106" spans="6:7">
      <c r="F106" s="7"/>
      <c r="G106" s="7"/>
    </row>
    <row r="107" spans="6:7">
      <c r="F107" s="7"/>
      <c r="G107" s="7"/>
    </row>
    <row r="108" spans="6:7">
      <c r="F108" s="7"/>
      <c r="G108" s="7"/>
    </row>
    <row r="109" spans="6:7">
      <c r="F109" s="7"/>
      <c r="G109" s="7"/>
    </row>
    <row r="110" spans="6:7">
      <c r="F110" s="7"/>
      <c r="G110" s="7"/>
    </row>
    <row r="111" spans="6:7">
      <c r="F111" s="7"/>
      <c r="G111" s="7"/>
    </row>
  </sheetData>
  <mergeCells count="1">
    <mergeCell ref="L42:M42"/>
  </mergeCells>
  <pageMargins left="0.245" right="0.245" top="0.75" bottom="0.75" header="0.3" footer="0.3"/>
  <pageSetup scale="64" orientation="landscape" r:id="rId1"/>
  <headerFooter>
    <oddHeader>&amp;R&amp;P of &amp;N</oddHeader>
    <oddFooter>&amp;C&amp;Z&amp;F  (&amp;A)</oddFooter>
  </headerFooter>
  <rowBreaks count="2" manualBreakCount="2">
    <brk id="41" max="16383" man="1"/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zoomScaleNormal="100" workbookViewId="0">
      <selection activeCell="G16" sqref="G16"/>
    </sheetView>
  </sheetViews>
  <sheetFormatPr defaultRowHeight="15"/>
  <cols>
    <col min="1" max="1" width="10" style="7" customWidth="1"/>
    <col min="2" max="2" width="10.5703125" style="7" customWidth="1"/>
    <col min="3" max="3" width="22.140625" style="7" customWidth="1"/>
    <col min="4" max="4" width="19.140625" style="7" bestFit="1" customWidth="1"/>
    <col min="5" max="5" width="11.140625" style="7" customWidth="1"/>
    <col min="6" max="6" width="29.5703125" style="7" customWidth="1"/>
    <col min="7" max="7" width="8.85546875" style="7" customWidth="1"/>
    <col min="8" max="8" width="12.85546875" style="7" customWidth="1"/>
    <col min="9" max="9" width="15.7109375" style="7" customWidth="1"/>
    <col min="10" max="10" width="1.7109375" style="7" customWidth="1"/>
    <col min="11" max="11" width="9" style="7" bestFit="1" customWidth="1"/>
    <col min="12" max="12" width="12.7109375" style="7" customWidth="1"/>
    <col min="13" max="13" width="15.7109375" style="7" customWidth="1"/>
    <col min="14" max="14" width="1.7109375" style="7" customWidth="1"/>
    <col min="15" max="15" width="8" style="7" bestFit="1" customWidth="1"/>
    <col min="16" max="16" width="12.5703125" style="7" customWidth="1"/>
    <col min="17" max="17" width="15.7109375" style="7" customWidth="1"/>
    <col min="18" max="18" width="1.7109375" style="7" customWidth="1"/>
    <col min="19" max="19" width="8" style="7" bestFit="1" customWidth="1"/>
    <col min="20" max="20" width="12.42578125" style="7" customWidth="1"/>
    <col min="21" max="21" width="15.7109375" style="7" customWidth="1"/>
    <col min="22" max="16384" width="9.140625" style="7"/>
  </cols>
  <sheetData>
    <row r="1" spans="1:21" ht="18.75" thickBot="1">
      <c r="A1" s="12" t="s">
        <v>52</v>
      </c>
      <c r="G1" s="6"/>
      <c r="H1" s="6"/>
      <c r="I1" s="6"/>
      <c r="J1" s="6"/>
      <c r="K1" s="6"/>
      <c r="L1" s="180"/>
      <c r="M1" s="181"/>
    </row>
    <row r="2" spans="1:21" ht="16.5" thickBot="1">
      <c r="A2" s="17" t="s">
        <v>250</v>
      </c>
      <c r="E2" s="7" t="s">
        <v>57</v>
      </c>
      <c r="K2" s="7" t="s">
        <v>251</v>
      </c>
      <c r="M2" s="182">
        <v>0.68300000000000005</v>
      </c>
      <c r="O2" s="7" t="s">
        <v>252</v>
      </c>
      <c r="Q2" s="182">
        <v>0.69599999999999995</v>
      </c>
      <c r="S2" s="7" t="s">
        <v>253</v>
      </c>
      <c r="U2" s="182">
        <v>0.69599999999999995</v>
      </c>
    </row>
    <row r="3" spans="1:21" ht="15.75">
      <c r="A3" s="17" t="s">
        <v>364</v>
      </c>
      <c r="F3" s="7" t="s">
        <v>57</v>
      </c>
      <c r="P3" s="7" t="s">
        <v>358</v>
      </c>
    </row>
    <row r="4" spans="1:21">
      <c r="G4" s="275">
        <v>2017</v>
      </c>
      <c r="H4" s="276"/>
      <c r="I4" s="277"/>
      <c r="K4" s="275">
        <v>2018</v>
      </c>
      <c r="L4" s="276"/>
      <c r="M4" s="277"/>
      <c r="O4" s="275">
        <v>2019</v>
      </c>
      <c r="P4" s="276"/>
      <c r="Q4" s="277"/>
      <c r="S4" s="275">
        <v>2020</v>
      </c>
      <c r="T4" s="276"/>
      <c r="U4" s="277"/>
    </row>
    <row r="5" spans="1:21" ht="43.9" customHeight="1">
      <c r="A5" s="183" t="s">
        <v>72</v>
      </c>
      <c r="B5" s="184" t="s">
        <v>73</v>
      </c>
      <c r="C5" s="184" t="s">
        <v>229</v>
      </c>
      <c r="D5" s="184" t="s">
        <v>254</v>
      </c>
      <c r="E5" s="185" t="s">
        <v>362</v>
      </c>
      <c r="F5" s="185" t="s">
        <v>255</v>
      </c>
      <c r="G5" s="186" t="s">
        <v>256</v>
      </c>
      <c r="H5" s="186" t="s">
        <v>363</v>
      </c>
      <c r="I5" s="187" t="s">
        <v>257</v>
      </c>
      <c r="J5" s="188"/>
      <c r="K5" s="185" t="s">
        <v>256</v>
      </c>
      <c r="L5" s="185" t="s">
        <v>363</v>
      </c>
      <c r="M5" s="189" t="s">
        <v>258</v>
      </c>
      <c r="N5" s="188"/>
      <c r="O5" s="185" t="s">
        <v>256</v>
      </c>
      <c r="P5" s="185" t="s">
        <v>363</v>
      </c>
      <c r="Q5" s="185" t="s">
        <v>259</v>
      </c>
      <c r="R5" s="188"/>
      <c r="S5" s="185" t="s">
        <v>256</v>
      </c>
      <c r="T5" s="185" t="s">
        <v>363</v>
      </c>
      <c r="U5" s="189" t="s">
        <v>260</v>
      </c>
    </row>
    <row r="6" spans="1:21" s="3" customFormat="1">
      <c r="A6" s="190" t="s">
        <v>102</v>
      </c>
      <c r="B6" s="191" t="s">
        <v>103</v>
      </c>
      <c r="C6" s="191" t="s">
        <v>104</v>
      </c>
      <c r="D6" s="191" t="s">
        <v>105</v>
      </c>
      <c r="E6" s="192" t="s">
        <v>106</v>
      </c>
      <c r="F6" s="192" t="s">
        <v>107</v>
      </c>
      <c r="G6" s="192" t="s">
        <v>108</v>
      </c>
      <c r="H6" s="192" t="s">
        <v>202</v>
      </c>
      <c r="I6" s="193" t="s">
        <v>261</v>
      </c>
      <c r="J6" s="194"/>
      <c r="K6" s="192" t="s">
        <v>204</v>
      </c>
      <c r="L6" s="192" t="s">
        <v>111</v>
      </c>
      <c r="M6" s="193" t="s">
        <v>262</v>
      </c>
      <c r="N6" s="194"/>
      <c r="O6" s="192" t="s">
        <v>113</v>
      </c>
      <c r="P6" s="192" t="s">
        <v>263</v>
      </c>
      <c r="Q6" s="192" t="s">
        <v>264</v>
      </c>
      <c r="R6" s="194"/>
      <c r="S6" s="192" t="s">
        <v>206</v>
      </c>
      <c r="T6" s="192" t="s">
        <v>117</v>
      </c>
      <c r="U6" s="193" t="s">
        <v>265</v>
      </c>
    </row>
    <row r="7" spans="1:21">
      <c r="A7" s="195" t="s">
        <v>266</v>
      </c>
      <c r="B7" s="2">
        <v>4041612</v>
      </c>
      <c r="C7" s="2" t="s">
        <v>267</v>
      </c>
      <c r="D7" s="2" t="s">
        <v>268</v>
      </c>
      <c r="E7" s="196" t="s">
        <v>378</v>
      </c>
      <c r="F7" s="2" t="s">
        <v>379</v>
      </c>
      <c r="G7" s="70">
        <v>1.2211999999999998</v>
      </c>
      <c r="H7" s="70">
        <v>0.69599999999999995</v>
      </c>
      <c r="I7" s="197">
        <f>(H7*G7)+(1-H7)</f>
        <v>1.1539552</v>
      </c>
      <c r="J7" s="198"/>
      <c r="K7" s="235">
        <v>1.1885999999999999</v>
      </c>
      <c r="L7" s="70">
        <f>M$2</f>
        <v>0.68300000000000005</v>
      </c>
      <c r="M7" s="197">
        <f>(L7*K7)+(1-L7)</f>
        <v>1.1288138000000001</v>
      </c>
      <c r="N7" s="198"/>
      <c r="O7" s="70">
        <v>1.2211999999999998</v>
      </c>
      <c r="P7" s="70">
        <v>0.69599999999999995</v>
      </c>
      <c r="Q7" s="71">
        <f>(P7*O7)+(1-P7)</f>
        <v>1.1539552</v>
      </c>
      <c r="R7" s="198"/>
      <c r="S7" s="70">
        <v>1.2211999999999998</v>
      </c>
      <c r="T7" s="70">
        <v>0.69599999999999995</v>
      </c>
      <c r="U7" s="197">
        <f>(T7*S7)+(1-T7)</f>
        <v>1.1539552</v>
      </c>
    </row>
    <row r="8" spans="1:21">
      <c r="A8" s="195" t="s">
        <v>133</v>
      </c>
      <c r="B8" s="2">
        <v>4041620</v>
      </c>
      <c r="C8" s="2" t="s">
        <v>134</v>
      </c>
      <c r="D8" s="2" t="s">
        <v>269</v>
      </c>
      <c r="E8" s="126" t="s">
        <v>279</v>
      </c>
      <c r="F8" s="2" t="s">
        <v>380</v>
      </c>
      <c r="G8" s="70">
        <v>1.1698999999999999</v>
      </c>
      <c r="H8" s="70">
        <v>0.69599999999999995</v>
      </c>
      <c r="I8" s="199">
        <f t="shared" ref="I8:I36" si="0">(H8*G8)+(1-H8)</f>
        <v>1.1182504</v>
      </c>
      <c r="J8" s="198"/>
      <c r="K8" s="235">
        <v>1.1562999999999999</v>
      </c>
      <c r="L8" s="70">
        <f t="shared" ref="L8:L36" si="1">M$2</f>
        <v>0.68300000000000005</v>
      </c>
      <c r="M8" s="199">
        <f t="shared" ref="M8:M36" si="2">(L8*K8)+(1-L8)</f>
        <v>1.1067529</v>
      </c>
      <c r="N8" s="198"/>
      <c r="O8" s="70">
        <v>1.1698999999999999</v>
      </c>
      <c r="P8" s="70">
        <v>0.69599999999999995</v>
      </c>
      <c r="Q8" s="70">
        <f t="shared" ref="Q8:Q36" si="3">(P8*O8)+(1-P8)</f>
        <v>1.1182504</v>
      </c>
      <c r="R8" s="198"/>
      <c r="S8" s="70">
        <v>1.1698999999999999</v>
      </c>
      <c r="T8" s="70">
        <v>0.69599999999999995</v>
      </c>
      <c r="U8" s="199">
        <f t="shared" ref="U8:U36" si="4">(T8*S8)+(1-T8)</f>
        <v>1.1182504</v>
      </c>
    </row>
    <row r="9" spans="1:21">
      <c r="A9" s="195" t="s">
        <v>135</v>
      </c>
      <c r="B9" s="2">
        <v>4041638</v>
      </c>
      <c r="C9" s="2" t="s">
        <v>136</v>
      </c>
      <c r="D9" s="2" t="s">
        <v>270</v>
      </c>
      <c r="E9" s="126" t="s">
        <v>381</v>
      </c>
      <c r="F9" s="200" t="s">
        <v>382</v>
      </c>
      <c r="G9" s="70">
        <v>1.1698999999999999</v>
      </c>
      <c r="H9" s="70">
        <v>0.69599999999999995</v>
      </c>
      <c r="I9" s="199">
        <f t="shared" si="0"/>
        <v>1.1182504</v>
      </c>
      <c r="J9" s="198"/>
      <c r="K9" s="235">
        <v>1.1848999999999998</v>
      </c>
      <c r="L9" s="70">
        <f t="shared" si="1"/>
        <v>0.68300000000000005</v>
      </c>
      <c r="M9" s="199">
        <f t="shared" si="2"/>
        <v>1.1262866999999999</v>
      </c>
      <c r="N9" s="198"/>
      <c r="O9" s="70">
        <v>1.1698999999999999</v>
      </c>
      <c r="P9" s="70">
        <v>0.69599999999999995</v>
      </c>
      <c r="Q9" s="70">
        <f t="shared" si="3"/>
        <v>1.1182504</v>
      </c>
      <c r="R9" s="198"/>
      <c r="S9" s="70">
        <v>1.1698999999999999</v>
      </c>
      <c r="T9" s="70">
        <v>0.69599999999999995</v>
      </c>
      <c r="U9" s="199">
        <f t="shared" si="4"/>
        <v>1.1182504</v>
      </c>
    </row>
    <row r="10" spans="1:21">
      <c r="A10" s="195" t="s">
        <v>137</v>
      </c>
      <c r="B10" s="2">
        <v>4221800</v>
      </c>
      <c r="C10" s="2" t="s">
        <v>138</v>
      </c>
      <c r="D10" s="2" t="s">
        <v>271</v>
      </c>
      <c r="E10" s="201" t="s">
        <v>383</v>
      </c>
      <c r="F10" s="2" t="s">
        <v>384</v>
      </c>
      <c r="G10" s="70">
        <v>1.1698999999999999</v>
      </c>
      <c r="H10" s="70">
        <v>0.69599999999999995</v>
      </c>
      <c r="I10" s="199">
        <f t="shared" si="0"/>
        <v>1.1182504</v>
      </c>
      <c r="J10" s="198"/>
      <c r="K10" s="235">
        <v>1.1562999999999999</v>
      </c>
      <c r="L10" s="70">
        <f t="shared" si="1"/>
        <v>0.68300000000000005</v>
      </c>
      <c r="M10" s="199">
        <f t="shared" si="2"/>
        <v>1.1067529</v>
      </c>
      <c r="N10" s="198"/>
      <c r="O10" s="70">
        <v>1.1698999999999999</v>
      </c>
      <c r="P10" s="70">
        <v>0.69599999999999995</v>
      </c>
      <c r="Q10" s="70">
        <f t="shared" si="3"/>
        <v>1.1182504</v>
      </c>
      <c r="R10" s="198"/>
      <c r="S10" s="70">
        <v>1.1698999999999999</v>
      </c>
      <c r="T10" s="70">
        <v>0.69599999999999995</v>
      </c>
      <c r="U10" s="199">
        <f t="shared" si="4"/>
        <v>1.1182504</v>
      </c>
    </row>
    <row r="11" spans="1:21">
      <c r="A11" s="202" t="s">
        <v>139</v>
      </c>
      <c r="B11" s="4">
        <v>8069222</v>
      </c>
      <c r="C11" s="4" t="s">
        <v>140</v>
      </c>
      <c r="D11" s="4" t="s">
        <v>268</v>
      </c>
      <c r="E11" s="203" t="s">
        <v>378</v>
      </c>
      <c r="F11" s="4" t="s">
        <v>379</v>
      </c>
      <c r="G11" s="74">
        <v>1.2211999999999998</v>
      </c>
      <c r="H11" s="74">
        <v>0.69599999999999995</v>
      </c>
      <c r="I11" s="204">
        <f t="shared" si="0"/>
        <v>1.1539552</v>
      </c>
      <c r="J11" s="198"/>
      <c r="K11" s="236">
        <v>1.1885999999999999</v>
      </c>
      <c r="L11" s="74">
        <f t="shared" si="1"/>
        <v>0.68300000000000005</v>
      </c>
      <c r="M11" s="204">
        <f t="shared" si="2"/>
        <v>1.1288138000000001</v>
      </c>
      <c r="N11" s="198"/>
      <c r="O11" s="74">
        <v>1.2211999999999998</v>
      </c>
      <c r="P11" s="74">
        <v>0.69599999999999995</v>
      </c>
      <c r="Q11" s="74">
        <f t="shared" si="3"/>
        <v>1.1539552</v>
      </c>
      <c r="R11" s="198"/>
      <c r="S11" s="74">
        <v>1.2211999999999998</v>
      </c>
      <c r="T11" s="74">
        <v>0.69599999999999995</v>
      </c>
      <c r="U11" s="204">
        <f t="shared" si="4"/>
        <v>1.1539552</v>
      </c>
    </row>
    <row r="12" spans="1:21">
      <c r="A12" s="195" t="s">
        <v>141</v>
      </c>
      <c r="B12" s="2">
        <v>4041661</v>
      </c>
      <c r="C12" s="2" t="s">
        <v>142</v>
      </c>
      <c r="D12" s="2" t="s">
        <v>272</v>
      </c>
      <c r="E12" s="126" t="s">
        <v>385</v>
      </c>
      <c r="F12" s="2" t="s">
        <v>386</v>
      </c>
      <c r="G12" s="70">
        <v>1.3274999999999999</v>
      </c>
      <c r="H12" s="70">
        <v>0.69599999999999995</v>
      </c>
      <c r="I12" s="199">
        <f t="shared" si="0"/>
        <v>1.2279399999999998</v>
      </c>
      <c r="J12" s="198"/>
      <c r="K12" s="235">
        <v>1.2987</v>
      </c>
      <c r="L12" s="70">
        <f t="shared" si="1"/>
        <v>0.68300000000000005</v>
      </c>
      <c r="M12" s="199">
        <f t="shared" si="2"/>
        <v>1.2040120999999999</v>
      </c>
      <c r="N12" s="198"/>
      <c r="O12" s="70">
        <v>1.3274999999999999</v>
      </c>
      <c r="P12" s="70">
        <v>0.69599999999999995</v>
      </c>
      <c r="Q12" s="70">
        <f t="shared" si="3"/>
        <v>1.2279399999999998</v>
      </c>
      <c r="R12" s="198"/>
      <c r="S12" s="70">
        <v>1.3274999999999999</v>
      </c>
      <c r="T12" s="70">
        <v>0.69599999999999995</v>
      </c>
      <c r="U12" s="199">
        <f t="shared" si="4"/>
        <v>1.2279399999999998</v>
      </c>
    </row>
    <row r="13" spans="1:21">
      <c r="A13" s="195" t="s">
        <v>143</v>
      </c>
      <c r="B13" s="2">
        <v>4041679</v>
      </c>
      <c r="C13" s="2" t="s">
        <v>144</v>
      </c>
      <c r="D13" s="2" t="s">
        <v>273</v>
      </c>
      <c r="E13" s="126" t="s">
        <v>387</v>
      </c>
      <c r="F13" s="2" t="s">
        <v>388</v>
      </c>
      <c r="G13" s="70">
        <v>1.1705999999999999</v>
      </c>
      <c r="H13" s="70">
        <v>0.69599999999999995</v>
      </c>
      <c r="I13" s="199">
        <f t="shared" si="0"/>
        <v>1.1187375999999998</v>
      </c>
      <c r="J13" s="198"/>
      <c r="K13" s="235">
        <v>1.2114999999999998</v>
      </c>
      <c r="L13" s="70">
        <f t="shared" si="1"/>
        <v>0.68300000000000005</v>
      </c>
      <c r="M13" s="199">
        <f t="shared" si="2"/>
        <v>1.1444544999999997</v>
      </c>
      <c r="N13" s="198"/>
      <c r="O13" s="70">
        <v>1.1705999999999999</v>
      </c>
      <c r="P13" s="70">
        <v>0.69599999999999995</v>
      </c>
      <c r="Q13" s="70">
        <f t="shared" si="3"/>
        <v>1.1187375999999998</v>
      </c>
      <c r="R13" s="198"/>
      <c r="S13" s="70">
        <v>1.1705999999999999</v>
      </c>
      <c r="T13" s="70">
        <v>0.69599999999999995</v>
      </c>
      <c r="U13" s="199">
        <f t="shared" si="4"/>
        <v>1.1187375999999998</v>
      </c>
    </row>
    <row r="14" spans="1:21">
      <c r="A14" s="195" t="s">
        <v>145</v>
      </c>
      <c r="B14" s="2">
        <v>4041687</v>
      </c>
      <c r="C14" s="2" t="s">
        <v>146</v>
      </c>
      <c r="D14" s="2" t="s">
        <v>274</v>
      </c>
      <c r="E14" s="126" t="s">
        <v>279</v>
      </c>
      <c r="F14" s="2" t="s">
        <v>380</v>
      </c>
      <c r="G14" s="70">
        <v>1.1698999999999999</v>
      </c>
      <c r="H14" s="70">
        <v>0.69599999999999995</v>
      </c>
      <c r="I14" s="199">
        <f t="shared" si="0"/>
        <v>1.1182504</v>
      </c>
      <c r="J14" s="198"/>
      <c r="K14" s="235">
        <v>1.1562999999999999</v>
      </c>
      <c r="L14" s="70">
        <f t="shared" si="1"/>
        <v>0.68300000000000005</v>
      </c>
      <c r="M14" s="199">
        <f t="shared" si="2"/>
        <v>1.1067529</v>
      </c>
      <c r="N14" s="198"/>
      <c r="O14" s="70">
        <v>1.1698999999999999</v>
      </c>
      <c r="P14" s="70">
        <v>0.69599999999999995</v>
      </c>
      <c r="Q14" s="70">
        <f t="shared" si="3"/>
        <v>1.1182504</v>
      </c>
      <c r="R14" s="198"/>
      <c r="S14" s="70">
        <v>1.1698999999999999</v>
      </c>
      <c r="T14" s="70">
        <v>0.69599999999999995</v>
      </c>
      <c r="U14" s="199">
        <f t="shared" si="4"/>
        <v>1.1182504</v>
      </c>
    </row>
    <row r="15" spans="1:21">
      <c r="A15" s="195" t="s">
        <v>147</v>
      </c>
      <c r="B15" s="2">
        <v>4041703</v>
      </c>
      <c r="C15" s="2" t="s">
        <v>148</v>
      </c>
      <c r="D15" s="2" t="s">
        <v>272</v>
      </c>
      <c r="E15" s="126" t="s">
        <v>385</v>
      </c>
      <c r="F15" s="2" t="s">
        <v>386</v>
      </c>
      <c r="G15" s="70">
        <v>1.3274999999999999</v>
      </c>
      <c r="H15" s="70">
        <v>0.69599999999999995</v>
      </c>
      <c r="I15" s="197">
        <f t="shared" si="0"/>
        <v>1.2279399999999998</v>
      </c>
      <c r="J15" s="198"/>
      <c r="K15" s="235">
        <v>1.2987</v>
      </c>
      <c r="L15" s="70">
        <f t="shared" si="1"/>
        <v>0.68300000000000005</v>
      </c>
      <c r="M15" s="197">
        <f t="shared" si="2"/>
        <v>1.2040120999999999</v>
      </c>
      <c r="N15" s="198"/>
      <c r="O15" s="70">
        <v>1.3274999999999999</v>
      </c>
      <c r="P15" s="70">
        <v>0.69599999999999995</v>
      </c>
      <c r="Q15" s="71">
        <f t="shared" si="3"/>
        <v>1.2279399999999998</v>
      </c>
      <c r="R15" s="198"/>
      <c r="S15" s="70">
        <v>1.3274999999999999</v>
      </c>
      <c r="T15" s="70">
        <v>0.69599999999999995</v>
      </c>
      <c r="U15" s="197">
        <f t="shared" si="4"/>
        <v>1.2279399999999998</v>
      </c>
    </row>
    <row r="16" spans="1:21">
      <c r="A16" s="202" t="s">
        <v>149</v>
      </c>
      <c r="B16" s="4">
        <v>4041711</v>
      </c>
      <c r="C16" s="4" t="s">
        <v>150</v>
      </c>
      <c r="D16" s="4" t="s">
        <v>271</v>
      </c>
      <c r="E16" s="205" t="s">
        <v>383</v>
      </c>
      <c r="F16" s="4" t="s">
        <v>384</v>
      </c>
      <c r="G16" s="74">
        <v>1.1698999999999999</v>
      </c>
      <c r="H16" s="74">
        <v>0.69599999999999995</v>
      </c>
      <c r="I16" s="204">
        <f t="shared" si="0"/>
        <v>1.1182504</v>
      </c>
      <c r="J16" s="198"/>
      <c r="K16" s="236">
        <v>1.1562999999999999</v>
      </c>
      <c r="L16" s="74">
        <f t="shared" si="1"/>
        <v>0.68300000000000005</v>
      </c>
      <c r="M16" s="204">
        <f t="shared" si="2"/>
        <v>1.1067529</v>
      </c>
      <c r="N16" s="198"/>
      <c r="O16" s="74">
        <v>1.1698999999999999</v>
      </c>
      <c r="P16" s="74">
        <v>0.69599999999999995</v>
      </c>
      <c r="Q16" s="74">
        <f t="shared" si="3"/>
        <v>1.1182504</v>
      </c>
      <c r="R16" s="198"/>
      <c r="S16" s="74">
        <v>1.1698999999999999</v>
      </c>
      <c r="T16" s="74">
        <v>0.69599999999999995</v>
      </c>
      <c r="U16" s="204">
        <f t="shared" si="4"/>
        <v>1.1182504</v>
      </c>
    </row>
    <row r="17" spans="1:21">
      <c r="A17" s="195" t="s">
        <v>151</v>
      </c>
      <c r="B17" s="2">
        <v>8069217</v>
      </c>
      <c r="C17" s="2" t="s">
        <v>152</v>
      </c>
      <c r="D17" s="2" t="s">
        <v>274</v>
      </c>
      <c r="E17" s="126" t="s">
        <v>279</v>
      </c>
      <c r="F17" s="2" t="s">
        <v>380</v>
      </c>
      <c r="G17" s="70">
        <v>1.1698999999999999</v>
      </c>
      <c r="H17" s="70">
        <v>0.69599999999999995</v>
      </c>
      <c r="I17" s="199">
        <f t="shared" si="0"/>
        <v>1.1182504</v>
      </c>
      <c r="J17" s="198"/>
      <c r="K17" s="235">
        <v>1.1562999999999999</v>
      </c>
      <c r="L17" s="70">
        <f t="shared" si="1"/>
        <v>0.68300000000000005</v>
      </c>
      <c r="M17" s="199">
        <f t="shared" si="2"/>
        <v>1.1067529</v>
      </c>
      <c r="N17" s="198"/>
      <c r="O17" s="70">
        <v>1.1698999999999999</v>
      </c>
      <c r="P17" s="70">
        <v>0.69599999999999995</v>
      </c>
      <c r="Q17" s="70">
        <f t="shared" si="3"/>
        <v>1.1182504</v>
      </c>
      <c r="R17" s="198"/>
      <c r="S17" s="70">
        <v>1.1698999999999999</v>
      </c>
      <c r="T17" s="70">
        <v>0.69599999999999995</v>
      </c>
      <c r="U17" s="199">
        <f t="shared" si="4"/>
        <v>1.1182504</v>
      </c>
    </row>
    <row r="18" spans="1:21">
      <c r="A18" s="195" t="s">
        <v>153</v>
      </c>
      <c r="B18" s="2">
        <v>4041752</v>
      </c>
      <c r="C18" s="2" t="s">
        <v>155</v>
      </c>
      <c r="D18" s="2" t="s">
        <v>271</v>
      </c>
      <c r="E18" s="201" t="s">
        <v>383</v>
      </c>
      <c r="F18" s="2" t="s">
        <v>384</v>
      </c>
      <c r="G18" s="70">
        <v>1.1698999999999999</v>
      </c>
      <c r="H18" s="70">
        <v>0.69599999999999995</v>
      </c>
      <c r="I18" s="199">
        <f t="shared" si="0"/>
        <v>1.1182504</v>
      </c>
      <c r="J18" s="198"/>
      <c r="K18" s="235">
        <v>1.1562999999999999</v>
      </c>
      <c r="L18" s="70">
        <f t="shared" si="1"/>
        <v>0.68300000000000005</v>
      </c>
      <c r="M18" s="199">
        <f t="shared" si="2"/>
        <v>1.1067529</v>
      </c>
      <c r="N18" s="198"/>
      <c r="O18" s="70">
        <v>1.1698999999999999</v>
      </c>
      <c r="P18" s="70">
        <v>0.69599999999999995</v>
      </c>
      <c r="Q18" s="70">
        <f t="shared" si="3"/>
        <v>1.1182504</v>
      </c>
      <c r="R18" s="198"/>
      <c r="S18" s="70">
        <v>1.1698999999999999</v>
      </c>
      <c r="T18" s="70">
        <v>0.69599999999999995</v>
      </c>
      <c r="U18" s="199">
        <f t="shared" si="4"/>
        <v>1.1182504</v>
      </c>
    </row>
    <row r="19" spans="1:21">
      <c r="A19" s="195" t="s">
        <v>156</v>
      </c>
      <c r="B19" s="2">
        <v>4041760</v>
      </c>
      <c r="C19" s="2" t="s">
        <v>275</v>
      </c>
      <c r="D19" s="2" t="s">
        <v>268</v>
      </c>
      <c r="E19" s="196" t="s">
        <v>378</v>
      </c>
      <c r="F19" s="2" t="s">
        <v>379</v>
      </c>
      <c r="G19" s="70">
        <v>1.2211999999999998</v>
      </c>
      <c r="H19" s="70">
        <v>0.69599999999999995</v>
      </c>
      <c r="I19" s="199">
        <f t="shared" si="0"/>
        <v>1.1539552</v>
      </c>
      <c r="J19" s="198"/>
      <c r="K19" s="235">
        <v>1.1885999999999999</v>
      </c>
      <c r="L19" s="70">
        <f t="shared" si="1"/>
        <v>0.68300000000000005</v>
      </c>
      <c r="M19" s="199">
        <f t="shared" si="2"/>
        <v>1.1288138000000001</v>
      </c>
      <c r="N19" s="198"/>
      <c r="O19" s="70">
        <v>1.2211999999999998</v>
      </c>
      <c r="P19" s="70">
        <v>0.69599999999999995</v>
      </c>
      <c r="Q19" s="70">
        <f t="shared" si="3"/>
        <v>1.1539552</v>
      </c>
      <c r="R19" s="198"/>
      <c r="S19" s="70">
        <v>1.2211999999999998</v>
      </c>
      <c r="T19" s="70">
        <v>0.69599999999999995</v>
      </c>
      <c r="U19" s="199">
        <f t="shared" si="4"/>
        <v>1.1539552</v>
      </c>
    </row>
    <row r="20" spans="1:21">
      <c r="A20" s="195" t="s">
        <v>158</v>
      </c>
      <c r="B20" s="2">
        <v>4041778</v>
      </c>
      <c r="C20" s="2" t="s">
        <v>159</v>
      </c>
      <c r="D20" s="2" t="s">
        <v>268</v>
      </c>
      <c r="E20" s="196" t="s">
        <v>378</v>
      </c>
      <c r="F20" s="2" t="s">
        <v>379</v>
      </c>
      <c r="G20" s="70">
        <v>1.2211999999999998</v>
      </c>
      <c r="H20" s="70">
        <v>0.69599999999999995</v>
      </c>
      <c r="I20" s="199">
        <f t="shared" si="0"/>
        <v>1.1539552</v>
      </c>
      <c r="J20" s="198"/>
      <c r="K20" s="235">
        <v>1.1885999999999999</v>
      </c>
      <c r="L20" s="70">
        <f t="shared" si="1"/>
        <v>0.68300000000000005</v>
      </c>
      <c r="M20" s="199">
        <f t="shared" si="2"/>
        <v>1.1288138000000001</v>
      </c>
      <c r="N20" s="198"/>
      <c r="O20" s="70">
        <v>1.2211999999999998</v>
      </c>
      <c r="P20" s="70">
        <v>0.69599999999999995</v>
      </c>
      <c r="Q20" s="70">
        <f t="shared" si="3"/>
        <v>1.1539552</v>
      </c>
      <c r="R20" s="198"/>
      <c r="S20" s="70">
        <v>1.2211999999999998</v>
      </c>
      <c r="T20" s="70">
        <v>0.69599999999999995</v>
      </c>
      <c r="U20" s="199">
        <f t="shared" si="4"/>
        <v>1.1539552</v>
      </c>
    </row>
    <row r="21" spans="1:21">
      <c r="A21" s="202" t="s">
        <v>160</v>
      </c>
      <c r="B21" s="4">
        <v>4041786</v>
      </c>
      <c r="C21" s="4" t="s">
        <v>161</v>
      </c>
      <c r="D21" s="4" t="s">
        <v>272</v>
      </c>
      <c r="E21" s="148" t="s">
        <v>385</v>
      </c>
      <c r="F21" s="4" t="s">
        <v>386</v>
      </c>
      <c r="G21" s="74">
        <v>1.3274999999999999</v>
      </c>
      <c r="H21" s="74">
        <v>0.69599999999999995</v>
      </c>
      <c r="I21" s="204">
        <f t="shared" si="0"/>
        <v>1.2279399999999998</v>
      </c>
      <c r="J21" s="198"/>
      <c r="K21" s="236">
        <v>1.2987</v>
      </c>
      <c r="L21" s="74">
        <f t="shared" si="1"/>
        <v>0.68300000000000005</v>
      </c>
      <c r="M21" s="204">
        <f t="shared" si="2"/>
        <v>1.2040120999999999</v>
      </c>
      <c r="N21" s="198"/>
      <c r="O21" s="74">
        <v>1.3274999999999999</v>
      </c>
      <c r="P21" s="74">
        <v>0.69599999999999995</v>
      </c>
      <c r="Q21" s="74">
        <f t="shared" si="3"/>
        <v>1.2279399999999998</v>
      </c>
      <c r="R21" s="198"/>
      <c r="S21" s="74">
        <v>1.3274999999999999</v>
      </c>
      <c r="T21" s="74">
        <v>0.69599999999999995</v>
      </c>
      <c r="U21" s="204">
        <f t="shared" si="4"/>
        <v>1.2279399999999998</v>
      </c>
    </row>
    <row r="22" spans="1:21">
      <c r="A22" s="195" t="s">
        <v>162</v>
      </c>
      <c r="B22" s="2">
        <v>4041794</v>
      </c>
      <c r="C22" s="2" t="s">
        <v>163</v>
      </c>
      <c r="D22" s="2" t="s">
        <v>268</v>
      </c>
      <c r="E22" s="196" t="s">
        <v>378</v>
      </c>
      <c r="F22" s="2" t="s">
        <v>379</v>
      </c>
      <c r="G22" s="70">
        <v>1.2211999999999998</v>
      </c>
      <c r="H22" s="70">
        <v>0.69599999999999995</v>
      </c>
      <c r="I22" s="199">
        <f t="shared" si="0"/>
        <v>1.1539552</v>
      </c>
      <c r="J22" s="198"/>
      <c r="K22" s="235">
        <v>1.1885999999999999</v>
      </c>
      <c r="L22" s="70">
        <f t="shared" si="1"/>
        <v>0.68300000000000005</v>
      </c>
      <c r="M22" s="199">
        <f t="shared" si="2"/>
        <v>1.1288138000000001</v>
      </c>
      <c r="N22" s="198"/>
      <c r="O22" s="70">
        <v>1.2211999999999998</v>
      </c>
      <c r="P22" s="70">
        <v>0.69599999999999995</v>
      </c>
      <c r="Q22" s="70">
        <f t="shared" si="3"/>
        <v>1.1539552</v>
      </c>
      <c r="R22" s="198"/>
      <c r="S22" s="70">
        <v>1.2211999999999998</v>
      </c>
      <c r="T22" s="70">
        <v>0.69599999999999995</v>
      </c>
      <c r="U22" s="199">
        <f t="shared" si="4"/>
        <v>1.1539552</v>
      </c>
    </row>
    <row r="23" spans="1:21">
      <c r="A23" s="195" t="s">
        <v>164</v>
      </c>
      <c r="B23" s="2">
        <v>4041810</v>
      </c>
      <c r="C23" s="2" t="s">
        <v>165</v>
      </c>
      <c r="D23" s="2" t="s">
        <v>276</v>
      </c>
      <c r="E23" s="126" t="s">
        <v>279</v>
      </c>
      <c r="F23" s="2" t="s">
        <v>380</v>
      </c>
      <c r="G23" s="70">
        <v>1.1698999999999999</v>
      </c>
      <c r="H23" s="70">
        <v>0.69599999999999995</v>
      </c>
      <c r="I23" s="199">
        <f t="shared" si="0"/>
        <v>1.1182504</v>
      </c>
      <c r="J23" s="198"/>
      <c r="K23" s="235">
        <v>1.1562999999999999</v>
      </c>
      <c r="L23" s="70">
        <f t="shared" si="1"/>
        <v>0.68300000000000005</v>
      </c>
      <c r="M23" s="199">
        <f t="shared" si="2"/>
        <v>1.1067529</v>
      </c>
      <c r="N23" s="198"/>
      <c r="O23" s="70">
        <v>1.1698999999999999</v>
      </c>
      <c r="P23" s="70">
        <v>0.69599999999999995</v>
      </c>
      <c r="Q23" s="70">
        <f t="shared" si="3"/>
        <v>1.1182504</v>
      </c>
      <c r="R23" s="198"/>
      <c r="S23" s="70">
        <v>1.1698999999999999</v>
      </c>
      <c r="T23" s="70">
        <v>0.69599999999999995</v>
      </c>
      <c r="U23" s="199">
        <f t="shared" si="4"/>
        <v>1.1182504</v>
      </c>
    </row>
    <row r="24" spans="1:21">
      <c r="A24" s="195" t="s">
        <v>166</v>
      </c>
      <c r="B24" s="2">
        <v>4041828</v>
      </c>
      <c r="C24" s="2" t="s">
        <v>167</v>
      </c>
      <c r="D24" s="2" t="s">
        <v>270</v>
      </c>
      <c r="E24" s="126" t="s">
        <v>381</v>
      </c>
      <c r="F24" s="200" t="s">
        <v>382</v>
      </c>
      <c r="G24" s="70">
        <v>1.1698999999999999</v>
      </c>
      <c r="H24" s="70">
        <v>0.69599999999999995</v>
      </c>
      <c r="I24" s="199">
        <f t="shared" si="0"/>
        <v>1.1182504</v>
      </c>
      <c r="J24" s="198"/>
      <c r="K24" s="235">
        <v>1.1848999999999998</v>
      </c>
      <c r="L24" s="70">
        <f t="shared" si="1"/>
        <v>0.68300000000000005</v>
      </c>
      <c r="M24" s="199">
        <f t="shared" si="2"/>
        <v>1.1262866999999999</v>
      </c>
      <c r="N24" s="198"/>
      <c r="O24" s="70">
        <v>1.1698999999999999</v>
      </c>
      <c r="P24" s="70">
        <v>0.69599999999999995</v>
      </c>
      <c r="Q24" s="70">
        <f t="shared" si="3"/>
        <v>1.1182504</v>
      </c>
      <c r="R24" s="198"/>
      <c r="S24" s="70">
        <v>1.1698999999999999</v>
      </c>
      <c r="T24" s="70">
        <v>0.69599999999999995</v>
      </c>
      <c r="U24" s="199">
        <f t="shared" si="4"/>
        <v>1.1182504</v>
      </c>
    </row>
    <row r="25" spans="1:21">
      <c r="A25" s="195" t="s">
        <v>168</v>
      </c>
      <c r="B25" s="2">
        <v>4041836</v>
      </c>
      <c r="C25" s="2" t="s">
        <v>169</v>
      </c>
      <c r="D25" s="2" t="s">
        <v>268</v>
      </c>
      <c r="E25" s="196" t="s">
        <v>378</v>
      </c>
      <c r="F25" s="2" t="s">
        <v>379</v>
      </c>
      <c r="G25" s="70">
        <v>1.2211999999999998</v>
      </c>
      <c r="H25" s="70">
        <v>0.69599999999999995</v>
      </c>
      <c r="I25" s="199">
        <f t="shared" si="0"/>
        <v>1.1539552</v>
      </c>
      <c r="J25" s="198"/>
      <c r="K25" s="235">
        <v>1.1885999999999999</v>
      </c>
      <c r="L25" s="70">
        <f t="shared" si="1"/>
        <v>0.68300000000000005</v>
      </c>
      <c r="M25" s="199">
        <f t="shared" si="2"/>
        <v>1.1288138000000001</v>
      </c>
      <c r="N25" s="198"/>
      <c r="O25" s="70">
        <v>1.2211999999999998</v>
      </c>
      <c r="P25" s="70">
        <v>0.69599999999999995</v>
      </c>
      <c r="Q25" s="70">
        <f t="shared" si="3"/>
        <v>1.1539552</v>
      </c>
      <c r="R25" s="198"/>
      <c r="S25" s="70">
        <v>1.2211999999999998</v>
      </c>
      <c r="T25" s="70">
        <v>0.69599999999999995</v>
      </c>
      <c r="U25" s="199">
        <f t="shared" si="4"/>
        <v>1.1539552</v>
      </c>
    </row>
    <row r="26" spans="1:21">
      <c r="A26" s="202" t="s">
        <v>170</v>
      </c>
      <c r="B26" s="4">
        <v>4041851</v>
      </c>
      <c r="C26" s="4" t="s">
        <v>171</v>
      </c>
      <c r="D26" s="4" t="s">
        <v>273</v>
      </c>
      <c r="E26" s="148" t="s">
        <v>387</v>
      </c>
      <c r="F26" s="4" t="s">
        <v>388</v>
      </c>
      <c r="G26" s="74">
        <v>1.1705999999999999</v>
      </c>
      <c r="H26" s="74">
        <v>0.69599999999999995</v>
      </c>
      <c r="I26" s="204">
        <f t="shared" si="0"/>
        <v>1.1187375999999998</v>
      </c>
      <c r="J26" s="198"/>
      <c r="K26" s="236">
        <v>1.2114999999999998</v>
      </c>
      <c r="L26" s="74">
        <f t="shared" si="1"/>
        <v>0.68300000000000005</v>
      </c>
      <c r="M26" s="204">
        <f t="shared" si="2"/>
        <v>1.1444544999999997</v>
      </c>
      <c r="N26" s="198"/>
      <c r="O26" s="74">
        <v>1.1705999999999999</v>
      </c>
      <c r="P26" s="74">
        <v>0.69599999999999995</v>
      </c>
      <c r="Q26" s="74">
        <f t="shared" si="3"/>
        <v>1.1187375999999998</v>
      </c>
      <c r="R26" s="198"/>
      <c r="S26" s="74">
        <v>1.1705999999999999</v>
      </c>
      <c r="T26" s="74">
        <v>0.69599999999999995</v>
      </c>
      <c r="U26" s="204">
        <f t="shared" si="4"/>
        <v>1.1187375999999998</v>
      </c>
    </row>
    <row r="27" spans="1:21">
      <c r="A27" s="195" t="s">
        <v>172</v>
      </c>
      <c r="B27" s="2">
        <v>4041869</v>
      </c>
      <c r="C27" s="2" t="s">
        <v>173</v>
      </c>
      <c r="D27" s="2" t="s">
        <v>269</v>
      </c>
      <c r="E27" s="126" t="s">
        <v>279</v>
      </c>
      <c r="F27" s="2" t="s">
        <v>380</v>
      </c>
      <c r="G27" s="70">
        <v>1.1698999999999999</v>
      </c>
      <c r="H27" s="70">
        <v>0.69599999999999995</v>
      </c>
      <c r="I27" s="199">
        <f t="shared" si="0"/>
        <v>1.1182504</v>
      </c>
      <c r="J27" s="198"/>
      <c r="K27" s="235">
        <v>1.1562999999999999</v>
      </c>
      <c r="L27" s="70">
        <f t="shared" si="1"/>
        <v>0.68300000000000005</v>
      </c>
      <c r="M27" s="199">
        <f t="shared" si="2"/>
        <v>1.1067529</v>
      </c>
      <c r="N27" s="198"/>
      <c r="O27" s="70">
        <v>1.1698999999999999</v>
      </c>
      <c r="P27" s="70">
        <v>0.69599999999999995</v>
      </c>
      <c r="Q27" s="70">
        <f t="shared" si="3"/>
        <v>1.1182504</v>
      </c>
      <c r="R27" s="198"/>
      <c r="S27" s="70">
        <v>1.1698999999999999</v>
      </c>
      <c r="T27" s="70">
        <v>0.69599999999999995</v>
      </c>
      <c r="U27" s="199">
        <f t="shared" si="4"/>
        <v>1.1182504</v>
      </c>
    </row>
    <row r="28" spans="1:21">
      <c r="A28" s="195" t="s">
        <v>174</v>
      </c>
      <c r="B28" s="2">
        <v>8069211</v>
      </c>
      <c r="C28" s="2" t="s">
        <v>175</v>
      </c>
      <c r="D28" s="2" t="s">
        <v>269</v>
      </c>
      <c r="E28" s="126" t="s">
        <v>279</v>
      </c>
      <c r="F28" s="2" t="s">
        <v>380</v>
      </c>
      <c r="G28" s="70">
        <v>1.1698999999999999</v>
      </c>
      <c r="H28" s="70">
        <v>0.69599999999999995</v>
      </c>
      <c r="I28" s="199">
        <f t="shared" si="0"/>
        <v>1.1182504</v>
      </c>
      <c r="J28" s="198"/>
      <c r="K28" s="235">
        <v>1.1562999999999999</v>
      </c>
      <c r="L28" s="70">
        <f t="shared" si="1"/>
        <v>0.68300000000000005</v>
      </c>
      <c r="M28" s="199">
        <f t="shared" si="2"/>
        <v>1.1067529</v>
      </c>
      <c r="N28" s="198"/>
      <c r="O28" s="70">
        <v>1.1698999999999999</v>
      </c>
      <c r="P28" s="70">
        <v>0.69599999999999995</v>
      </c>
      <c r="Q28" s="70">
        <f t="shared" si="3"/>
        <v>1.1182504</v>
      </c>
      <c r="R28" s="198"/>
      <c r="S28" s="70">
        <v>1.1698999999999999</v>
      </c>
      <c r="T28" s="70">
        <v>0.69599999999999995</v>
      </c>
      <c r="U28" s="199">
        <f t="shared" si="4"/>
        <v>1.1182504</v>
      </c>
    </row>
    <row r="29" spans="1:21">
      <c r="A29" s="195" t="s">
        <v>176</v>
      </c>
      <c r="B29" s="2">
        <v>4041893</v>
      </c>
      <c r="C29" s="2" t="s">
        <v>277</v>
      </c>
      <c r="D29" s="2" t="s">
        <v>272</v>
      </c>
      <c r="E29" s="126" t="s">
        <v>385</v>
      </c>
      <c r="F29" s="2" t="s">
        <v>386</v>
      </c>
      <c r="G29" s="70">
        <v>1.3274999999999999</v>
      </c>
      <c r="H29" s="70">
        <v>0.69599999999999995</v>
      </c>
      <c r="I29" s="199">
        <f t="shared" si="0"/>
        <v>1.2279399999999998</v>
      </c>
      <c r="J29" s="198"/>
      <c r="K29" s="235">
        <v>1.2987</v>
      </c>
      <c r="L29" s="70">
        <f t="shared" si="1"/>
        <v>0.68300000000000005</v>
      </c>
      <c r="M29" s="199">
        <f t="shared" si="2"/>
        <v>1.2040120999999999</v>
      </c>
      <c r="N29" s="198"/>
      <c r="O29" s="70">
        <v>1.3274999999999999</v>
      </c>
      <c r="P29" s="70">
        <v>0.69599999999999995</v>
      </c>
      <c r="Q29" s="70">
        <f t="shared" si="3"/>
        <v>1.2279399999999998</v>
      </c>
      <c r="R29" s="198"/>
      <c r="S29" s="70">
        <v>1.3274999999999999</v>
      </c>
      <c r="T29" s="70">
        <v>0.69599999999999995</v>
      </c>
      <c r="U29" s="199">
        <f t="shared" si="4"/>
        <v>1.2279399999999998</v>
      </c>
    </row>
    <row r="30" spans="1:21">
      <c r="A30" s="195" t="s">
        <v>178</v>
      </c>
      <c r="B30" s="2">
        <v>4041901</v>
      </c>
      <c r="C30" s="2" t="s">
        <v>179</v>
      </c>
      <c r="D30" s="2" t="s">
        <v>269</v>
      </c>
      <c r="E30" s="126" t="s">
        <v>279</v>
      </c>
      <c r="F30" s="2" t="s">
        <v>380</v>
      </c>
      <c r="G30" s="70">
        <v>1.1698999999999999</v>
      </c>
      <c r="H30" s="70">
        <v>0.69599999999999995</v>
      </c>
      <c r="I30" s="199">
        <f t="shared" si="0"/>
        <v>1.1182504</v>
      </c>
      <c r="J30" s="198"/>
      <c r="K30" s="235">
        <v>1.1562999999999999</v>
      </c>
      <c r="L30" s="70">
        <f t="shared" si="1"/>
        <v>0.68300000000000005</v>
      </c>
      <c r="M30" s="199">
        <f t="shared" si="2"/>
        <v>1.1067529</v>
      </c>
      <c r="N30" s="198"/>
      <c r="O30" s="70">
        <v>1.1698999999999999</v>
      </c>
      <c r="P30" s="70">
        <v>0.69599999999999995</v>
      </c>
      <c r="Q30" s="70">
        <f t="shared" si="3"/>
        <v>1.1182504</v>
      </c>
      <c r="R30" s="198"/>
      <c r="S30" s="70">
        <v>1.1698999999999999</v>
      </c>
      <c r="T30" s="70">
        <v>0.69599999999999995</v>
      </c>
      <c r="U30" s="199">
        <f t="shared" si="4"/>
        <v>1.1182504</v>
      </c>
    </row>
    <row r="31" spans="1:21">
      <c r="A31" s="202" t="s">
        <v>180</v>
      </c>
      <c r="B31" s="4">
        <v>4041927</v>
      </c>
      <c r="C31" s="4" t="s">
        <v>181</v>
      </c>
      <c r="D31" s="4" t="s">
        <v>268</v>
      </c>
      <c r="E31" s="203" t="s">
        <v>378</v>
      </c>
      <c r="F31" s="4" t="s">
        <v>379</v>
      </c>
      <c r="G31" s="74">
        <v>1.2211999999999998</v>
      </c>
      <c r="H31" s="74">
        <v>0.69599999999999995</v>
      </c>
      <c r="I31" s="204">
        <f t="shared" si="0"/>
        <v>1.1539552</v>
      </c>
      <c r="J31" s="198"/>
      <c r="K31" s="236">
        <v>1.1885999999999999</v>
      </c>
      <c r="L31" s="74">
        <f t="shared" si="1"/>
        <v>0.68300000000000005</v>
      </c>
      <c r="M31" s="204">
        <f t="shared" si="2"/>
        <v>1.1288138000000001</v>
      </c>
      <c r="N31" s="198"/>
      <c r="O31" s="74">
        <v>1.2211999999999998</v>
      </c>
      <c r="P31" s="74">
        <v>0.69599999999999995</v>
      </c>
      <c r="Q31" s="74">
        <f t="shared" si="3"/>
        <v>1.1539552</v>
      </c>
      <c r="R31" s="198"/>
      <c r="S31" s="74">
        <v>1.2211999999999998</v>
      </c>
      <c r="T31" s="74">
        <v>0.69599999999999995</v>
      </c>
      <c r="U31" s="204">
        <f t="shared" si="4"/>
        <v>1.1539552</v>
      </c>
    </row>
    <row r="32" spans="1:21">
      <c r="A32" s="195" t="s">
        <v>182</v>
      </c>
      <c r="B32" s="2">
        <v>4041935</v>
      </c>
      <c r="C32" s="2" t="s">
        <v>183</v>
      </c>
      <c r="D32" s="2" t="s">
        <v>272</v>
      </c>
      <c r="E32" s="126" t="s">
        <v>385</v>
      </c>
      <c r="F32" s="2" t="s">
        <v>386</v>
      </c>
      <c r="G32" s="70">
        <v>1.3274999999999999</v>
      </c>
      <c r="H32" s="70">
        <v>0.69599999999999995</v>
      </c>
      <c r="I32" s="199">
        <f t="shared" si="0"/>
        <v>1.2279399999999998</v>
      </c>
      <c r="J32" s="198"/>
      <c r="K32" s="235">
        <v>1.2987</v>
      </c>
      <c r="L32" s="70">
        <f t="shared" si="1"/>
        <v>0.68300000000000005</v>
      </c>
      <c r="M32" s="199">
        <f t="shared" si="2"/>
        <v>1.2040120999999999</v>
      </c>
      <c r="N32" s="198"/>
      <c r="O32" s="70">
        <v>1.3274999999999999</v>
      </c>
      <c r="P32" s="70">
        <v>0.69599999999999995</v>
      </c>
      <c r="Q32" s="70">
        <f t="shared" si="3"/>
        <v>1.2279399999999998</v>
      </c>
      <c r="R32" s="198"/>
      <c r="S32" s="70">
        <v>1.3274999999999999</v>
      </c>
      <c r="T32" s="70">
        <v>0.69599999999999995</v>
      </c>
      <c r="U32" s="199">
        <f t="shared" si="4"/>
        <v>1.2279399999999998</v>
      </c>
    </row>
    <row r="33" spans="1:21">
      <c r="A33" s="195" t="s">
        <v>184</v>
      </c>
      <c r="B33" s="2">
        <v>4041943</v>
      </c>
      <c r="C33" s="2" t="s">
        <v>185</v>
      </c>
      <c r="D33" s="2" t="s">
        <v>272</v>
      </c>
      <c r="E33" s="126" t="s">
        <v>385</v>
      </c>
      <c r="F33" s="2" t="s">
        <v>386</v>
      </c>
      <c r="G33" s="70">
        <v>1.3274999999999999</v>
      </c>
      <c r="H33" s="70">
        <v>0.69599999999999995</v>
      </c>
      <c r="I33" s="199">
        <f t="shared" si="0"/>
        <v>1.2279399999999998</v>
      </c>
      <c r="J33" s="198"/>
      <c r="K33" s="235">
        <v>1.2987</v>
      </c>
      <c r="L33" s="70">
        <f t="shared" si="1"/>
        <v>0.68300000000000005</v>
      </c>
      <c r="M33" s="199">
        <f t="shared" si="2"/>
        <v>1.2040120999999999</v>
      </c>
      <c r="N33" s="198"/>
      <c r="O33" s="70">
        <v>1.3274999999999999</v>
      </c>
      <c r="P33" s="70">
        <v>0.69599999999999995</v>
      </c>
      <c r="Q33" s="70">
        <f t="shared" si="3"/>
        <v>1.2279399999999998</v>
      </c>
      <c r="R33" s="198"/>
      <c r="S33" s="70">
        <v>1.3274999999999999</v>
      </c>
      <c r="T33" s="70">
        <v>0.69599999999999995</v>
      </c>
      <c r="U33" s="199">
        <f t="shared" si="4"/>
        <v>1.2279399999999998</v>
      </c>
    </row>
    <row r="34" spans="1:21">
      <c r="A34" s="195" t="s">
        <v>186</v>
      </c>
      <c r="B34" s="2">
        <v>4041950</v>
      </c>
      <c r="C34" s="2" t="s">
        <v>187</v>
      </c>
      <c r="D34" s="2" t="s">
        <v>269</v>
      </c>
      <c r="E34" s="196" t="s">
        <v>279</v>
      </c>
      <c r="F34" s="2" t="s">
        <v>380</v>
      </c>
      <c r="G34" s="70">
        <v>1.1698999999999999</v>
      </c>
      <c r="H34" s="70">
        <v>0.69599999999999995</v>
      </c>
      <c r="I34" s="199">
        <f t="shared" si="0"/>
        <v>1.1182504</v>
      </c>
      <c r="J34" s="198"/>
      <c r="K34" s="235">
        <v>1.1562999999999999</v>
      </c>
      <c r="L34" s="70">
        <f t="shared" si="1"/>
        <v>0.68300000000000005</v>
      </c>
      <c r="M34" s="199">
        <f t="shared" si="2"/>
        <v>1.1067529</v>
      </c>
      <c r="N34" s="198"/>
      <c r="O34" s="70">
        <v>1.1698999999999999</v>
      </c>
      <c r="P34" s="70">
        <v>0.69599999999999995</v>
      </c>
      <c r="Q34" s="70">
        <f t="shared" si="3"/>
        <v>1.1182504</v>
      </c>
      <c r="R34" s="198"/>
      <c r="S34" s="70">
        <v>1.1698999999999999</v>
      </c>
      <c r="T34" s="70">
        <v>0.69599999999999995</v>
      </c>
      <c r="U34" s="199">
        <f t="shared" si="4"/>
        <v>1.1182504</v>
      </c>
    </row>
    <row r="35" spans="1:21">
      <c r="A35" s="195" t="s">
        <v>192</v>
      </c>
      <c r="B35" s="2">
        <v>4041968</v>
      </c>
      <c r="C35" s="2" t="s">
        <v>194</v>
      </c>
      <c r="D35" s="2" t="s">
        <v>269</v>
      </c>
      <c r="E35" s="126" t="s">
        <v>279</v>
      </c>
      <c r="F35" s="2" t="s">
        <v>380</v>
      </c>
      <c r="G35" s="70">
        <v>1.1698999999999999</v>
      </c>
      <c r="H35" s="70">
        <v>0.69599999999999995</v>
      </c>
      <c r="I35" s="199">
        <f t="shared" si="0"/>
        <v>1.1182504</v>
      </c>
      <c r="J35" s="198"/>
      <c r="K35" s="235">
        <v>1.1562999999999999</v>
      </c>
      <c r="L35" s="70">
        <f t="shared" si="1"/>
        <v>0.68300000000000005</v>
      </c>
      <c r="M35" s="199">
        <f t="shared" si="2"/>
        <v>1.1067529</v>
      </c>
      <c r="N35" s="198"/>
      <c r="O35" s="70">
        <v>1.1698999999999999</v>
      </c>
      <c r="P35" s="70">
        <v>0.69599999999999995</v>
      </c>
      <c r="Q35" s="70">
        <f t="shared" si="3"/>
        <v>1.1182504</v>
      </c>
      <c r="R35" s="198"/>
      <c r="S35" s="70">
        <v>1.1698999999999999</v>
      </c>
      <c r="T35" s="70">
        <v>0.69599999999999995</v>
      </c>
      <c r="U35" s="199">
        <f t="shared" si="4"/>
        <v>1.1182504</v>
      </c>
    </row>
    <row r="36" spans="1:21">
      <c r="A36" s="202" t="s">
        <v>189</v>
      </c>
      <c r="B36" s="4">
        <v>4159960</v>
      </c>
      <c r="C36" s="4" t="s">
        <v>278</v>
      </c>
      <c r="D36" s="4" t="s">
        <v>269</v>
      </c>
      <c r="E36" s="148" t="s">
        <v>279</v>
      </c>
      <c r="F36" s="4" t="s">
        <v>380</v>
      </c>
      <c r="G36" s="74">
        <v>1.1698999999999999</v>
      </c>
      <c r="H36" s="74">
        <v>0.69599999999999995</v>
      </c>
      <c r="I36" s="204">
        <f t="shared" si="0"/>
        <v>1.1182504</v>
      </c>
      <c r="J36" s="206"/>
      <c r="K36" s="236">
        <v>1.1562999999999999</v>
      </c>
      <c r="L36" s="74">
        <f t="shared" si="1"/>
        <v>0.68300000000000005</v>
      </c>
      <c r="M36" s="204">
        <f t="shared" si="2"/>
        <v>1.1067529</v>
      </c>
      <c r="N36" s="206"/>
      <c r="O36" s="74">
        <v>1.1698999999999999</v>
      </c>
      <c r="P36" s="74">
        <v>0.69599999999999995</v>
      </c>
      <c r="Q36" s="74">
        <f t="shared" si="3"/>
        <v>1.1182504</v>
      </c>
      <c r="R36" s="206"/>
      <c r="S36" s="74">
        <v>1.1698999999999999</v>
      </c>
      <c r="T36" s="74">
        <v>0.69599999999999995</v>
      </c>
      <c r="U36" s="204">
        <f t="shared" si="4"/>
        <v>1.1182504</v>
      </c>
    </row>
    <row r="37" spans="1:21">
      <c r="C37" s="5"/>
      <c r="G37" s="207"/>
      <c r="H37" s="207"/>
      <c r="K37" s="237"/>
      <c r="L37" s="237"/>
      <c r="M37" s="237"/>
      <c r="N37" s="6"/>
      <c r="O37" s="237"/>
      <c r="P37" s="237"/>
      <c r="Q37" s="6"/>
      <c r="R37" s="6"/>
      <c r="S37" s="237"/>
      <c r="T37" s="237"/>
      <c r="U37" s="6"/>
    </row>
    <row r="38" spans="1:21">
      <c r="A38" s="278"/>
      <c r="B38" s="278"/>
      <c r="C38" s="278"/>
      <c r="D38" s="278"/>
      <c r="E38" s="278"/>
      <c r="F38" s="278"/>
      <c r="G38" s="278"/>
      <c r="H38" s="278"/>
      <c r="I38" s="278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>
      <c r="A39" s="5"/>
      <c r="B39" s="6"/>
      <c r="C39" s="6"/>
      <c r="D39" s="6"/>
      <c r="E39" s="6"/>
      <c r="F39" s="6"/>
      <c r="G39" s="6"/>
    </row>
    <row r="40" spans="1:21">
      <c r="A40" s="133"/>
      <c r="B40" s="6"/>
      <c r="C40" s="6"/>
      <c r="D40" s="6"/>
      <c r="E40" s="6"/>
      <c r="F40" s="6"/>
      <c r="G40" s="6"/>
    </row>
  </sheetData>
  <autoFilter ref="A5:U36"/>
  <mergeCells count="5">
    <mergeCell ref="G4:I4"/>
    <mergeCell ref="K4:M4"/>
    <mergeCell ref="O4:Q4"/>
    <mergeCell ref="S4:U4"/>
    <mergeCell ref="A38:I38"/>
  </mergeCells>
  <pageMargins left="0.2" right="0.2" top="0.75" bottom="0.75" header="0.3" footer="0.3"/>
  <pageSetup scale="74" fitToWidth="2" orientation="landscape" r:id="rId1"/>
  <headerFooter>
    <oddFooter>&amp;L&amp;Z&amp;F   &amp;A</oddFooter>
  </headerFooter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2"/>
  <sheetViews>
    <sheetView workbookViewId="0">
      <selection activeCell="N11" sqref="N11"/>
    </sheetView>
  </sheetViews>
  <sheetFormatPr defaultRowHeight="15"/>
  <cols>
    <col min="1" max="1" width="9.5703125" style="7" customWidth="1"/>
    <col min="2" max="2" width="12.28515625" style="7" customWidth="1"/>
    <col min="3" max="3" width="25.85546875" style="7" customWidth="1"/>
    <col min="4" max="4" width="8.140625" style="7" hidden="1" customWidth="1"/>
    <col min="5" max="5" width="16.85546875" style="7" hidden="1" customWidth="1"/>
    <col min="6" max="11" width="9.140625" style="7"/>
    <col min="12" max="12" width="10.7109375" style="7" customWidth="1"/>
    <col min="13" max="13" width="9.140625" style="7"/>
    <col min="14" max="14" width="10.7109375" style="7" customWidth="1"/>
    <col min="15" max="15" width="3.140625" style="7" customWidth="1"/>
    <col min="16" max="16" width="6.140625" style="7" hidden="1" customWidth="1"/>
    <col min="17" max="17" width="3" style="7" hidden="1" customWidth="1"/>
    <col min="18" max="18" width="3.5703125" style="7" hidden="1" customWidth="1"/>
    <col min="19" max="19" width="2.5703125" style="7" hidden="1" customWidth="1"/>
    <col min="20" max="20" width="6.140625" style="7" hidden="1" customWidth="1"/>
    <col min="21" max="21" width="0" style="7" hidden="1" customWidth="1"/>
    <col min="22" max="22" width="3.42578125" style="7" hidden="1" customWidth="1"/>
    <col min="23" max="23" width="7" style="7" hidden="1" customWidth="1"/>
    <col min="24" max="24" width="8" style="7" hidden="1" customWidth="1"/>
    <col min="25" max="16384" width="9.140625" style="7"/>
  </cols>
  <sheetData>
    <row r="1" spans="1:24" ht="18">
      <c r="A1" s="12" t="s">
        <v>52</v>
      </c>
      <c r="D1" s="12" t="s">
        <v>52</v>
      </c>
    </row>
    <row r="2" spans="1:24" ht="21">
      <c r="A2" s="17" t="s">
        <v>357</v>
      </c>
      <c r="D2" s="149" t="s">
        <v>227</v>
      </c>
    </row>
    <row r="3" spans="1:24">
      <c r="D3" s="7" t="s">
        <v>228</v>
      </c>
    </row>
    <row r="4" spans="1:24">
      <c r="A4"/>
      <c r="B4"/>
      <c r="C4"/>
      <c r="E4" s="123"/>
      <c r="F4" s="123"/>
      <c r="I4" s="134"/>
    </row>
    <row r="5" spans="1:24" ht="39">
      <c r="A5" s="37" t="s">
        <v>72</v>
      </c>
      <c r="B5" s="38" t="s">
        <v>73</v>
      </c>
      <c r="C5" s="38" t="s">
        <v>0</v>
      </c>
      <c r="D5" s="150" t="s">
        <v>72</v>
      </c>
      <c r="E5" s="151" t="s">
        <v>229</v>
      </c>
      <c r="F5" s="151" t="s">
        <v>230</v>
      </c>
      <c r="G5" s="151" t="s">
        <v>231</v>
      </c>
      <c r="H5" s="151" t="s">
        <v>232</v>
      </c>
      <c r="I5" s="152" t="s">
        <v>233</v>
      </c>
      <c r="J5" s="151" t="s">
        <v>234</v>
      </c>
      <c r="K5" s="151" t="s">
        <v>235</v>
      </c>
      <c r="L5" s="151" t="s">
        <v>236</v>
      </c>
      <c r="M5" s="153" t="s">
        <v>237</v>
      </c>
      <c r="N5" s="154" t="s">
        <v>238</v>
      </c>
      <c r="P5" s="275">
        <v>2017</v>
      </c>
      <c r="Q5" s="276"/>
      <c r="R5" s="276"/>
      <c r="S5" s="276"/>
      <c r="T5" s="276"/>
      <c r="U5" s="277"/>
      <c r="W5" s="155" t="s">
        <v>239</v>
      </c>
      <c r="X5" s="156" t="s">
        <v>240</v>
      </c>
    </row>
    <row r="6" spans="1:24" ht="36">
      <c r="B6" s="158" t="s">
        <v>102</v>
      </c>
      <c r="C6" s="158" t="s">
        <v>103</v>
      </c>
      <c r="D6" s="157" t="s">
        <v>102</v>
      </c>
      <c r="E6" s="158" t="s">
        <v>103</v>
      </c>
      <c r="F6" s="158" t="s">
        <v>104</v>
      </c>
      <c r="G6" s="158" t="s">
        <v>105</v>
      </c>
      <c r="H6" s="158" t="s">
        <v>106</v>
      </c>
      <c r="I6" s="159" t="s">
        <v>107</v>
      </c>
      <c r="J6" s="158" t="s">
        <v>108</v>
      </c>
      <c r="K6" s="158" t="s">
        <v>202</v>
      </c>
      <c r="L6" s="158" t="s">
        <v>241</v>
      </c>
      <c r="M6" s="158" t="s">
        <v>204</v>
      </c>
      <c r="N6" s="210" t="s">
        <v>242</v>
      </c>
    </row>
    <row r="7" spans="1:24">
      <c r="A7" s="36" t="s">
        <v>133</v>
      </c>
      <c r="B7" s="57" t="s">
        <v>45</v>
      </c>
      <c r="C7" s="2" t="s">
        <v>134</v>
      </c>
      <c r="D7" s="160" t="s">
        <v>133</v>
      </c>
      <c r="E7" s="161" t="s">
        <v>134</v>
      </c>
      <c r="F7" s="162">
        <v>42278</v>
      </c>
      <c r="G7" s="162">
        <v>42643</v>
      </c>
      <c r="H7" s="163">
        <v>484</v>
      </c>
      <c r="I7" s="164">
        <v>83</v>
      </c>
      <c r="J7" s="163">
        <v>0</v>
      </c>
      <c r="K7" s="163">
        <v>0</v>
      </c>
      <c r="L7" s="163">
        <f t="shared" ref="L7:L35" si="0">SUM(H7:J7)-K7</f>
        <v>567</v>
      </c>
      <c r="M7" s="165">
        <v>162.94</v>
      </c>
      <c r="N7" s="166">
        <f t="shared" ref="N7:N16" si="1">1.35*((1+IF(ISNA(M7),0,M7)/L7)^0.405-1)</f>
        <v>0.14542256896440775</v>
      </c>
      <c r="P7" s="163">
        <v>498</v>
      </c>
      <c r="Q7" s="164">
        <v>83</v>
      </c>
      <c r="R7" s="163">
        <v>0</v>
      </c>
      <c r="S7" s="163">
        <v>0</v>
      </c>
      <c r="T7" s="163">
        <f>SUM(P7:R7)-S7</f>
        <v>581</v>
      </c>
      <c r="U7" s="165">
        <v>163.72999999999999</v>
      </c>
      <c r="W7" s="167">
        <f>L7-T7</f>
        <v>-14</v>
      </c>
      <c r="X7" s="168">
        <f>M7-U7</f>
        <v>-0.78999999999999204</v>
      </c>
    </row>
    <row r="8" spans="1:24">
      <c r="A8" s="36" t="s">
        <v>135</v>
      </c>
      <c r="B8" s="2" t="s">
        <v>32</v>
      </c>
      <c r="C8" s="2" t="s">
        <v>136</v>
      </c>
      <c r="D8" s="160"/>
      <c r="E8" s="161"/>
      <c r="F8" s="162"/>
      <c r="G8" s="162"/>
      <c r="H8" s="163"/>
      <c r="I8" s="164"/>
      <c r="J8" s="163"/>
      <c r="K8" s="163"/>
      <c r="L8" s="163"/>
      <c r="M8" s="165"/>
      <c r="N8" s="166">
        <v>0</v>
      </c>
      <c r="P8" s="163"/>
      <c r="Q8" s="164"/>
      <c r="R8" s="163"/>
      <c r="S8" s="163"/>
      <c r="T8" s="163"/>
      <c r="U8" s="165"/>
      <c r="W8" s="167"/>
      <c r="X8" s="168"/>
    </row>
    <row r="9" spans="1:24">
      <c r="A9" s="36" t="s">
        <v>137</v>
      </c>
      <c r="B9" s="2" t="s">
        <v>44</v>
      </c>
      <c r="C9" s="2" t="s">
        <v>138</v>
      </c>
      <c r="D9" s="160"/>
      <c r="E9" s="161"/>
      <c r="F9" s="162"/>
      <c r="G9" s="162"/>
      <c r="H9" s="163"/>
      <c r="I9" s="164"/>
      <c r="J9" s="163"/>
      <c r="K9" s="163"/>
      <c r="L9" s="163"/>
      <c r="M9" s="165"/>
      <c r="N9" s="166">
        <v>0</v>
      </c>
      <c r="P9" s="163"/>
      <c r="Q9" s="164"/>
      <c r="R9" s="163"/>
      <c r="S9" s="163"/>
      <c r="T9" s="163"/>
      <c r="U9" s="165"/>
      <c r="W9" s="167"/>
      <c r="X9" s="168"/>
    </row>
    <row r="10" spans="1:24">
      <c r="A10" s="36" t="s">
        <v>139</v>
      </c>
      <c r="B10" s="2" t="s">
        <v>359</v>
      </c>
      <c r="C10" s="2" t="s">
        <v>140</v>
      </c>
      <c r="D10" s="160" t="s">
        <v>139</v>
      </c>
      <c r="E10" s="161" t="s">
        <v>140</v>
      </c>
      <c r="F10" s="162">
        <v>42278</v>
      </c>
      <c r="G10" s="162">
        <v>42643</v>
      </c>
      <c r="H10" s="163">
        <v>216</v>
      </c>
      <c r="I10" s="164">
        <v>30</v>
      </c>
      <c r="J10" s="163">
        <v>0</v>
      </c>
      <c r="K10" s="163">
        <v>0</v>
      </c>
      <c r="L10" s="163">
        <f t="shared" si="0"/>
        <v>246</v>
      </c>
      <c r="M10" s="165">
        <v>48.57</v>
      </c>
      <c r="N10" s="166">
        <f t="shared" si="1"/>
        <v>0.10219988687753338</v>
      </c>
      <c r="P10" s="163">
        <v>216</v>
      </c>
      <c r="Q10" s="164">
        <v>30</v>
      </c>
      <c r="R10" s="163">
        <v>0</v>
      </c>
      <c r="S10" s="163">
        <v>0</v>
      </c>
      <c r="T10" s="163">
        <f t="shared" ref="T10:T35" si="2">SUM(P10:R10)-S10</f>
        <v>246</v>
      </c>
      <c r="U10" s="165">
        <v>39.36</v>
      </c>
      <c r="W10" s="167">
        <f t="shared" ref="W10:X35" si="3">L10-T10</f>
        <v>0</v>
      </c>
      <c r="X10" s="168">
        <f t="shared" si="3"/>
        <v>9.2100000000000009</v>
      </c>
    </row>
    <row r="11" spans="1:24">
      <c r="A11" s="72" t="s">
        <v>141</v>
      </c>
      <c r="B11" s="4" t="s">
        <v>48</v>
      </c>
      <c r="C11" s="4" t="s">
        <v>142</v>
      </c>
      <c r="D11" s="169" t="s">
        <v>141</v>
      </c>
      <c r="E11" s="170" t="s">
        <v>243</v>
      </c>
      <c r="F11" s="171">
        <v>42278</v>
      </c>
      <c r="G11" s="171">
        <v>42643</v>
      </c>
      <c r="H11" s="172">
        <v>267</v>
      </c>
      <c r="I11" s="173">
        <v>20</v>
      </c>
      <c r="J11" s="172">
        <v>17</v>
      </c>
      <c r="K11" s="172">
        <v>0</v>
      </c>
      <c r="L11" s="172">
        <f t="shared" si="0"/>
        <v>304</v>
      </c>
      <c r="M11" s="174">
        <v>66.39</v>
      </c>
      <c r="N11" s="175">
        <f t="shared" si="1"/>
        <v>0.11243632063624634</v>
      </c>
      <c r="P11" s="163">
        <v>263</v>
      </c>
      <c r="Q11" s="164">
        <v>20</v>
      </c>
      <c r="R11" s="163">
        <v>17</v>
      </c>
      <c r="S11" s="163">
        <v>0</v>
      </c>
      <c r="T11" s="163">
        <f t="shared" si="2"/>
        <v>300</v>
      </c>
      <c r="U11" s="165">
        <v>65.010000000000005</v>
      </c>
      <c r="W11" s="167">
        <f t="shared" si="3"/>
        <v>4</v>
      </c>
      <c r="X11" s="168">
        <f t="shared" si="3"/>
        <v>1.3799999999999955</v>
      </c>
    </row>
    <row r="12" spans="1:24">
      <c r="A12" s="36" t="s">
        <v>143</v>
      </c>
      <c r="B12" s="2" t="s">
        <v>39</v>
      </c>
      <c r="C12" s="2" t="s">
        <v>144</v>
      </c>
      <c r="D12" s="160" t="s">
        <v>143</v>
      </c>
      <c r="E12" s="161" t="s">
        <v>144</v>
      </c>
      <c r="F12" s="162">
        <v>42278</v>
      </c>
      <c r="G12" s="162">
        <v>42643</v>
      </c>
      <c r="H12" s="163">
        <v>201</v>
      </c>
      <c r="I12" s="164">
        <v>18</v>
      </c>
      <c r="J12" s="163">
        <v>16</v>
      </c>
      <c r="K12" s="163">
        <v>0</v>
      </c>
      <c r="L12" s="163">
        <f t="shared" si="0"/>
        <v>235</v>
      </c>
      <c r="M12" s="165">
        <v>1</v>
      </c>
      <c r="N12" s="166">
        <f t="shared" si="1"/>
        <v>2.3236570187734175E-3</v>
      </c>
      <c r="P12" s="163">
        <v>200</v>
      </c>
      <c r="Q12" s="164">
        <v>18</v>
      </c>
      <c r="R12" s="163">
        <v>16</v>
      </c>
      <c r="S12" s="163">
        <v>0</v>
      </c>
      <c r="T12" s="163">
        <f t="shared" si="2"/>
        <v>234</v>
      </c>
      <c r="U12" s="165">
        <v>1</v>
      </c>
      <c r="W12" s="167">
        <f t="shared" si="3"/>
        <v>1</v>
      </c>
      <c r="X12" s="168">
        <f t="shared" si="3"/>
        <v>0</v>
      </c>
    </row>
    <row r="13" spans="1:24">
      <c r="A13" s="36" t="s">
        <v>145</v>
      </c>
      <c r="B13" s="2" t="s">
        <v>38</v>
      </c>
      <c r="C13" s="2" t="s">
        <v>146</v>
      </c>
      <c r="D13" s="160"/>
      <c r="E13" s="161"/>
      <c r="F13" s="162"/>
      <c r="G13" s="162"/>
      <c r="H13" s="163"/>
      <c r="I13" s="164"/>
      <c r="J13" s="163"/>
      <c r="K13" s="163"/>
      <c r="L13" s="163"/>
      <c r="M13" s="165"/>
      <c r="N13" s="166">
        <v>0</v>
      </c>
      <c r="P13" s="163"/>
      <c r="Q13" s="164"/>
      <c r="R13" s="163"/>
      <c r="S13" s="163"/>
      <c r="T13" s="163"/>
      <c r="U13" s="165"/>
      <c r="W13" s="167"/>
      <c r="X13" s="168"/>
    </row>
    <row r="14" spans="1:24">
      <c r="A14" s="36" t="s">
        <v>147</v>
      </c>
      <c r="B14" s="2" t="s">
        <v>29</v>
      </c>
      <c r="C14" s="2" t="s">
        <v>148</v>
      </c>
      <c r="D14" s="169" t="s">
        <v>147</v>
      </c>
      <c r="E14" s="170" t="s">
        <v>148</v>
      </c>
      <c r="F14" s="162">
        <v>42278</v>
      </c>
      <c r="G14" s="162">
        <v>42643</v>
      </c>
      <c r="H14" s="163">
        <v>345</v>
      </c>
      <c r="I14" s="164">
        <v>19</v>
      </c>
      <c r="J14" s="163">
        <v>3</v>
      </c>
      <c r="K14" s="163">
        <v>0</v>
      </c>
      <c r="L14" s="163">
        <f t="shared" si="0"/>
        <v>367</v>
      </c>
      <c r="M14" s="165">
        <v>112.95</v>
      </c>
      <c r="N14" s="166">
        <f t="shared" si="1"/>
        <v>0.15497189915859536</v>
      </c>
      <c r="P14" s="172">
        <v>322</v>
      </c>
      <c r="Q14" s="173">
        <v>19</v>
      </c>
      <c r="R14" s="172">
        <v>18</v>
      </c>
      <c r="S14" s="172">
        <v>0</v>
      </c>
      <c r="T14" s="172">
        <f t="shared" si="2"/>
        <v>359</v>
      </c>
      <c r="U14" s="174">
        <v>108.55</v>
      </c>
      <c r="V14" s="4"/>
      <c r="W14" s="176">
        <f t="shared" si="3"/>
        <v>8</v>
      </c>
      <c r="X14" s="177">
        <f t="shared" si="3"/>
        <v>4.4000000000000057</v>
      </c>
    </row>
    <row r="15" spans="1:24">
      <c r="A15" s="84" t="s">
        <v>149</v>
      </c>
      <c r="B15" s="5" t="s">
        <v>37</v>
      </c>
      <c r="C15" s="2" t="s">
        <v>150</v>
      </c>
      <c r="D15" s="160"/>
      <c r="E15" s="161"/>
      <c r="F15" s="162"/>
      <c r="G15" s="162"/>
      <c r="H15" s="163"/>
      <c r="I15" s="164"/>
      <c r="J15" s="163"/>
      <c r="K15" s="163"/>
      <c r="L15" s="163"/>
      <c r="M15" s="165"/>
      <c r="N15" s="166">
        <v>0</v>
      </c>
      <c r="P15" s="163"/>
      <c r="Q15" s="164"/>
      <c r="R15" s="163"/>
      <c r="S15" s="163"/>
      <c r="T15" s="163"/>
      <c r="U15" s="165"/>
      <c r="V15" s="2"/>
      <c r="W15" s="208"/>
      <c r="X15" s="209"/>
    </row>
    <row r="16" spans="1:24">
      <c r="A16" s="72" t="s">
        <v>151</v>
      </c>
      <c r="B16" s="4" t="s">
        <v>360</v>
      </c>
      <c r="C16" s="4" t="s">
        <v>152</v>
      </c>
      <c r="D16" s="211" t="s">
        <v>151</v>
      </c>
      <c r="E16" s="170" t="s">
        <v>244</v>
      </c>
      <c r="F16" s="171">
        <v>42278</v>
      </c>
      <c r="G16" s="171">
        <v>42643</v>
      </c>
      <c r="H16" s="172">
        <v>102</v>
      </c>
      <c r="I16" s="173">
        <v>0</v>
      </c>
      <c r="J16" s="172">
        <v>0</v>
      </c>
      <c r="K16" s="172">
        <v>0</v>
      </c>
      <c r="L16" s="172">
        <f t="shared" si="0"/>
        <v>102</v>
      </c>
      <c r="M16" s="174">
        <v>1.1399999999999999</v>
      </c>
      <c r="N16" s="175">
        <f t="shared" si="1"/>
        <v>6.0905369647312087E-3</v>
      </c>
      <c r="P16" s="163">
        <v>102</v>
      </c>
      <c r="Q16" s="164">
        <v>0</v>
      </c>
      <c r="R16" s="163">
        <v>0</v>
      </c>
      <c r="S16" s="163">
        <v>0</v>
      </c>
      <c r="T16" s="163">
        <f t="shared" si="2"/>
        <v>102</v>
      </c>
      <c r="U16" s="165">
        <v>1.26</v>
      </c>
      <c r="W16" s="167">
        <f t="shared" si="3"/>
        <v>0</v>
      </c>
      <c r="X16" s="168">
        <f t="shared" si="3"/>
        <v>-0.12000000000000011</v>
      </c>
    </row>
    <row r="17" spans="1:24">
      <c r="A17" s="36" t="s">
        <v>153</v>
      </c>
      <c r="B17" s="2" t="s">
        <v>154</v>
      </c>
      <c r="C17" s="2" t="s">
        <v>155</v>
      </c>
      <c r="D17" s="36" t="s">
        <v>153</v>
      </c>
      <c r="E17" s="161" t="s">
        <v>245</v>
      </c>
      <c r="F17" s="162">
        <v>42278</v>
      </c>
      <c r="G17" s="162">
        <v>42643</v>
      </c>
      <c r="H17" s="163">
        <f>H31</f>
        <v>376</v>
      </c>
      <c r="I17" s="163">
        <f t="shared" ref="I17:K17" si="4">I31</f>
        <v>22</v>
      </c>
      <c r="J17" s="163">
        <f t="shared" si="4"/>
        <v>14</v>
      </c>
      <c r="K17" s="163">
        <f t="shared" si="4"/>
        <v>0</v>
      </c>
      <c r="L17" s="163">
        <f t="shared" si="0"/>
        <v>412</v>
      </c>
      <c r="M17" s="165">
        <f>M31</f>
        <v>100.37</v>
      </c>
      <c r="N17" s="166">
        <f>N31</f>
        <v>0.12462567686053673</v>
      </c>
      <c r="P17" s="163">
        <v>381</v>
      </c>
      <c r="Q17" s="164">
        <v>22</v>
      </c>
      <c r="R17" s="163">
        <v>14</v>
      </c>
      <c r="S17" s="163">
        <v>0</v>
      </c>
      <c r="T17" s="163">
        <f t="shared" si="2"/>
        <v>417</v>
      </c>
      <c r="U17" s="165">
        <v>99.84</v>
      </c>
      <c r="W17" s="167">
        <f t="shared" si="3"/>
        <v>-5</v>
      </c>
      <c r="X17" s="168">
        <f t="shared" si="3"/>
        <v>0.53000000000000114</v>
      </c>
    </row>
    <row r="18" spans="1:24">
      <c r="A18" s="36" t="s">
        <v>156</v>
      </c>
      <c r="B18" s="2" t="s">
        <v>46</v>
      </c>
      <c r="C18" s="2" t="s">
        <v>157</v>
      </c>
      <c r="D18" s="160" t="s">
        <v>156</v>
      </c>
      <c r="E18" s="161" t="s">
        <v>246</v>
      </c>
      <c r="F18" s="162">
        <v>42278</v>
      </c>
      <c r="G18" s="162">
        <v>42643</v>
      </c>
      <c r="H18" s="163">
        <v>143</v>
      </c>
      <c r="I18" s="164">
        <v>12</v>
      </c>
      <c r="J18" s="163">
        <v>0</v>
      </c>
      <c r="K18" s="163">
        <v>0</v>
      </c>
      <c r="L18" s="163">
        <f t="shared" si="0"/>
        <v>155</v>
      </c>
      <c r="M18" s="165">
        <v>46.41</v>
      </c>
      <c r="N18" s="166">
        <f t="shared" ref="N18:N35" si="5">1.35*((1+IF(ISNA(M18),0,M18)/L18)^0.405-1)</f>
        <v>0.15107450127913852</v>
      </c>
      <c r="P18" s="163">
        <v>167</v>
      </c>
      <c r="Q18" s="164">
        <v>12</v>
      </c>
      <c r="R18" s="163">
        <v>0</v>
      </c>
      <c r="S18" s="163">
        <v>0</v>
      </c>
      <c r="T18" s="163">
        <f t="shared" si="2"/>
        <v>179</v>
      </c>
      <c r="U18" s="165">
        <v>48.65</v>
      </c>
      <c r="W18" s="167">
        <f t="shared" si="3"/>
        <v>-24</v>
      </c>
      <c r="X18" s="168">
        <f t="shared" si="3"/>
        <v>-2.240000000000002</v>
      </c>
    </row>
    <row r="19" spans="1:24">
      <c r="A19" s="36" t="s">
        <v>158</v>
      </c>
      <c r="B19" s="2" t="s">
        <v>41</v>
      </c>
      <c r="C19" s="2" t="s">
        <v>159</v>
      </c>
      <c r="D19" s="160"/>
      <c r="E19" s="161"/>
      <c r="F19" s="162"/>
      <c r="G19" s="162"/>
      <c r="H19" s="163"/>
      <c r="I19" s="164"/>
      <c r="J19" s="163"/>
      <c r="K19" s="163"/>
      <c r="L19" s="163"/>
      <c r="M19" s="165"/>
      <c r="N19" s="166">
        <v>0</v>
      </c>
      <c r="P19" s="163"/>
      <c r="Q19" s="164"/>
      <c r="R19" s="163"/>
      <c r="S19" s="163"/>
      <c r="T19" s="163"/>
      <c r="U19" s="165"/>
      <c r="W19" s="167"/>
      <c r="X19" s="168"/>
    </row>
    <row r="20" spans="1:24">
      <c r="A20" s="36" t="s">
        <v>160</v>
      </c>
      <c r="B20" s="2" t="s">
        <v>33</v>
      </c>
      <c r="C20" s="2" t="s">
        <v>161</v>
      </c>
      <c r="D20" s="160" t="s">
        <v>160</v>
      </c>
      <c r="E20" s="161" t="s">
        <v>161</v>
      </c>
      <c r="F20" s="162">
        <v>42278</v>
      </c>
      <c r="G20" s="162">
        <v>42643</v>
      </c>
      <c r="H20" s="163">
        <v>184</v>
      </c>
      <c r="I20" s="164">
        <v>0</v>
      </c>
      <c r="J20" s="163">
        <v>0</v>
      </c>
      <c r="K20" s="163">
        <v>0</v>
      </c>
      <c r="L20" s="163">
        <f t="shared" si="0"/>
        <v>184</v>
      </c>
      <c r="M20" s="165">
        <v>21.55</v>
      </c>
      <c r="N20" s="166">
        <f t="shared" si="5"/>
        <v>6.1933134137395852E-2</v>
      </c>
      <c r="P20" s="163">
        <v>184</v>
      </c>
      <c r="Q20" s="164">
        <v>0</v>
      </c>
      <c r="R20" s="163">
        <v>0</v>
      </c>
      <c r="S20" s="163">
        <v>0</v>
      </c>
      <c r="T20" s="163">
        <f t="shared" si="2"/>
        <v>184</v>
      </c>
      <c r="U20" s="165">
        <v>22.34</v>
      </c>
      <c r="W20" s="167">
        <f t="shared" si="3"/>
        <v>0</v>
      </c>
      <c r="X20" s="168">
        <f t="shared" si="3"/>
        <v>-0.78999999999999915</v>
      </c>
    </row>
    <row r="21" spans="1:24">
      <c r="A21" s="72" t="s">
        <v>162</v>
      </c>
      <c r="B21" s="4" t="s">
        <v>42</v>
      </c>
      <c r="C21" s="4" t="s">
        <v>163</v>
      </c>
      <c r="D21" s="169"/>
      <c r="E21" s="170"/>
      <c r="F21" s="171"/>
      <c r="G21" s="171"/>
      <c r="H21" s="172"/>
      <c r="I21" s="173"/>
      <c r="J21" s="172"/>
      <c r="K21" s="172"/>
      <c r="L21" s="172"/>
      <c r="M21" s="174"/>
      <c r="N21" s="175">
        <v>0</v>
      </c>
      <c r="P21" s="163"/>
      <c r="Q21" s="164"/>
      <c r="R21" s="163"/>
      <c r="S21" s="163"/>
      <c r="T21" s="163"/>
      <c r="U21" s="165"/>
      <c r="W21" s="167"/>
      <c r="X21" s="168"/>
    </row>
    <row r="22" spans="1:24">
      <c r="A22" s="36" t="s">
        <v>164</v>
      </c>
      <c r="B22" s="2" t="s">
        <v>40</v>
      </c>
      <c r="C22" s="2" t="s">
        <v>165</v>
      </c>
      <c r="D22" s="169" t="s">
        <v>164</v>
      </c>
      <c r="E22" s="170" t="s">
        <v>165</v>
      </c>
      <c r="F22" s="162">
        <v>42278</v>
      </c>
      <c r="G22" s="162">
        <v>42643</v>
      </c>
      <c r="H22" s="163">
        <v>209</v>
      </c>
      <c r="I22" s="164">
        <v>20</v>
      </c>
      <c r="J22" s="163">
        <v>0</v>
      </c>
      <c r="K22" s="163">
        <v>0</v>
      </c>
      <c r="L22" s="163">
        <f t="shared" si="0"/>
        <v>229</v>
      </c>
      <c r="M22" s="165">
        <v>25.35</v>
      </c>
      <c r="N22" s="166">
        <f t="shared" si="5"/>
        <v>5.8640769059641142E-2</v>
      </c>
      <c r="P22" s="172">
        <v>209</v>
      </c>
      <c r="Q22" s="173">
        <v>20</v>
      </c>
      <c r="R22" s="172">
        <v>0</v>
      </c>
      <c r="S22" s="172">
        <v>0</v>
      </c>
      <c r="T22" s="172">
        <f t="shared" si="2"/>
        <v>229</v>
      </c>
      <c r="U22" s="174">
        <v>24.3</v>
      </c>
      <c r="V22" s="4"/>
      <c r="W22" s="176">
        <f t="shared" si="3"/>
        <v>0</v>
      </c>
      <c r="X22" s="177">
        <f t="shared" si="3"/>
        <v>1.0500000000000007</v>
      </c>
    </row>
    <row r="23" spans="1:24">
      <c r="A23" s="36" t="s">
        <v>166</v>
      </c>
      <c r="B23" s="2" t="s">
        <v>49</v>
      </c>
      <c r="C23" s="2" t="s">
        <v>167</v>
      </c>
      <c r="D23" s="160"/>
      <c r="E23" s="161"/>
      <c r="F23" s="162"/>
      <c r="G23" s="162"/>
      <c r="H23" s="163"/>
      <c r="I23" s="164"/>
      <c r="J23" s="163"/>
      <c r="K23" s="163"/>
      <c r="L23" s="163"/>
      <c r="M23" s="165"/>
      <c r="N23" s="166">
        <v>0</v>
      </c>
      <c r="P23" s="163"/>
      <c r="Q23" s="164"/>
      <c r="R23" s="163"/>
      <c r="S23" s="163"/>
      <c r="T23" s="163"/>
      <c r="U23" s="165"/>
      <c r="V23" s="2"/>
      <c r="W23" s="208"/>
      <c r="X23" s="209"/>
    </row>
    <row r="24" spans="1:24">
      <c r="A24" s="36" t="s">
        <v>168</v>
      </c>
      <c r="B24" s="2" t="s">
        <v>50</v>
      </c>
      <c r="C24" s="2" t="s">
        <v>169</v>
      </c>
      <c r="D24" s="160" t="s">
        <v>168</v>
      </c>
      <c r="E24" s="161" t="s">
        <v>169</v>
      </c>
      <c r="F24" s="162">
        <v>42278</v>
      </c>
      <c r="G24" s="162">
        <v>42643</v>
      </c>
      <c r="H24" s="163">
        <v>1276</v>
      </c>
      <c r="I24" s="164">
        <v>103</v>
      </c>
      <c r="J24" s="163">
        <v>24</v>
      </c>
      <c r="K24" s="163">
        <v>0</v>
      </c>
      <c r="L24" s="163">
        <f t="shared" si="0"/>
        <v>1403</v>
      </c>
      <c r="M24" s="165">
        <v>772</v>
      </c>
      <c r="N24" s="166">
        <f t="shared" si="5"/>
        <v>0.26230207365777336</v>
      </c>
      <c r="P24" s="163">
        <v>1266</v>
      </c>
      <c r="Q24" s="164">
        <v>98</v>
      </c>
      <c r="R24" s="163">
        <v>16</v>
      </c>
      <c r="S24" s="163">
        <v>0</v>
      </c>
      <c r="T24" s="163">
        <f t="shared" si="2"/>
        <v>1380</v>
      </c>
      <c r="U24" s="165">
        <v>812.43</v>
      </c>
      <c r="W24" s="167">
        <f t="shared" si="3"/>
        <v>23</v>
      </c>
      <c r="X24" s="168">
        <f t="shared" si="3"/>
        <v>-40.42999999999995</v>
      </c>
    </row>
    <row r="25" spans="1:24">
      <c r="A25" s="36" t="s">
        <v>170</v>
      </c>
      <c r="B25" s="2" t="s">
        <v>28</v>
      </c>
      <c r="C25" s="2" t="s">
        <v>171</v>
      </c>
      <c r="D25" s="160"/>
      <c r="E25" s="161"/>
      <c r="F25" s="162"/>
      <c r="G25" s="162"/>
      <c r="H25" s="163"/>
      <c r="I25" s="164"/>
      <c r="J25" s="163"/>
      <c r="K25" s="163"/>
      <c r="L25" s="163"/>
      <c r="M25" s="165"/>
      <c r="N25" s="166">
        <v>0</v>
      </c>
      <c r="P25" s="163"/>
      <c r="Q25" s="164"/>
      <c r="R25" s="163"/>
      <c r="S25" s="163"/>
      <c r="T25" s="163"/>
      <c r="U25" s="165"/>
      <c r="W25" s="167"/>
      <c r="X25" s="168"/>
    </row>
    <row r="26" spans="1:24">
      <c r="A26" s="72" t="s">
        <v>172</v>
      </c>
      <c r="B26" s="4" t="s">
        <v>35</v>
      </c>
      <c r="C26" s="4" t="s">
        <v>173</v>
      </c>
      <c r="D26" s="169" t="s">
        <v>172</v>
      </c>
      <c r="E26" s="170" t="s">
        <v>173</v>
      </c>
      <c r="F26" s="171">
        <v>42278</v>
      </c>
      <c r="G26" s="171">
        <v>42643</v>
      </c>
      <c r="H26" s="172">
        <v>660</v>
      </c>
      <c r="I26" s="173">
        <v>92</v>
      </c>
      <c r="J26" s="172">
        <v>0</v>
      </c>
      <c r="K26" s="172">
        <v>0</v>
      </c>
      <c r="L26" s="172">
        <f t="shared" si="0"/>
        <v>752</v>
      </c>
      <c r="M26" s="174">
        <v>245.62</v>
      </c>
      <c r="N26" s="175">
        <f t="shared" si="5"/>
        <v>0.16372306228495034</v>
      </c>
      <c r="P26" s="163">
        <v>662</v>
      </c>
      <c r="Q26" s="164">
        <v>92</v>
      </c>
      <c r="R26" s="163">
        <v>0</v>
      </c>
      <c r="S26" s="163">
        <v>0</v>
      </c>
      <c r="T26" s="163">
        <f t="shared" si="2"/>
        <v>754</v>
      </c>
      <c r="U26" s="165">
        <v>249.48</v>
      </c>
      <c r="W26" s="167">
        <f t="shared" si="3"/>
        <v>-2</v>
      </c>
      <c r="X26" s="168">
        <f t="shared" si="3"/>
        <v>-3.8599999999999852</v>
      </c>
    </row>
    <row r="27" spans="1:24">
      <c r="A27" s="36" t="s">
        <v>174</v>
      </c>
      <c r="B27" s="2" t="s">
        <v>361</v>
      </c>
      <c r="C27" s="2" t="s">
        <v>175</v>
      </c>
      <c r="D27" s="160" t="s">
        <v>174</v>
      </c>
      <c r="E27" s="161" t="s">
        <v>175</v>
      </c>
      <c r="F27" s="162">
        <v>42278</v>
      </c>
      <c r="G27" s="162">
        <v>42643</v>
      </c>
      <c r="H27" s="163">
        <v>140</v>
      </c>
      <c r="I27" s="164">
        <v>31</v>
      </c>
      <c r="J27" s="163">
        <v>0</v>
      </c>
      <c r="K27" s="163">
        <v>0</v>
      </c>
      <c r="L27" s="163">
        <f t="shared" si="0"/>
        <v>171</v>
      </c>
      <c r="M27" s="165">
        <v>26.87</v>
      </c>
      <c r="N27" s="166">
        <f t="shared" si="5"/>
        <v>8.2201832479331022E-2</v>
      </c>
      <c r="P27" s="163">
        <v>132</v>
      </c>
      <c r="Q27" s="164">
        <v>31</v>
      </c>
      <c r="R27" s="163">
        <v>0</v>
      </c>
      <c r="S27" s="163">
        <v>0</v>
      </c>
      <c r="T27" s="163">
        <f t="shared" si="2"/>
        <v>163</v>
      </c>
      <c r="U27" s="165">
        <v>22.68</v>
      </c>
      <c r="W27" s="167">
        <f t="shared" si="3"/>
        <v>8</v>
      </c>
      <c r="X27" s="168">
        <f t="shared" si="3"/>
        <v>4.1900000000000013</v>
      </c>
    </row>
    <row r="28" spans="1:24">
      <c r="A28" s="36" t="s">
        <v>176</v>
      </c>
      <c r="B28" s="2" t="s">
        <v>47</v>
      </c>
      <c r="C28" s="2" t="s">
        <v>177</v>
      </c>
      <c r="D28" s="160" t="s">
        <v>176</v>
      </c>
      <c r="E28" s="161" t="s">
        <v>247</v>
      </c>
      <c r="F28" s="162">
        <v>42278</v>
      </c>
      <c r="G28" s="162">
        <v>42643</v>
      </c>
      <c r="H28" s="163">
        <v>258</v>
      </c>
      <c r="I28" s="164">
        <v>90</v>
      </c>
      <c r="J28" s="163">
        <v>10</v>
      </c>
      <c r="K28" s="163">
        <v>0</v>
      </c>
      <c r="L28" s="163">
        <f t="shared" si="0"/>
        <v>358</v>
      </c>
      <c r="M28" s="165">
        <v>55.15</v>
      </c>
      <c r="N28" s="166">
        <f t="shared" si="5"/>
        <v>8.0654562894914295E-2</v>
      </c>
      <c r="P28" s="163">
        <v>301</v>
      </c>
      <c r="Q28" s="164">
        <v>92</v>
      </c>
      <c r="R28" s="163">
        <v>10</v>
      </c>
      <c r="S28" s="163">
        <v>0</v>
      </c>
      <c r="T28" s="163">
        <f t="shared" si="2"/>
        <v>403</v>
      </c>
      <c r="U28" s="165">
        <v>55.12</v>
      </c>
      <c r="W28" s="167">
        <f t="shared" si="3"/>
        <v>-45</v>
      </c>
      <c r="X28" s="168">
        <f t="shared" si="3"/>
        <v>3.0000000000001137E-2</v>
      </c>
    </row>
    <row r="29" spans="1:24">
      <c r="A29" s="36" t="s">
        <v>178</v>
      </c>
      <c r="B29" s="2" t="s">
        <v>30</v>
      </c>
      <c r="C29" s="2" t="s">
        <v>179</v>
      </c>
      <c r="D29" s="160"/>
      <c r="E29" s="161"/>
      <c r="F29" s="162"/>
      <c r="G29" s="162"/>
      <c r="H29" s="163"/>
      <c r="I29" s="164"/>
      <c r="J29" s="163"/>
      <c r="K29" s="163"/>
      <c r="L29" s="163"/>
      <c r="M29" s="165"/>
      <c r="N29" s="166">
        <v>0</v>
      </c>
      <c r="P29" s="163"/>
      <c r="Q29" s="164"/>
      <c r="R29" s="163"/>
      <c r="S29" s="163"/>
      <c r="T29" s="163"/>
      <c r="U29" s="165"/>
      <c r="W29" s="167"/>
      <c r="X29" s="168"/>
    </row>
    <row r="30" spans="1:24">
      <c r="A30" s="36" t="s">
        <v>180</v>
      </c>
      <c r="B30" s="2" t="s">
        <v>34</v>
      </c>
      <c r="C30" s="2" t="s">
        <v>181</v>
      </c>
      <c r="D30" s="169" t="s">
        <v>180</v>
      </c>
      <c r="E30" s="170" t="s">
        <v>248</v>
      </c>
      <c r="F30" s="162">
        <v>42278</v>
      </c>
      <c r="G30" s="162">
        <v>42643</v>
      </c>
      <c r="H30" s="163">
        <v>101</v>
      </c>
      <c r="I30" s="164">
        <v>16</v>
      </c>
      <c r="J30" s="163">
        <v>0</v>
      </c>
      <c r="K30" s="163">
        <v>0</v>
      </c>
      <c r="L30" s="163">
        <f t="shared" si="0"/>
        <v>117</v>
      </c>
      <c r="M30" s="165">
        <v>28.74</v>
      </c>
      <c r="N30" s="166">
        <f t="shared" si="5"/>
        <v>0.1255974443735775</v>
      </c>
      <c r="P30" s="172">
        <v>101</v>
      </c>
      <c r="Q30" s="173">
        <v>16</v>
      </c>
      <c r="R30" s="172">
        <v>0</v>
      </c>
      <c r="S30" s="172">
        <v>0</v>
      </c>
      <c r="T30" s="172">
        <f t="shared" si="2"/>
        <v>117</v>
      </c>
      <c r="U30" s="174">
        <v>31.79</v>
      </c>
      <c r="V30" s="4"/>
      <c r="W30" s="176">
        <f t="shared" si="3"/>
        <v>0</v>
      </c>
      <c r="X30" s="177">
        <f t="shared" si="3"/>
        <v>-3.0500000000000007</v>
      </c>
    </row>
    <row r="31" spans="1:24">
      <c r="A31" s="72" t="s">
        <v>182</v>
      </c>
      <c r="B31" s="4" t="s">
        <v>31</v>
      </c>
      <c r="C31" s="4" t="s">
        <v>183</v>
      </c>
      <c r="D31" s="169" t="s">
        <v>182</v>
      </c>
      <c r="E31" s="170" t="s">
        <v>183</v>
      </c>
      <c r="F31" s="171">
        <v>42278</v>
      </c>
      <c r="G31" s="171">
        <v>42643</v>
      </c>
      <c r="H31" s="172">
        <v>376</v>
      </c>
      <c r="I31" s="173">
        <v>22</v>
      </c>
      <c r="J31" s="172">
        <v>14</v>
      </c>
      <c r="K31" s="172">
        <v>0</v>
      </c>
      <c r="L31" s="172">
        <f t="shared" si="0"/>
        <v>412</v>
      </c>
      <c r="M31" s="174">
        <v>100.37</v>
      </c>
      <c r="N31" s="175">
        <f t="shared" si="5"/>
        <v>0.12462567686053673</v>
      </c>
      <c r="P31" s="163">
        <v>381</v>
      </c>
      <c r="Q31" s="164">
        <v>22</v>
      </c>
      <c r="R31" s="163">
        <v>14</v>
      </c>
      <c r="S31" s="163">
        <v>0</v>
      </c>
      <c r="T31" s="163">
        <f t="shared" si="2"/>
        <v>417</v>
      </c>
      <c r="U31" s="165">
        <v>99.84</v>
      </c>
      <c r="W31" s="167">
        <f t="shared" si="3"/>
        <v>-5</v>
      </c>
      <c r="X31" s="168">
        <f t="shared" si="3"/>
        <v>0.53000000000000114</v>
      </c>
    </row>
    <row r="32" spans="1:24">
      <c r="A32" s="36" t="s">
        <v>184</v>
      </c>
      <c r="B32" s="2" t="s">
        <v>43</v>
      </c>
      <c r="C32" s="2" t="s">
        <v>185</v>
      </c>
      <c r="D32" s="160" t="s">
        <v>184</v>
      </c>
      <c r="E32" s="161" t="s">
        <v>185</v>
      </c>
      <c r="F32" s="162">
        <v>42278</v>
      </c>
      <c r="G32" s="162">
        <v>42643</v>
      </c>
      <c r="H32" s="163">
        <v>282</v>
      </c>
      <c r="I32" s="164">
        <v>20</v>
      </c>
      <c r="J32" s="163">
        <v>0</v>
      </c>
      <c r="K32" s="163">
        <v>0</v>
      </c>
      <c r="L32" s="163">
        <f t="shared" si="0"/>
        <v>302</v>
      </c>
      <c r="M32" s="165">
        <v>59.24</v>
      </c>
      <c r="N32" s="166">
        <f t="shared" si="5"/>
        <v>0.1015709534794892</v>
      </c>
      <c r="P32" s="163">
        <v>272</v>
      </c>
      <c r="Q32" s="164">
        <v>20</v>
      </c>
      <c r="R32" s="163">
        <v>10</v>
      </c>
      <c r="S32" s="163">
        <v>0</v>
      </c>
      <c r="T32" s="163">
        <f t="shared" si="2"/>
        <v>302</v>
      </c>
      <c r="U32" s="165">
        <v>61.33</v>
      </c>
      <c r="W32" s="167">
        <f t="shared" si="3"/>
        <v>0</v>
      </c>
      <c r="X32" s="168">
        <f t="shared" si="3"/>
        <v>-2.0899999999999963</v>
      </c>
    </row>
    <row r="33" spans="1:24">
      <c r="A33" s="36" t="s">
        <v>186</v>
      </c>
      <c r="B33" s="2" t="s">
        <v>36</v>
      </c>
      <c r="C33" s="2" t="s">
        <v>187</v>
      </c>
      <c r="D33" s="160" t="s">
        <v>186</v>
      </c>
      <c r="E33" s="161" t="s">
        <v>207</v>
      </c>
      <c r="F33" s="162">
        <v>42278</v>
      </c>
      <c r="G33" s="162">
        <v>42643</v>
      </c>
      <c r="H33" s="163">
        <v>246</v>
      </c>
      <c r="I33" s="164">
        <v>32</v>
      </c>
      <c r="J33" s="163">
        <v>0</v>
      </c>
      <c r="K33" s="163">
        <v>0</v>
      </c>
      <c r="L33" s="163">
        <f t="shared" si="0"/>
        <v>278</v>
      </c>
      <c r="M33" s="165">
        <v>45.67</v>
      </c>
      <c r="N33" s="166">
        <f t="shared" si="5"/>
        <v>8.5777414941812402E-2</v>
      </c>
      <c r="P33" s="163">
        <v>276</v>
      </c>
      <c r="Q33" s="164">
        <v>32</v>
      </c>
      <c r="R33" s="163">
        <v>0</v>
      </c>
      <c r="S33" s="163">
        <v>0</v>
      </c>
      <c r="T33" s="163">
        <f t="shared" si="2"/>
        <v>308</v>
      </c>
      <c r="U33" s="165">
        <v>45.58</v>
      </c>
      <c r="W33" s="167">
        <f t="shared" si="3"/>
        <v>-30</v>
      </c>
      <c r="X33" s="168">
        <f t="shared" si="3"/>
        <v>9.0000000000003411E-2</v>
      </c>
    </row>
    <row r="34" spans="1:24">
      <c r="A34" s="36" t="s">
        <v>192</v>
      </c>
      <c r="B34" s="2" t="s">
        <v>193</v>
      </c>
      <c r="C34" s="2" t="s">
        <v>194</v>
      </c>
      <c r="D34" s="160" t="s">
        <v>192</v>
      </c>
      <c r="E34" s="161" t="s">
        <v>194</v>
      </c>
      <c r="F34" s="162">
        <v>42186</v>
      </c>
      <c r="G34" s="162">
        <v>42551</v>
      </c>
      <c r="H34" s="163">
        <v>147</v>
      </c>
      <c r="I34" s="164">
        <v>18</v>
      </c>
      <c r="J34" s="163">
        <v>0</v>
      </c>
      <c r="K34" s="163">
        <v>0</v>
      </c>
      <c r="L34" s="163">
        <f t="shared" si="0"/>
        <v>165</v>
      </c>
      <c r="M34" s="165">
        <v>233.84</v>
      </c>
      <c r="N34" s="166">
        <f t="shared" si="5"/>
        <v>0.58008416500076243</v>
      </c>
      <c r="P34" s="163">
        <v>146</v>
      </c>
      <c r="Q34" s="164">
        <v>22</v>
      </c>
      <c r="R34" s="163">
        <v>0</v>
      </c>
      <c r="S34" s="163">
        <v>0</v>
      </c>
      <c r="T34" s="163">
        <f t="shared" si="2"/>
        <v>168</v>
      </c>
      <c r="U34" s="165">
        <v>217.34</v>
      </c>
      <c r="W34" s="167">
        <f t="shared" si="3"/>
        <v>-3</v>
      </c>
      <c r="X34" s="168">
        <f t="shared" si="3"/>
        <v>16.5</v>
      </c>
    </row>
    <row r="35" spans="1:24">
      <c r="A35" s="72" t="s">
        <v>189</v>
      </c>
      <c r="B35" s="4" t="s">
        <v>190</v>
      </c>
      <c r="C35" s="4" t="s">
        <v>226</v>
      </c>
      <c r="D35" s="169" t="s">
        <v>189</v>
      </c>
      <c r="E35" s="170" t="s">
        <v>208</v>
      </c>
      <c r="F35" s="171">
        <v>42278</v>
      </c>
      <c r="G35" s="171">
        <v>42643</v>
      </c>
      <c r="H35" s="172">
        <v>187</v>
      </c>
      <c r="I35" s="173">
        <v>0</v>
      </c>
      <c r="J35" s="172">
        <v>0</v>
      </c>
      <c r="K35" s="172">
        <v>0</v>
      </c>
      <c r="L35" s="172">
        <f t="shared" si="0"/>
        <v>187</v>
      </c>
      <c r="M35" s="174">
        <v>88.16</v>
      </c>
      <c r="N35" s="175">
        <f t="shared" si="5"/>
        <v>0.22859224392863225</v>
      </c>
      <c r="P35" s="172">
        <v>187</v>
      </c>
      <c r="Q35" s="173">
        <v>0</v>
      </c>
      <c r="R35" s="172">
        <v>0</v>
      </c>
      <c r="S35" s="172">
        <v>0</v>
      </c>
      <c r="T35" s="172">
        <f t="shared" si="2"/>
        <v>187</v>
      </c>
      <c r="U35" s="174">
        <v>82.39</v>
      </c>
      <c r="V35" s="4"/>
      <c r="W35" s="176">
        <f t="shared" si="3"/>
        <v>0</v>
      </c>
      <c r="X35" s="177">
        <f t="shared" si="3"/>
        <v>5.769999999999996</v>
      </c>
    </row>
    <row r="36" spans="1:24">
      <c r="M36" s="168"/>
      <c r="N36" s="166"/>
    </row>
    <row r="37" spans="1:24">
      <c r="E37" s="178" t="s">
        <v>249</v>
      </c>
      <c r="F37" s="9"/>
      <c r="G37" s="9"/>
      <c r="N37" s="179"/>
    </row>
    <row r="92" spans="2:3">
      <c r="B92" s="123"/>
      <c r="C92" s="123"/>
    </row>
  </sheetData>
  <mergeCells count="1">
    <mergeCell ref="P5:U5"/>
  </mergeCells>
  <pageMargins left="0.7" right="0.7" top="0.75" bottom="0.75" header="0.3" footer="0.3"/>
  <pageSetup scale="37" orientation="landscape" r:id="rId1"/>
  <headerFooter>
    <oddFooter>&amp;L&amp;Z&amp;F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pane ySplit="6" topLeftCell="A7" activePane="bottomLeft" state="frozen"/>
      <selection pane="bottomLeft" activeCell="V9" sqref="V9"/>
    </sheetView>
  </sheetViews>
  <sheetFormatPr defaultRowHeight="15" outlineLevelCol="1"/>
  <cols>
    <col min="1" max="1" width="6" style="7" hidden="1" customWidth="1" outlineLevel="1"/>
    <col min="2" max="2" width="9.140625" style="7" hidden="1" customWidth="1" outlineLevel="1"/>
    <col min="3" max="3" width="33.5703125" style="7" customWidth="1" collapsed="1"/>
    <col min="4" max="4" width="9.42578125" style="7" customWidth="1" outlineLevel="1"/>
    <col min="5" max="6" width="9.7109375" style="7" customWidth="1" outlineLevel="1"/>
    <col min="7" max="7" width="14.28515625" style="7" bestFit="1" customWidth="1"/>
    <col min="8" max="9" width="12.5703125" style="7" bestFit="1" customWidth="1"/>
    <col min="10" max="10" width="13.85546875" style="7" bestFit="1" customWidth="1"/>
    <col min="11" max="11" width="13.5703125" style="7" bestFit="1" customWidth="1"/>
    <col min="12" max="12" width="11.5703125" style="7" bestFit="1" customWidth="1"/>
    <col min="13" max="13" width="10.42578125" style="7" bestFit="1" customWidth="1"/>
    <col min="14" max="14" width="12.28515625" style="7" bestFit="1" customWidth="1"/>
    <col min="15" max="15" width="13.85546875" style="7" customWidth="1"/>
    <col min="16" max="16" width="15.140625" style="7" customWidth="1"/>
    <col min="17" max="17" width="14.85546875" style="7" bestFit="1" customWidth="1"/>
    <col min="18" max="18" width="9.140625" style="7"/>
    <col min="19" max="19" width="0" style="7" hidden="1" customWidth="1"/>
    <col min="20" max="20" width="10.7109375" style="212" hidden="1" customWidth="1"/>
    <col min="21" max="16384" width="9.140625" style="7"/>
  </cols>
  <sheetData>
    <row r="1" spans="1:20" ht="21">
      <c r="C1" s="223" t="s">
        <v>352</v>
      </c>
    </row>
    <row r="2" spans="1:20">
      <c r="C2" s="7" t="s">
        <v>351</v>
      </c>
    </row>
    <row r="3" spans="1:20">
      <c r="G3" s="7" t="s">
        <v>350</v>
      </c>
      <c r="H3" s="7" t="s">
        <v>349</v>
      </c>
      <c r="I3" s="7" t="s">
        <v>349</v>
      </c>
      <c r="J3" s="7" t="s">
        <v>349</v>
      </c>
      <c r="K3" s="7" t="s">
        <v>349</v>
      </c>
      <c r="L3" s="7" t="s">
        <v>349</v>
      </c>
      <c r="M3" s="7" t="s">
        <v>349</v>
      </c>
      <c r="N3" s="7" t="s">
        <v>349</v>
      </c>
      <c r="O3" s="7" t="s">
        <v>349</v>
      </c>
      <c r="P3" s="7" t="s">
        <v>349</v>
      </c>
    </row>
    <row r="4" spans="1:20">
      <c r="G4" s="7" t="s">
        <v>348</v>
      </c>
      <c r="H4" s="7" t="s">
        <v>347</v>
      </c>
      <c r="I4" s="7" t="s">
        <v>346</v>
      </c>
      <c r="J4" s="7" t="s">
        <v>345</v>
      </c>
      <c r="K4" s="7" t="s">
        <v>344</v>
      </c>
      <c r="L4" s="7" t="s">
        <v>343</v>
      </c>
      <c r="M4" s="7" t="s">
        <v>342</v>
      </c>
      <c r="N4" s="7" t="s">
        <v>341</v>
      </c>
      <c r="O4" s="7" t="s">
        <v>340</v>
      </c>
      <c r="P4" s="7" t="s">
        <v>339</v>
      </c>
    </row>
    <row r="5" spans="1:20" ht="75">
      <c r="A5" s="240" t="s">
        <v>338</v>
      </c>
      <c r="B5" s="241" t="s">
        <v>337</v>
      </c>
      <c r="C5" s="241" t="s">
        <v>336</v>
      </c>
      <c r="D5" s="241" t="s">
        <v>72</v>
      </c>
      <c r="E5" s="241" t="s">
        <v>230</v>
      </c>
      <c r="F5" s="241" t="s">
        <v>231</v>
      </c>
      <c r="G5" s="241" t="s">
        <v>335</v>
      </c>
      <c r="H5" s="241" t="s">
        <v>334</v>
      </c>
      <c r="I5" s="241" t="s">
        <v>333</v>
      </c>
      <c r="J5" s="241" t="s">
        <v>328</v>
      </c>
      <c r="K5" s="241" t="s">
        <v>332</v>
      </c>
      <c r="L5" s="241" t="s">
        <v>331</v>
      </c>
      <c r="M5" s="241" t="s">
        <v>330</v>
      </c>
      <c r="N5" s="241" t="s">
        <v>329</v>
      </c>
      <c r="O5" s="241" t="s">
        <v>328</v>
      </c>
      <c r="P5" s="241" t="s">
        <v>327</v>
      </c>
      <c r="Q5" s="241" t="s">
        <v>326</v>
      </c>
      <c r="R5" s="242" t="s">
        <v>325</v>
      </c>
      <c r="S5" s="222">
        <v>2017</v>
      </c>
      <c r="T5" s="221" t="s">
        <v>324</v>
      </c>
    </row>
    <row r="6" spans="1:20" s="52" customFormat="1">
      <c r="A6" s="52" t="s">
        <v>102</v>
      </c>
      <c r="B6" s="52" t="s">
        <v>103</v>
      </c>
      <c r="C6" s="52" t="s">
        <v>104</v>
      </c>
      <c r="D6" s="52" t="s">
        <v>105</v>
      </c>
      <c r="E6" s="52" t="s">
        <v>106</v>
      </c>
      <c r="F6" s="52" t="s">
        <v>107</v>
      </c>
      <c r="G6" s="52" t="s">
        <v>108</v>
      </c>
      <c r="H6" s="52" t="s">
        <v>202</v>
      </c>
      <c r="I6" s="52" t="s">
        <v>203</v>
      </c>
      <c r="J6" s="52" t="s">
        <v>204</v>
      </c>
      <c r="K6" s="52" t="s">
        <v>111</v>
      </c>
      <c r="L6" s="52" t="s">
        <v>323</v>
      </c>
      <c r="M6" s="52" t="s">
        <v>113</v>
      </c>
      <c r="N6" s="52" t="s">
        <v>263</v>
      </c>
      <c r="O6" s="52" t="s">
        <v>205</v>
      </c>
      <c r="P6" s="52" t="s">
        <v>206</v>
      </c>
      <c r="Q6" s="220" t="s">
        <v>322</v>
      </c>
      <c r="R6" s="52" t="s">
        <v>321</v>
      </c>
      <c r="T6" s="219"/>
    </row>
    <row r="7" spans="1:20">
      <c r="A7" s="218" t="s">
        <v>293</v>
      </c>
      <c r="B7" s="218" t="s">
        <v>292</v>
      </c>
      <c r="C7" s="218" t="s">
        <v>320</v>
      </c>
      <c r="D7" s="218" t="s">
        <v>133</v>
      </c>
      <c r="E7" s="217">
        <v>42278</v>
      </c>
      <c r="F7" s="217">
        <v>42643</v>
      </c>
      <c r="G7" s="216">
        <v>119952320</v>
      </c>
      <c r="H7" s="216">
        <v>79016028</v>
      </c>
      <c r="I7" s="216">
        <v>25583440</v>
      </c>
      <c r="J7" s="216"/>
      <c r="K7" s="216"/>
      <c r="L7" s="216"/>
      <c r="M7" s="216"/>
      <c r="N7" s="216"/>
      <c r="O7" s="216"/>
      <c r="P7" s="216">
        <v>174863861</v>
      </c>
      <c r="Q7" s="216">
        <f t="shared" ref="Q7:Q34" si="0">SUM(H7:O7)+P7</f>
        <v>279463329</v>
      </c>
      <c r="R7" s="215">
        <f t="shared" ref="R7:R34" si="1">IF(Q7&gt;0,G7/Q7,0)</f>
        <v>0.42922382850452628</v>
      </c>
      <c r="S7" s="7">
        <v>0.31035651686351362</v>
      </c>
      <c r="T7" s="212">
        <f t="shared" ref="T7:T35" si="2">R7-S7</f>
        <v>0.11886731164101266</v>
      </c>
    </row>
    <row r="8" spans="1:20">
      <c r="A8" s="218" t="s">
        <v>293</v>
      </c>
      <c r="B8" s="218" t="s">
        <v>292</v>
      </c>
      <c r="C8" s="218" t="s">
        <v>319</v>
      </c>
      <c r="D8" s="218" t="s">
        <v>135</v>
      </c>
      <c r="E8" s="217">
        <v>42278</v>
      </c>
      <c r="F8" s="217">
        <v>42643</v>
      </c>
      <c r="G8" s="216">
        <v>11014878</v>
      </c>
      <c r="H8" s="216">
        <v>6068055</v>
      </c>
      <c r="I8" s="216">
        <v>996602</v>
      </c>
      <c r="J8" s="216"/>
      <c r="K8" s="216"/>
      <c r="L8" s="216"/>
      <c r="M8" s="216"/>
      <c r="N8" s="216"/>
      <c r="O8" s="216"/>
      <c r="P8" s="216">
        <v>18052856</v>
      </c>
      <c r="Q8" s="216">
        <f t="shared" si="0"/>
        <v>25117513</v>
      </c>
      <c r="R8" s="215">
        <f t="shared" si="1"/>
        <v>0.43853378318147979</v>
      </c>
      <c r="S8" s="7">
        <v>0.44413495983302864</v>
      </c>
      <c r="T8" s="212">
        <f t="shared" si="2"/>
        <v>-5.6011766515488559E-3</v>
      </c>
    </row>
    <row r="9" spans="1:20">
      <c r="A9" s="218" t="s">
        <v>293</v>
      </c>
      <c r="B9" s="218" t="s">
        <v>292</v>
      </c>
      <c r="C9" s="218" t="s">
        <v>318</v>
      </c>
      <c r="D9" s="218" t="s">
        <v>137</v>
      </c>
      <c r="E9" s="217">
        <v>42278</v>
      </c>
      <c r="F9" s="217">
        <v>42643</v>
      </c>
      <c r="G9" s="216">
        <v>8591609</v>
      </c>
      <c r="H9" s="216">
        <v>3777100</v>
      </c>
      <c r="I9" s="216">
        <v>1415082</v>
      </c>
      <c r="J9" s="216"/>
      <c r="K9" s="216"/>
      <c r="L9" s="216"/>
      <c r="M9" s="216"/>
      <c r="N9" s="216"/>
      <c r="O9" s="216"/>
      <c r="P9" s="216">
        <v>15457982</v>
      </c>
      <c r="Q9" s="216">
        <f t="shared" si="0"/>
        <v>20650164</v>
      </c>
      <c r="R9" s="215">
        <f t="shared" si="1"/>
        <v>0.41605524295109714</v>
      </c>
      <c r="S9" s="7">
        <v>0.39308167315260767</v>
      </c>
      <c r="T9" s="212">
        <f t="shared" si="2"/>
        <v>2.2973569798489468E-2</v>
      </c>
    </row>
    <row r="10" spans="1:20">
      <c r="A10" s="218" t="s">
        <v>293</v>
      </c>
      <c r="B10" s="218" t="s">
        <v>292</v>
      </c>
      <c r="C10" s="218" t="s">
        <v>317</v>
      </c>
      <c r="D10" s="218" t="s">
        <v>139</v>
      </c>
      <c r="E10" s="217">
        <v>42278</v>
      </c>
      <c r="F10" s="217">
        <v>42643</v>
      </c>
      <c r="G10" s="216">
        <v>41148304</v>
      </c>
      <c r="H10" s="216">
        <v>58999075</v>
      </c>
      <c r="I10" s="216">
        <v>12359643</v>
      </c>
      <c r="J10" s="216"/>
      <c r="K10" s="216"/>
      <c r="L10" s="216"/>
      <c r="M10" s="216"/>
      <c r="N10" s="216"/>
      <c r="O10" s="216"/>
      <c r="P10" s="216">
        <v>120024530</v>
      </c>
      <c r="Q10" s="216">
        <f t="shared" si="0"/>
        <v>191383248</v>
      </c>
      <c r="R10" s="215">
        <f t="shared" si="1"/>
        <v>0.21500473228461459</v>
      </c>
      <c r="S10" s="7">
        <v>0.22516842330459436</v>
      </c>
      <c r="T10" s="212">
        <f t="shared" si="2"/>
        <v>-1.016369101997977E-2</v>
      </c>
    </row>
    <row r="11" spans="1:20">
      <c r="A11" s="218" t="s">
        <v>293</v>
      </c>
      <c r="B11" s="218" t="s">
        <v>292</v>
      </c>
      <c r="C11" s="218" t="s">
        <v>316</v>
      </c>
      <c r="D11" s="218" t="s">
        <v>141</v>
      </c>
      <c r="E11" s="217">
        <v>42278</v>
      </c>
      <c r="F11" s="217">
        <v>42643</v>
      </c>
      <c r="G11" s="216">
        <v>67874490</v>
      </c>
      <c r="H11" s="216">
        <v>32092146</v>
      </c>
      <c r="I11" s="216">
        <v>8990014</v>
      </c>
      <c r="J11" s="216"/>
      <c r="K11" s="216"/>
      <c r="L11" s="216"/>
      <c r="M11" s="216"/>
      <c r="N11" s="216"/>
      <c r="O11" s="216"/>
      <c r="P11" s="216">
        <v>203316334</v>
      </c>
      <c r="Q11" s="216">
        <f t="shared" si="0"/>
        <v>244398494</v>
      </c>
      <c r="R11" s="215">
        <f t="shared" si="1"/>
        <v>0.2777205738428159</v>
      </c>
      <c r="S11" s="7">
        <v>0.28569015886282156</v>
      </c>
      <c r="T11" s="212">
        <f t="shared" si="2"/>
        <v>-7.969585020005665E-3</v>
      </c>
    </row>
    <row r="12" spans="1:20">
      <c r="A12" s="218" t="s">
        <v>293</v>
      </c>
      <c r="B12" s="218" t="s">
        <v>292</v>
      </c>
      <c r="C12" s="218" t="s">
        <v>315</v>
      </c>
      <c r="D12" s="218" t="s">
        <v>143</v>
      </c>
      <c r="E12" s="217">
        <v>42278</v>
      </c>
      <c r="F12" s="217">
        <v>42643</v>
      </c>
      <c r="G12" s="216">
        <v>60989834</v>
      </c>
      <c r="H12" s="216">
        <v>23150189</v>
      </c>
      <c r="I12" s="216">
        <v>3542986</v>
      </c>
      <c r="J12" s="216"/>
      <c r="K12" s="216">
        <v>2878710</v>
      </c>
      <c r="L12" s="216"/>
      <c r="M12" s="216"/>
      <c r="N12" s="216"/>
      <c r="O12" s="216"/>
      <c r="P12" s="216">
        <v>95132452</v>
      </c>
      <c r="Q12" s="216">
        <f t="shared" si="0"/>
        <v>124704337</v>
      </c>
      <c r="R12" s="215">
        <f t="shared" si="1"/>
        <v>0.48907548419907804</v>
      </c>
      <c r="S12" s="7">
        <v>0.5081150952028658</v>
      </c>
      <c r="T12" s="212">
        <f t="shared" si="2"/>
        <v>-1.903961100378776E-2</v>
      </c>
    </row>
    <row r="13" spans="1:20">
      <c r="A13" s="218" t="s">
        <v>293</v>
      </c>
      <c r="B13" s="218" t="s">
        <v>292</v>
      </c>
      <c r="C13" s="218" t="s">
        <v>314</v>
      </c>
      <c r="D13" s="218" t="s">
        <v>145</v>
      </c>
      <c r="E13" s="217">
        <v>42278</v>
      </c>
      <c r="F13" s="217">
        <v>42643</v>
      </c>
      <c r="G13" s="216">
        <f>3221681+7626326</f>
        <v>10848007</v>
      </c>
      <c r="H13" s="216">
        <f>1420522+3733042</f>
        <v>5153564</v>
      </c>
      <c r="I13" s="216">
        <f>636778+1897757</f>
        <v>2534535</v>
      </c>
      <c r="J13" s="216"/>
      <c r="K13" s="216"/>
      <c r="L13" s="216"/>
      <c r="M13" s="216"/>
      <c r="N13" s="216"/>
      <c r="O13" s="216"/>
      <c r="P13" s="216">
        <f>3701583+9482867</f>
        <v>13184450</v>
      </c>
      <c r="Q13" s="216">
        <f t="shared" si="0"/>
        <v>20872549</v>
      </c>
      <c r="R13" s="215">
        <f t="shared" si="1"/>
        <v>0.51972602867048001</v>
      </c>
      <c r="S13" s="7">
        <v>0.54408153988603269</v>
      </c>
      <c r="T13" s="212">
        <f t="shared" si="2"/>
        <v>-2.4355511215552683E-2</v>
      </c>
    </row>
    <row r="14" spans="1:20">
      <c r="A14" s="218" t="s">
        <v>293</v>
      </c>
      <c r="B14" s="218" t="s">
        <v>292</v>
      </c>
      <c r="C14" s="218" t="s">
        <v>313</v>
      </c>
      <c r="D14" s="218" t="s">
        <v>147</v>
      </c>
      <c r="E14" s="217">
        <v>42278</v>
      </c>
      <c r="F14" s="217">
        <v>42643</v>
      </c>
      <c r="G14" s="216">
        <v>72634859</v>
      </c>
      <c r="H14" s="216">
        <v>81633682</v>
      </c>
      <c r="I14" s="216">
        <v>11071636</v>
      </c>
      <c r="J14" s="216"/>
      <c r="K14" s="216"/>
      <c r="L14" s="216">
        <v>4741668</v>
      </c>
      <c r="M14" s="216"/>
      <c r="N14" s="216"/>
      <c r="O14" s="216"/>
      <c r="P14" s="216">
        <v>169216585</v>
      </c>
      <c r="Q14" s="216">
        <f t="shared" si="0"/>
        <v>266663571</v>
      </c>
      <c r="R14" s="215">
        <f t="shared" si="1"/>
        <v>0.27238388328640512</v>
      </c>
      <c r="S14" s="7">
        <v>0.26944474767248411</v>
      </c>
      <c r="T14" s="212">
        <f t="shared" si="2"/>
        <v>2.9391356139210068E-3</v>
      </c>
    </row>
    <row r="15" spans="1:20">
      <c r="A15" s="218" t="s">
        <v>293</v>
      </c>
      <c r="B15" s="218" t="s">
        <v>292</v>
      </c>
      <c r="C15" s="218" t="s">
        <v>312</v>
      </c>
      <c r="D15" s="218" t="s">
        <v>149</v>
      </c>
      <c r="E15" s="217">
        <v>42278</v>
      </c>
      <c r="F15" s="217">
        <v>42643</v>
      </c>
      <c r="G15" s="216">
        <v>22947298</v>
      </c>
      <c r="H15" s="216">
        <v>19205196</v>
      </c>
      <c r="I15" s="216">
        <v>2510316</v>
      </c>
      <c r="J15" s="216"/>
      <c r="K15" s="216"/>
      <c r="L15" s="216"/>
      <c r="M15" s="216"/>
      <c r="N15" s="216"/>
      <c r="O15" s="216"/>
      <c r="P15" s="216">
        <v>25221051</v>
      </c>
      <c r="Q15" s="216">
        <f t="shared" si="0"/>
        <v>46936563</v>
      </c>
      <c r="R15" s="215">
        <f t="shared" si="1"/>
        <v>0.4889002631061844</v>
      </c>
      <c r="S15" s="7">
        <v>0.46237342084849409</v>
      </c>
      <c r="T15" s="212">
        <f t="shared" si="2"/>
        <v>2.6526842257690308E-2</v>
      </c>
    </row>
    <row r="16" spans="1:20">
      <c r="A16" s="218" t="s">
        <v>293</v>
      </c>
      <c r="B16" s="218" t="s">
        <v>292</v>
      </c>
      <c r="C16" s="218" t="s">
        <v>311</v>
      </c>
      <c r="D16" s="218" t="s">
        <v>151</v>
      </c>
      <c r="E16" s="217">
        <v>42278</v>
      </c>
      <c r="F16" s="217">
        <v>42643</v>
      </c>
      <c r="G16" s="216">
        <v>11842409</v>
      </c>
      <c r="H16" s="216">
        <v>7684887</v>
      </c>
      <c r="I16" s="216">
        <v>3179243</v>
      </c>
      <c r="J16" s="216"/>
      <c r="K16" s="216"/>
      <c r="L16" s="216"/>
      <c r="M16" s="216"/>
      <c r="N16" s="216"/>
      <c r="O16" s="216"/>
      <c r="P16" s="216">
        <v>19759451</v>
      </c>
      <c r="Q16" s="216">
        <f t="shared" si="0"/>
        <v>30623581</v>
      </c>
      <c r="R16" s="215">
        <f t="shared" si="1"/>
        <v>0.38670882415743607</v>
      </c>
      <c r="S16" s="7">
        <v>0.43793750684961108</v>
      </c>
      <c r="T16" s="212">
        <f t="shared" si="2"/>
        <v>-5.1228682692175009E-2</v>
      </c>
    </row>
    <row r="17" spans="1:20">
      <c r="A17" s="218" t="s">
        <v>293</v>
      </c>
      <c r="B17" s="218" t="s">
        <v>292</v>
      </c>
      <c r="C17" s="218" t="s">
        <v>310</v>
      </c>
      <c r="D17" s="218" t="s">
        <v>156</v>
      </c>
      <c r="E17" s="217">
        <v>42278</v>
      </c>
      <c r="F17" s="217">
        <v>42643</v>
      </c>
      <c r="G17" s="216">
        <v>45839156</v>
      </c>
      <c r="H17" s="216">
        <v>28077252</v>
      </c>
      <c r="I17" s="216">
        <v>5742021</v>
      </c>
      <c r="J17" s="216"/>
      <c r="K17" s="216">
        <v>1065521</v>
      </c>
      <c r="L17" s="216"/>
      <c r="M17" s="216"/>
      <c r="N17" s="216"/>
      <c r="O17" s="216"/>
      <c r="P17" s="216">
        <v>83887410</v>
      </c>
      <c r="Q17" s="216">
        <f t="shared" si="0"/>
        <v>118772204</v>
      </c>
      <c r="R17" s="215">
        <f t="shared" si="1"/>
        <v>0.38594178146260549</v>
      </c>
      <c r="S17" s="7">
        <v>0.35766545699960878</v>
      </c>
      <c r="T17" s="212">
        <f t="shared" si="2"/>
        <v>2.8276324462996716E-2</v>
      </c>
    </row>
    <row r="18" spans="1:20">
      <c r="A18" s="218" t="s">
        <v>293</v>
      </c>
      <c r="B18" s="218" t="s">
        <v>292</v>
      </c>
      <c r="C18" s="218" t="s">
        <v>309</v>
      </c>
      <c r="D18" s="218" t="s">
        <v>158</v>
      </c>
      <c r="E18" s="217">
        <v>42278</v>
      </c>
      <c r="F18" s="217">
        <v>42643</v>
      </c>
      <c r="G18" s="216">
        <v>36800083</v>
      </c>
      <c r="H18" s="216">
        <v>35103182</v>
      </c>
      <c r="I18" s="216"/>
      <c r="J18" s="216"/>
      <c r="K18" s="216"/>
      <c r="L18" s="216"/>
      <c r="M18" s="216"/>
      <c r="N18" s="216"/>
      <c r="O18" s="216"/>
      <c r="P18" s="216">
        <v>55082192</v>
      </c>
      <c r="Q18" s="216">
        <f t="shared" si="0"/>
        <v>90185374</v>
      </c>
      <c r="R18" s="215">
        <f t="shared" si="1"/>
        <v>0.40804934733652043</v>
      </c>
      <c r="S18" s="7">
        <v>0.39997944474401698</v>
      </c>
      <c r="T18" s="212">
        <f t="shared" si="2"/>
        <v>8.0699025925034529E-3</v>
      </c>
    </row>
    <row r="19" spans="1:20">
      <c r="A19" s="218" t="s">
        <v>293</v>
      </c>
      <c r="B19" s="218" t="s">
        <v>292</v>
      </c>
      <c r="C19" s="218" t="s">
        <v>308</v>
      </c>
      <c r="D19" s="218" t="s">
        <v>160</v>
      </c>
      <c r="E19" s="217">
        <v>42278</v>
      </c>
      <c r="F19" s="217">
        <v>42643</v>
      </c>
      <c r="G19" s="216">
        <v>56210823</v>
      </c>
      <c r="H19" s="216">
        <v>52227302</v>
      </c>
      <c r="I19" s="216">
        <v>4393150</v>
      </c>
      <c r="J19" s="216"/>
      <c r="K19" s="216"/>
      <c r="L19" s="216"/>
      <c r="M19" s="216"/>
      <c r="N19" s="216"/>
      <c r="O19" s="216"/>
      <c r="P19" s="216">
        <v>132299467</v>
      </c>
      <c r="Q19" s="216">
        <f t="shared" si="0"/>
        <v>188919919</v>
      </c>
      <c r="R19" s="215">
        <f t="shared" si="1"/>
        <v>0.29753783136017542</v>
      </c>
      <c r="S19" s="7">
        <v>0.29024952725116931</v>
      </c>
      <c r="T19" s="212">
        <f t="shared" si="2"/>
        <v>7.2883041090061051E-3</v>
      </c>
    </row>
    <row r="20" spans="1:20">
      <c r="A20" s="218" t="s">
        <v>293</v>
      </c>
      <c r="B20" s="218" t="s">
        <v>292</v>
      </c>
      <c r="C20" s="218" t="s">
        <v>307</v>
      </c>
      <c r="D20" s="218" t="s">
        <v>162</v>
      </c>
      <c r="E20" s="217">
        <v>42278</v>
      </c>
      <c r="F20" s="217">
        <v>42643</v>
      </c>
      <c r="G20" s="216">
        <v>16509626</v>
      </c>
      <c r="H20" s="216">
        <v>8616001</v>
      </c>
      <c r="I20" s="216">
        <v>2626958</v>
      </c>
      <c r="J20" s="216"/>
      <c r="K20" s="216"/>
      <c r="L20" s="216"/>
      <c r="M20" s="216"/>
      <c r="N20" s="216"/>
      <c r="O20" s="216"/>
      <c r="P20" s="216">
        <v>34890089</v>
      </c>
      <c r="Q20" s="216">
        <f t="shared" si="0"/>
        <v>46133048</v>
      </c>
      <c r="R20" s="215">
        <f t="shared" si="1"/>
        <v>0.35786982902148584</v>
      </c>
      <c r="S20" s="7">
        <v>0.40310583666151267</v>
      </c>
      <c r="T20" s="212">
        <f t="shared" si="2"/>
        <v>-4.5236007640026832E-2</v>
      </c>
    </row>
    <row r="21" spans="1:20">
      <c r="A21" s="218" t="s">
        <v>293</v>
      </c>
      <c r="B21" s="218" t="s">
        <v>292</v>
      </c>
      <c r="C21" s="218" t="s">
        <v>306</v>
      </c>
      <c r="D21" s="218" t="s">
        <v>164</v>
      </c>
      <c r="E21" s="217">
        <v>42278</v>
      </c>
      <c r="F21" s="217">
        <v>42643</v>
      </c>
      <c r="G21" s="216">
        <v>65790877</v>
      </c>
      <c r="H21" s="216">
        <v>72510842</v>
      </c>
      <c r="I21" s="216">
        <v>19545020</v>
      </c>
      <c r="J21" s="216"/>
      <c r="K21" s="216"/>
      <c r="L21" s="216"/>
      <c r="M21" s="216"/>
      <c r="N21" s="216"/>
      <c r="O21" s="216"/>
      <c r="P21" s="216">
        <v>118041563</v>
      </c>
      <c r="Q21" s="216">
        <f t="shared" si="0"/>
        <v>210097425</v>
      </c>
      <c r="R21" s="215">
        <f t="shared" si="1"/>
        <v>0.31314461374288621</v>
      </c>
      <c r="S21" s="7">
        <v>0.28212987467761874</v>
      </c>
      <c r="T21" s="212">
        <f t="shared" si="2"/>
        <v>3.1014739065267471E-2</v>
      </c>
    </row>
    <row r="22" spans="1:20">
      <c r="A22" s="218" t="s">
        <v>293</v>
      </c>
      <c r="B22" s="218" t="s">
        <v>292</v>
      </c>
      <c r="C22" s="218" t="s">
        <v>305</v>
      </c>
      <c r="D22" s="218" t="s">
        <v>166</v>
      </c>
      <c r="E22" s="217">
        <v>42278</v>
      </c>
      <c r="F22" s="217">
        <v>42643</v>
      </c>
      <c r="G22" s="216">
        <v>14998421</v>
      </c>
      <c r="H22" s="216">
        <v>4008190</v>
      </c>
      <c r="I22" s="216">
        <v>1136428</v>
      </c>
      <c r="J22" s="216"/>
      <c r="K22" s="216"/>
      <c r="L22" s="216"/>
      <c r="M22" s="216"/>
      <c r="N22" s="216"/>
      <c r="O22" s="216"/>
      <c r="P22" s="216">
        <v>14097693</v>
      </c>
      <c r="Q22" s="216">
        <f t="shared" si="0"/>
        <v>19242311</v>
      </c>
      <c r="R22" s="215">
        <f t="shared" si="1"/>
        <v>0.77945008788185577</v>
      </c>
      <c r="S22" s="7">
        <v>0.70502390263039083</v>
      </c>
      <c r="T22" s="212">
        <f t="shared" si="2"/>
        <v>7.4426185251464938E-2</v>
      </c>
    </row>
    <row r="23" spans="1:20">
      <c r="A23" s="218" t="s">
        <v>293</v>
      </c>
      <c r="B23" s="218" t="s">
        <v>292</v>
      </c>
      <c r="C23" s="218" t="s">
        <v>304</v>
      </c>
      <c r="D23" s="218" t="s">
        <v>168</v>
      </c>
      <c r="E23" s="217">
        <v>42278</v>
      </c>
      <c r="F23" s="217">
        <v>42643</v>
      </c>
      <c r="G23" s="216">
        <v>371508919</v>
      </c>
      <c r="H23" s="216">
        <v>395920058</v>
      </c>
      <c r="I23" s="216">
        <v>107784588</v>
      </c>
      <c r="J23" s="216"/>
      <c r="K23" s="216">
        <v>29607627</v>
      </c>
      <c r="L23" s="216">
        <v>34981030</v>
      </c>
      <c r="M23" s="216">
        <v>162008</v>
      </c>
      <c r="N23" s="216">
        <v>12787218</v>
      </c>
      <c r="O23" s="216">
        <v>23674835</v>
      </c>
      <c r="P23" s="216">
        <v>762709317</v>
      </c>
      <c r="Q23" s="216">
        <f t="shared" si="0"/>
        <v>1367626681</v>
      </c>
      <c r="R23" s="215">
        <f t="shared" si="1"/>
        <v>0.27164497750830296</v>
      </c>
      <c r="S23" s="7">
        <v>0.2703409710195141</v>
      </c>
      <c r="T23" s="212">
        <f t="shared" si="2"/>
        <v>1.3040064887888669E-3</v>
      </c>
    </row>
    <row r="24" spans="1:20">
      <c r="A24" s="218" t="s">
        <v>293</v>
      </c>
      <c r="B24" s="218" t="s">
        <v>292</v>
      </c>
      <c r="C24" s="218" t="s">
        <v>303</v>
      </c>
      <c r="D24" s="218" t="s">
        <v>170</v>
      </c>
      <c r="E24" s="217">
        <v>42278</v>
      </c>
      <c r="F24" s="217">
        <v>42643</v>
      </c>
      <c r="G24" s="216">
        <v>48657729</v>
      </c>
      <c r="H24" s="216">
        <v>27071889</v>
      </c>
      <c r="I24" s="216">
        <v>3408446</v>
      </c>
      <c r="J24" s="216"/>
      <c r="K24" s="216"/>
      <c r="L24" s="216"/>
      <c r="M24" s="216"/>
      <c r="N24" s="216"/>
      <c r="O24" s="216"/>
      <c r="P24" s="216">
        <v>66315839</v>
      </c>
      <c r="Q24" s="216">
        <f t="shared" si="0"/>
        <v>96796174</v>
      </c>
      <c r="R24" s="215">
        <f t="shared" si="1"/>
        <v>0.50268235808576489</v>
      </c>
      <c r="S24" s="7">
        <v>0.48439528714474073</v>
      </c>
      <c r="T24" s="212">
        <f t="shared" si="2"/>
        <v>1.8287070941024164E-2</v>
      </c>
    </row>
    <row r="25" spans="1:20">
      <c r="A25" s="218" t="s">
        <v>293</v>
      </c>
      <c r="B25" s="218" t="s">
        <v>292</v>
      </c>
      <c r="C25" s="218" t="s">
        <v>302</v>
      </c>
      <c r="D25" s="218" t="s">
        <v>172</v>
      </c>
      <c r="E25" s="217">
        <v>42278</v>
      </c>
      <c r="F25" s="217">
        <v>42643</v>
      </c>
      <c r="G25" s="216">
        <v>182996197</v>
      </c>
      <c r="H25" s="216">
        <v>175724799</v>
      </c>
      <c r="I25" s="216">
        <v>40660235</v>
      </c>
      <c r="J25" s="216"/>
      <c r="K25" s="216"/>
      <c r="L25" s="216"/>
      <c r="M25" s="216"/>
      <c r="N25" s="216"/>
      <c r="O25" s="216"/>
      <c r="P25" s="216">
        <v>378582836</v>
      </c>
      <c r="Q25" s="216">
        <f t="shared" si="0"/>
        <v>594967870</v>
      </c>
      <c r="R25" s="215">
        <f t="shared" si="1"/>
        <v>0.30757324256854407</v>
      </c>
      <c r="S25" s="7">
        <v>0.29697621892559989</v>
      </c>
      <c r="T25" s="212">
        <f t="shared" si="2"/>
        <v>1.0597023642944181E-2</v>
      </c>
    </row>
    <row r="26" spans="1:20">
      <c r="A26" s="218" t="s">
        <v>293</v>
      </c>
      <c r="B26" s="218" t="s">
        <v>292</v>
      </c>
      <c r="C26" s="218" t="s">
        <v>301</v>
      </c>
      <c r="D26" s="218" t="s">
        <v>174</v>
      </c>
      <c r="E26" s="217">
        <v>42278</v>
      </c>
      <c r="F26" s="217">
        <v>42643</v>
      </c>
      <c r="G26" s="216">
        <v>23642278</v>
      </c>
      <c r="H26" s="216">
        <v>22148664</v>
      </c>
      <c r="I26" s="216">
        <v>8435341</v>
      </c>
      <c r="J26" s="216"/>
      <c r="K26" s="216"/>
      <c r="L26" s="216"/>
      <c r="M26" s="216"/>
      <c r="N26" s="216"/>
      <c r="O26" s="216"/>
      <c r="P26" s="216">
        <v>51921519</v>
      </c>
      <c r="Q26" s="216">
        <f t="shared" si="0"/>
        <v>82505524</v>
      </c>
      <c r="R26" s="215">
        <f t="shared" si="1"/>
        <v>0.28655387971355711</v>
      </c>
      <c r="S26" s="7">
        <v>0.33266481667152459</v>
      </c>
      <c r="T26" s="212">
        <f t="shared" si="2"/>
        <v>-4.6110936957967474E-2</v>
      </c>
    </row>
    <row r="27" spans="1:20">
      <c r="A27" s="218" t="s">
        <v>293</v>
      </c>
      <c r="B27" s="218" t="s">
        <v>292</v>
      </c>
      <c r="C27" s="218" t="s">
        <v>300</v>
      </c>
      <c r="D27" s="218" t="s">
        <v>176</v>
      </c>
      <c r="E27" s="217">
        <v>42278</v>
      </c>
      <c r="F27" s="217">
        <v>42643</v>
      </c>
      <c r="G27" s="216">
        <v>77663611</v>
      </c>
      <c r="H27" s="216">
        <v>121255109</v>
      </c>
      <c r="I27" s="216">
        <v>11637520</v>
      </c>
      <c r="J27" s="216"/>
      <c r="K27" s="216"/>
      <c r="L27" s="216"/>
      <c r="M27" s="216"/>
      <c r="N27" s="216"/>
      <c r="O27" s="216"/>
      <c r="P27" s="216">
        <v>150262840</v>
      </c>
      <c r="Q27" s="216">
        <f t="shared" si="0"/>
        <v>283155469</v>
      </c>
      <c r="R27" s="215">
        <f t="shared" si="1"/>
        <v>0.2742790427968036</v>
      </c>
      <c r="S27" s="7">
        <v>0.27088437551913774</v>
      </c>
      <c r="T27" s="212">
        <f t="shared" si="2"/>
        <v>3.3946672776658526E-3</v>
      </c>
    </row>
    <row r="28" spans="1:20">
      <c r="A28" s="218" t="s">
        <v>293</v>
      </c>
      <c r="B28" s="218" t="s">
        <v>292</v>
      </c>
      <c r="C28" s="218" t="s">
        <v>299</v>
      </c>
      <c r="D28" s="218" t="s">
        <v>178</v>
      </c>
      <c r="E28" s="217">
        <v>42278</v>
      </c>
      <c r="F28" s="217">
        <v>42643</v>
      </c>
      <c r="G28" s="216">
        <v>18843316</v>
      </c>
      <c r="H28" s="216">
        <v>16821600</v>
      </c>
      <c r="I28" s="216">
        <v>3822372</v>
      </c>
      <c r="J28" s="216"/>
      <c r="K28" s="216"/>
      <c r="L28" s="216"/>
      <c r="M28" s="216"/>
      <c r="N28" s="216"/>
      <c r="O28" s="216"/>
      <c r="P28" s="216">
        <v>36305459</v>
      </c>
      <c r="Q28" s="216">
        <f t="shared" si="0"/>
        <v>56949431</v>
      </c>
      <c r="R28" s="215">
        <f t="shared" si="1"/>
        <v>0.33087803809664051</v>
      </c>
      <c r="S28" s="7">
        <v>0.32035495053481367</v>
      </c>
      <c r="T28" s="212">
        <f t="shared" si="2"/>
        <v>1.0523087561826849E-2</v>
      </c>
    </row>
    <row r="29" spans="1:20">
      <c r="A29" s="218" t="s">
        <v>293</v>
      </c>
      <c r="B29" s="218" t="s">
        <v>292</v>
      </c>
      <c r="C29" s="218" t="s">
        <v>298</v>
      </c>
      <c r="D29" s="218" t="s">
        <v>180</v>
      </c>
      <c r="E29" s="217">
        <v>42278</v>
      </c>
      <c r="F29" s="217">
        <v>42643</v>
      </c>
      <c r="G29" s="216">
        <v>23820807</v>
      </c>
      <c r="H29" s="216">
        <v>23269782</v>
      </c>
      <c r="I29" s="216">
        <v>4822898</v>
      </c>
      <c r="J29" s="216"/>
      <c r="K29" s="216"/>
      <c r="L29" s="216"/>
      <c r="M29" s="216"/>
      <c r="N29" s="216"/>
      <c r="O29" s="216"/>
      <c r="P29" s="216">
        <v>57024435</v>
      </c>
      <c r="Q29" s="216">
        <f t="shared" si="0"/>
        <v>85117115</v>
      </c>
      <c r="R29" s="215">
        <f t="shared" si="1"/>
        <v>0.27985919165610817</v>
      </c>
      <c r="S29" s="7">
        <v>0.27341994360010613</v>
      </c>
      <c r="T29" s="212">
        <f t="shared" si="2"/>
        <v>6.4392480560020449E-3</v>
      </c>
    </row>
    <row r="30" spans="1:20">
      <c r="A30" s="218" t="s">
        <v>293</v>
      </c>
      <c r="B30" s="218" t="s">
        <v>292</v>
      </c>
      <c r="C30" s="218" t="s">
        <v>297</v>
      </c>
      <c r="D30" s="218" t="s">
        <v>182</v>
      </c>
      <c r="E30" s="217">
        <v>42278</v>
      </c>
      <c r="F30" s="217">
        <v>42643</v>
      </c>
      <c r="G30" s="216">
        <v>116266570</v>
      </c>
      <c r="H30" s="216">
        <v>98740991</v>
      </c>
      <c r="I30" s="216">
        <v>22623300</v>
      </c>
      <c r="J30" s="216"/>
      <c r="K30" s="216"/>
      <c r="L30" s="216"/>
      <c r="M30" s="216"/>
      <c r="N30" s="216"/>
      <c r="O30" s="216"/>
      <c r="P30" s="216">
        <v>191390655</v>
      </c>
      <c r="Q30" s="216">
        <f t="shared" si="0"/>
        <v>312754946</v>
      </c>
      <c r="R30" s="215">
        <f t="shared" si="1"/>
        <v>0.3717497404501478</v>
      </c>
      <c r="S30" s="7">
        <v>0.41507594390734631</v>
      </c>
      <c r="T30" s="212">
        <f t="shared" si="2"/>
        <v>-4.3326203457198509E-2</v>
      </c>
    </row>
    <row r="31" spans="1:20">
      <c r="A31" s="218" t="s">
        <v>293</v>
      </c>
      <c r="B31" s="218" t="s">
        <v>292</v>
      </c>
      <c r="C31" s="218" t="s">
        <v>296</v>
      </c>
      <c r="D31" s="218" t="s">
        <v>184</v>
      </c>
      <c r="E31" s="217">
        <v>42278</v>
      </c>
      <c r="F31" s="217">
        <v>42643</v>
      </c>
      <c r="G31" s="216">
        <v>64808362</v>
      </c>
      <c r="H31" s="216">
        <v>42742867</v>
      </c>
      <c r="I31" s="216">
        <v>53543577</v>
      </c>
      <c r="J31" s="216"/>
      <c r="K31" s="216"/>
      <c r="L31" s="216"/>
      <c r="M31" s="216"/>
      <c r="N31" s="216"/>
      <c r="O31" s="216"/>
      <c r="P31" s="216">
        <v>101858556</v>
      </c>
      <c r="Q31" s="216">
        <f t="shared" si="0"/>
        <v>198145000</v>
      </c>
      <c r="R31" s="215">
        <f t="shared" si="1"/>
        <v>0.32707543465643846</v>
      </c>
      <c r="S31" s="7">
        <v>0.32831207572337995</v>
      </c>
      <c r="T31" s="212">
        <f t="shared" si="2"/>
        <v>-1.2366410669414907E-3</v>
      </c>
    </row>
    <row r="32" spans="1:20">
      <c r="A32" s="218" t="s">
        <v>293</v>
      </c>
      <c r="B32" s="218" t="s">
        <v>292</v>
      </c>
      <c r="C32" s="218" t="s">
        <v>295</v>
      </c>
      <c r="D32" s="218" t="s">
        <v>186</v>
      </c>
      <c r="E32" s="217">
        <v>42278</v>
      </c>
      <c r="F32" s="217">
        <v>42643</v>
      </c>
      <c r="G32" s="216">
        <v>57980173</v>
      </c>
      <c r="H32" s="216">
        <v>47311725</v>
      </c>
      <c r="I32" s="216">
        <v>13027493</v>
      </c>
      <c r="J32" s="216"/>
      <c r="K32" s="216"/>
      <c r="L32" s="216"/>
      <c r="M32" s="216"/>
      <c r="N32" s="216"/>
      <c r="O32" s="216"/>
      <c r="P32" s="216">
        <v>77135641</v>
      </c>
      <c r="Q32" s="216">
        <f t="shared" si="0"/>
        <v>137474859</v>
      </c>
      <c r="R32" s="215">
        <f t="shared" si="1"/>
        <v>0.42175109995930238</v>
      </c>
      <c r="S32" s="7">
        <v>0.40386632298502284</v>
      </c>
      <c r="T32" s="212">
        <f t="shared" si="2"/>
        <v>1.7884776974279537E-2</v>
      </c>
    </row>
    <row r="33" spans="1:20">
      <c r="A33" s="218" t="s">
        <v>293</v>
      </c>
      <c r="B33" s="218" t="s">
        <v>292</v>
      </c>
      <c r="C33" s="218" t="s">
        <v>294</v>
      </c>
      <c r="D33" s="218" t="s">
        <v>192</v>
      </c>
      <c r="E33" s="217">
        <v>42186</v>
      </c>
      <c r="F33" s="217">
        <v>42551</v>
      </c>
      <c r="G33" s="216">
        <v>48187328</v>
      </c>
      <c r="H33" s="216">
        <v>34819994</v>
      </c>
      <c r="I33" s="216">
        <v>8856760</v>
      </c>
      <c r="J33" s="216"/>
      <c r="K33" s="216"/>
      <c r="L33" s="216"/>
      <c r="M33" s="216"/>
      <c r="N33" s="216"/>
      <c r="O33" s="216"/>
      <c r="P33" s="216">
        <v>71495222</v>
      </c>
      <c r="Q33" s="216">
        <f t="shared" si="0"/>
        <v>115171976</v>
      </c>
      <c r="R33" s="215">
        <f t="shared" si="1"/>
        <v>0.41839455806506265</v>
      </c>
      <c r="S33" s="7">
        <v>0.43761440401997187</v>
      </c>
      <c r="T33" s="212">
        <f t="shared" si="2"/>
        <v>-1.921984595490922E-2</v>
      </c>
    </row>
    <row r="34" spans="1:20">
      <c r="A34" s="218" t="s">
        <v>293</v>
      </c>
      <c r="B34" s="218" t="s">
        <v>292</v>
      </c>
      <c r="C34" s="218" t="s">
        <v>291</v>
      </c>
      <c r="D34" s="218" t="s">
        <v>189</v>
      </c>
      <c r="E34" s="217">
        <v>42278</v>
      </c>
      <c r="F34" s="217">
        <v>42643</v>
      </c>
      <c r="G34" s="216">
        <v>379097</v>
      </c>
      <c r="H34" s="216">
        <v>724185</v>
      </c>
      <c r="I34" s="216"/>
      <c r="J34" s="216"/>
      <c r="K34" s="216"/>
      <c r="L34" s="216"/>
      <c r="M34" s="216"/>
      <c r="N34" s="216"/>
      <c r="O34" s="216"/>
      <c r="P34" s="216">
        <v>384012</v>
      </c>
      <c r="Q34" s="216">
        <f t="shared" si="0"/>
        <v>1108197</v>
      </c>
      <c r="R34" s="215">
        <f t="shared" si="1"/>
        <v>0.34208448497875377</v>
      </c>
      <c r="S34" s="72">
        <v>0.33962932872689222</v>
      </c>
      <c r="T34" s="214">
        <f t="shared" si="2"/>
        <v>2.4551562518615455E-3</v>
      </c>
    </row>
    <row r="35" spans="1:20">
      <c r="G35" s="87">
        <f>SUM(G7:G34)</f>
        <v>1698747381</v>
      </c>
      <c r="Q35" s="87">
        <f>SUM(Q7:Q34)</f>
        <v>5255936872</v>
      </c>
      <c r="R35" s="213">
        <f>IF(Q35&gt;0,G35/Q35,0)</f>
        <v>0.32320543841569943</v>
      </c>
      <c r="S35" s="7">
        <v>0.31793457418373128</v>
      </c>
      <c r="T35" s="212">
        <f t="shared" si="2"/>
        <v>5.2708642319681531E-3</v>
      </c>
    </row>
    <row r="36" spans="1:20">
      <c r="R36" s="9" t="s">
        <v>290</v>
      </c>
    </row>
    <row r="38" spans="1:20">
      <c r="A38" s="7" t="s">
        <v>289</v>
      </c>
    </row>
    <row r="39" spans="1:20">
      <c r="A39" s="7" t="s">
        <v>288</v>
      </c>
    </row>
    <row r="40" spans="1:20">
      <c r="A40" s="7" t="s">
        <v>287</v>
      </c>
    </row>
    <row r="41" spans="1:20">
      <c r="A41" s="7" t="s">
        <v>286</v>
      </c>
    </row>
    <row r="42" spans="1:20">
      <c r="A42" s="7" t="s">
        <v>285</v>
      </c>
    </row>
    <row r="43" spans="1:20">
      <c r="A43" s="7" t="s">
        <v>284</v>
      </c>
    </row>
    <row r="44" spans="1:20">
      <c r="A44" s="7" t="s">
        <v>283</v>
      </c>
    </row>
    <row r="45" spans="1:20">
      <c r="A45" s="7" t="s">
        <v>282</v>
      </c>
    </row>
    <row r="46" spans="1:20">
      <c r="A46" s="7" t="s">
        <v>281</v>
      </c>
    </row>
    <row r="47" spans="1:20">
      <c r="A47" s="7" t="s">
        <v>280</v>
      </c>
    </row>
  </sheetData>
  <pageMargins left="0.2" right="0.2" top="0.25" bottom="0.5" header="0.3" footer="0.3"/>
  <pageSetup scale="65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IP Rates</vt:lpstr>
      <vt:lpstr>WI_IME Rate Modifier</vt:lpstr>
      <vt:lpstr>CT Wage Index</vt:lpstr>
      <vt:lpstr>IME 2018</vt:lpstr>
      <vt:lpstr>IP CCR 2018</vt:lpstr>
      <vt:lpstr>Summary!Print_Area</vt:lpstr>
      <vt:lpstr>'IP Rates'!Print_Titles</vt:lpstr>
      <vt:lpstr>'WI_IME Rate Modifier'!Print_Titles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Cecil, Roberta C.</cp:lastModifiedBy>
  <cp:lastPrinted>2017-12-21T16:50:41Z</cp:lastPrinted>
  <dcterms:created xsi:type="dcterms:W3CDTF">2017-09-26T12:18:41Z</dcterms:created>
  <dcterms:modified xsi:type="dcterms:W3CDTF">2017-12-28T18:23:42Z</dcterms:modified>
</cp:coreProperties>
</file>