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480" yWindow="120" windowWidth="18195" windowHeight="12330"/>
  </bookViews>
  <sheets>
    <sheet name="IP Rates" sheetId="6" r:id="rId1"/>
    <sheet name="WI_IME Rate Modifier" sheetId="18" r:id="rId2"/>
    <sheet name="CT Wage Index" sheetId="20" r:id="rId3"/>
    <sheet name="IME 2019" sheetId="19" r:id="rId4"/>
    <sheet name="IP CCR 2019" sheetId="21" r:id="rId5"/>
    <sheet name="Sheet2" sheetId="24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 localSheetId="0">#REF!</definedName>
    <definedName name="\p">#REF!</definedName>
    <definedName name="\s">#REF!</definedName>
    <definedName name="_Fill" hidden="1">#REF!</definedName>
    <definedName name="_xlnm._FilterDatabase" localSheetId="2" hidden="1">'CT Wage Index'!$A$5:$U$36</definedName>
    <definedName name="_fy13">#REF!</definedName>
    <definedName name="_T2">#REF!</definedName>
    <definedName name="_t3" localSheetId="2">#REF!</definedName>
    <definedName name="_t3" localSheetId="3">#REF!</definedName>
    <definedName name="_t3" localSheetId="0">#REF!</definedName>
    <definedName name="_t3" localSheetId="1">#REF!</definedName>
    <definedName name="_t3">#REF!</definedName>
    <definedName name="A">#REF!</definedName>
    <definedName name="BaseRates">#REF!</definedName>
    <definedName name="CAT_SUMM">#REF!</definedName>
    <definedName name="codes">#REF!</definedName>
    <definedName name="COPIES">#REF!</definedName>
    <definedName name="COSImpact">#REF!</definedName>
    <definedName name="cost2charges">#REF!</definedName>
    <definedName name="COUNTER">#REF!</definedName>
    <definedName name="crextract">[1]crextract!$A$4:$T$34</definedName>
    <definedName name="CY2001_AllPIPFinal" localSheetId="0">#REF!</definedName>
    <definedName name="CY2001_AllPIPFinal">#REF!</definedName>
    <definedName name="CY2001Summary_Final">#REF!</definedName>
    <definedName name="_xlnm.Database">#REF!</definedName>
    <definedName name="DAYS_SUMM">#REF!</definedName>
    <definedName name="Disch_desc">[2]Lists!$G$3:$G$57</definedName>
    <definedName name="DRG_Label">#REF!</definedName>
    <definedName name="DRG_Num">[2]Lists!$A$3:$A$323</definedName>
    <definedName name="DRG_SUMM">#REF!</definedName>
    <definedName name="EnhancedpayChk">#REF!</definedName>
    <definedName name="FFY05_DSH_Query">#REF!</definedName>
    <definedName name="FFY05_DSH_QUERY_1">#REF!</definedName>
    <definedName name="hart." hidden="1">#REF!</definedName>
    <definedName name="HVASUMRYb">#REF!</definedName>
    <definedName name="IncludeFlag">[3]Lookup!$C$19:$C$20</definedName>
    <definedName name="KY_CORRELATION">#REF!</definedName>
    <definedName name="LABELS">#REF!</definedName>
    <definedName name="LN_1D2">[4]Report500!$D$119</definedName>
    <definedName name="LN_IA1">[4]Report500!$D$15</definedName>
    <definedName name="LN_IA11">[4]Report500!$D$27</definedName>
    <definedName name="LN_IA12">[4]Report500!$D$28</definedName>
    <definedName name="LN_IA14">[4]Report500!$D$30</definedName>
    <definedName name="LN_IA15">[4]Report500!$D$31</definedName>
    <definedName name="LN_IA16">[4]Report500!$D$32</definedName>
    <definedName name="LN_IA17">[4]Report500!$D$35</definedName>
    <definedName name="LN_IA18">[4]Report500!$D$36</definedName>
    <definedName name="LN_IA2">[4]Report500!$D$16</definedName>
    <definedName name="LN_IA4">[4]Report500!$D$18</definedName>
    <definedName name="LN_IA5">[4]Report500!$D$19</definedName>
    <definedName name="LN_IA6">[4]Report500!$D$20</definedName>
    <definedName name="LN_IA7">[4]Report500!$D$21</definedName>
    <definedName name="LN_IA8">[4]Report500!$D$22</definedName>
    <definedName name="LN_IB1">[4]Report500!$D$42</definedName>
    <definedName name="LN_IB10">[4]Report500!$D$51</definedName>
    <definedName name="LN_IB13">[4]Report500!$D$56</definedName>
    <definedName name="LN_IB14">[4]Report500!$D$57</definedName>
    <definedName name="LN_IB16">[4]Report500!$D$59</definedName>
    <definedName name="LN_IB17">[4]Report500!$D$60</definedName>
    <definedName name="LN_IB18">[4]Report500!$D$61</definedName>
    <definedName name="LN_IB19">[4]Report500!$D$62</definedName>
    <definedName name="LN_IB2">[4]Report500!$D$43</definedName>
    <definedName name="LN_IB20">[4]Report500!$D$63</definedName>
    <definedName name="LN_IB21">[4]Report500!$D$66</definedName>
    <definedName name="LN_IB22">[4]Report500!$D$67</definedName>
    <definedName name="LN_IB32">[4]Report500!$D$73</definedName>
    <definedName name="LN_IB33">[4]Report500!$D$74</definedName>
    <definedName name="LN_IB34">[4]Report500!$D$76</definedName>
    <definedName name="LN_IB4">[4]Report500!$D$45</definedName>
    <definedName name="LN_IB5">[4]Report500!$D$46</definedName>
    <definedName name="LN_IB6">[4]Report500!$D$47</definedName>
    <definedName name="LN_IB7">[4]Report500!$D$48</definedName>
    <definedName name="LN_IB8">[4]Report500!$D$49</definedName>
    <definedName name="LN_IB9">[4]Report500!$D$50</definedName>
    <definedName name="LN_IC1">[4]Report500!$D$83</definedName>
    <definedName name="LN_IC10">[4]Report500!$D$92</definedName>
    <definedName name="LN_IC11">[4]Report500!$D$93</definedName>
    <definedName name="LN_IC14">[4]Report500!$D$98</definedName>
    <definedName name="LN_IC15">[4]Report500!$D$99</definedName>
    <definedName name="LN_IC17">[4]Report500!$D$101</definedName>
    <definedName name="LN_IC18">[4]Report500!$D$102</definedName>
    <definedName name="LN_IC19">[4]Report500!$D$103</definedName>
    <definedName name="LN_IC2">[4]Report500!$D$84</definedName>
    <definedName name="LN_IC21">[4]Report500!$D$105</definedName>
    <definedName name="LN_IC22">[4]Report500!$D$106</definedName>
    <definedName name="LN_IC23">[4]Report500!$D$109</definedName>
    <definedName name="LN_IC24">[4]Report500!$D$110</definedName>
    <definedName name="LN_IC4">[4]Report500!$D$86</definedName>
    <definedName name="LN_IC5">[4]Report500!$D$87</definedName>
    <definedName name="LN_IC6">[4]Report500!$D$88</definedName>
    <definedName name="LN_IC7">[4]Report500!$D$89</definedName>
    <definedName name="LN_IC9">[4]Report500!$D$91</definedName>
    <definedName name="LN_ID1">[4]Report500!$D$118</definedName>
    <definedName name="LN_ID10">[4]Report500!$D$127</definedName>
    <definedName name="LN_ID11">[4]Report500!$D$128</definedName>
    <definedName name="LN_ID14">[4]Report500!$D$133</definedName>
    <definedName name="LN_ID15">[4]Report500!$D$134</definedName>
    <definedName name="LN_ID17">[4]Report500!$D$136</definedName>
    <definedName name="LN_ID18">[4]Report500!$D$137</definedName>
    <definedName name="LN_ID19">[4]Report500!$D$138</definedName>
    <definedName name="LN_ID21">[4]Report500!$D$140</definedName>
    <definedName name="LN_ID22">[4]Report500!$D$141</definedName>
    <definedName name="LN_ID23">[4]Report500!$D$144</definedName>
    <definedName name="LN_ID24">[4]Report500!$D$145</definedName>
    <definedName name="LN_ID4">[4]Report500!$D$121</definedName>
    <definedName name="LN_ID5">[4]Report500!$D$122</definedName>
    <definedName name="LN_ID6">[4]Report500!$D$123</definedName>
    <definedName name="LN_ID7">[4]Report500!$D$124</definedName>
    <definedName name="LN_ID9">[4]Report500!$D$126</definedName>
    <definedName name="LN_IE1">[4]Report500!$D$153</definedName>
    <definedName name="LN_IE10">[4]Report500!$D$162</definedName>
    <definedName name="LN_IE11">[4]Report500!$D$163</definedName>
    <definedName name="LN_IE14">[4]Report500!$D$168</definedName>
    <definedName name="LN_IE15">[4]Report500!$D$169</definedName>
    <definedName name="LN_IE17">[4]Report500!$D$171</definedName>
    <definedName name="LN_IE18">[4]Report500!$D$172</definedName>
    <definedName name="LN_IE19">[4]Report500!$D$173</definedName>
    <definedName name="LN_IE2">[4]Report500!$D$154</definedName>
    <definedName name="LN_IE21">[4]Report500!$D$175</definedName>
    <definedName name="LN_IE22">[4]Report500!$D$176</definedName>
    <definedName name="LN_IE23">[4]Report500!$D$179</definedName>
    <definedName name="LN_IE24">[4]Report500!$D$180</definedName>
    <definedName name="LN_IE4">[4]Report500!$D$156</definedName>
    <definedName name="LN_IE5">[4]Report500!$D$157</definedName>
    <definedName name="LN_IE6">[4]Report500!$D$158</definedName>
    <definedName name="LN_IE7">[4]Report500!$D$159</definedName>
    <definedName name="LN_IE9">[4]Report500!$D$161</definedName>
    <definedName name="LN_IF1">[4]Report500!$D$188</definedName>
    <definedName name="LN_IF11">[4]Report500!$D$198</definedName>
    <definedName name="LN_IF14">[4]Report500!$D$203</definedName>
    <definedName name="LN_IF15">[4]Report500!$D$204</definedName>
    <definedName name="LN_IF18">[4]Report500!$D$207</definedName>
    <definedName name="LN_IF19">[4]Report500!$D$208</definedName>
    <definedName name="LN_IF2">[4]Report500!$D$189</definedName>
    <definedName name="LN_IF21">[4]Report500!$D$210</definedName>
    <definedName name="LN_IF23">[4]Report500!$D$214</definedName>
    <definedName name="LN_IF24">[4]Report500!$D$215</definedName>
    <definedName name="LN_IF4">[4]Report500!$D$191</definedName>
    <definedName name="LN_IF5">[4]Report500!$D$192</definedName>
    <definedName name="LN_IF6">[4]Report500!$D$193</definedName>
    <definedName name="LN_IF7">[4]Report500!$D$194</definedName>
    <definedName name="LN_IF9">[4]Report500!$D$196</definedName>
    <definedName name="LN_IG1">[4]Report500!$D$221</definedName>
    <definedName name="LN_IG10">[4]Report500!$D$234</definedName>
    <definedName name="LN_IG13">[4]Report500!$D$237</definedName>
    <definedName name="LN_IG14">[4]Report500!$D$238</definedName>
    <definedName name="LN_IG2">[4]Report500!$D$222</definedName>
    <definedName name="LN_IG3">[4]Report500!$D$224</definedName>
    <definedName name="LN_IG4">[4]Report500!$D$225</definedName>
    <definedName name="LN_IG5">[4]Report500!$D$226</definedName>
    <definedName name="LN_IG6">[4]Report500!$D$228</definedName>
    <definedName name="LN_IG9">[4]Report500!$D$233</definedName>
    <definedName name="LN_IH10">[4]Report500!$D$256</definedName>
    <definedName name="LN_IH3">[4]Report500!$D$245</definedName>
    <definedName name="LN_IH4">[4]Report500!$D$248</definedName>
    <definedName name="LN_IH5">[4]Report500!$D$249</definedName>
    <definedName name="LN_IH6">[4]Report500!$D$250</definedName>
    <definedName name="LN_IH8">[4]Report500!$D$254</definedName>
    <definedName name="LN_IH9">[4]Report500!$D$255</definedName>
    <definedName name="LN_IIA1">[4]Report500!$D$261</definedName>
    <definedName name="LN_IIA11">[4]Report500!$D$271</definedName>
    <definedName name="LN_IIA12">[4]Report500!$D$272</definedName>
    <definedName name="LN_IIA14">[4]Report500!$D$274</definedName>
    <definedName name="LN_IIA2">[4]Report500!$D$262</definedName>
    <definedName name="LN_IIA4">[4]Report500!$D$264</definedName>
    <definedName name="LN_IIA6">[4]Report500!$D$266</definedName>
    <definedName name="LN_IIA7">[4]Report500!$D$267</definedName>
    <definedName name="LN_IIA9">[4]Report500!$D$269</definedName>
    <definedName name="LN_IIB11">[4]Report500!$D$287</definedName>
    <definedName name="LN_IIB12">[4]Report500!$D$288</definedName>
    <definedName name="LN_IIB14">[4]Report500!$D$291</definedName>
    <definedName name="LN_IIB2">[4]Report500!$D$278</definedName>
    <definedName name="LN_IIB4">[4]Report500!$D$280</definedName>
    <definedName name="LN_IIB6">[4]Report500!$D$282</definedName>
    <definedName name="LN_IIB7">[4]Report500!$D$283</definedName>
    <definedName name="LN_IIB9">[4]Report500!$D$285</definedName>
    <definedName name="LN_III1">[4]Report500!$D$304</definedName>
    <definedName name="LN_III10">[4]Report500!$D$313</definedName>
    <definedName name="LN_III2">[4]Report500!$D$305</definedName>
    <definedName name="LN_III3">[4]Report500!$D$307</definedName>
    <definedName name="LN_III4">[4]Report500!$D$308</definedName>
    <definedName name="LN_III5">[4]Report500!$D$306</definedName>
    <definedName name="LN_III6">[4]Report500!$D$309</definedName>
    <definedName name="LN_III7">[4]Report500!$D$310</definedName>
    <definedName name="LN_III8">[4]Report500!$D$311</definedName>
    <definedName name="LN_III9">[4]Report500!$D$312</definedName>
    <definedName name="LN_IV1">[4]Report500!$D$324</definedName>
    <definedName name="LN_IV2">[4]Report500!$D$322</definedName>
    <definedName name="LN_IV3">[4]Report500!$D$323</definedName>
    <definedName name="LN_IV4">[4]Report500!$D$325</definedName>
    <definedName name="MDC_Label">#REF!</definedName>
    <definedName name="MMMWEIGHTS_IMPACT_SUMMARY_936">#REF!</definedName>
    <definedName name="NeonateSUMRY2b">#REF!</definedName>
    <definedName name="PIP11_PaidMemo" localSheetId="0">#REF!</definedName>
    <definedName name="PIP11_PaidMemo">#REF!</definedName>
    <definedName name="PIP11_PaidMemo_f">#REF!</definedName>
    <definedName name="PIP11_PaidMemo_final">#REF!</definedName>
    <definedName name="PIP11_PaidMemo_final_n">#REF!</definedName>
    <definedName name="PIP12_PaidMemo_f">#REF!</definedName>
    <definedName name="PIP12_PaidMemo_final">#REF!</definedName>
    <definedName name="PIP12_PaidMemo_final_n">#REF!</definedName>
    <definedName name="PIP13_PaidMemo_f">#REF!</definedName>
    <definedName name="PIP13_PaidMemo_final">#REF!</definedName>
    <definedName name="PIP13_PaidMemo_final_n">#REF!</definedName>
    <definedName name="PIP14_PaidMemo_f">#REF!</definedName>
    <definedName name="PIP14_PaidMemo_final">#REF!</definedName>
    <definedName name="PIP14_PaidMemo_final_n">#REF!</definedName>
    <definedName name="PolicyImpact">#REF!</definedName>
    <definedName name="pps_3std">#REF!</definedName>
    <definedName name="PricingCDImpact">#REF!</definedName>
    <definedName name="PRINT">#REF!</definedName>
    <definedName name="_xlnm.Print_Area">#REF!</definedName>
    <definedName name="PRINT_AREA_MI">#REF!</definedName>
    <definedName name="_xlnm.Print_Titles" localSheetId="0">'IP Rates'!$B:$D</definedName>
    <definedName name="_xlnm.Print_Titles" localSheetId="1">'WI_IME Rate Modifier'!$1:$4</definedName>
    <definedName name="_xlnm.Print_Titles">#REF!</definedName>
    <definedName name="PRINT_TITLES_MI">#REF!</definedName>
    <definedName name="prov_name">[5]Medicaid!$A$3</definedName>
    <definedName name="PROVIDER_SUMM">#REF!</definedName>
    <definedName name="ProvNum">[6]Main!$A$4</definedName>
    <definedName name="PROVSUMMARY">#REF!</definedName>
    <definedName name="rate">#REF!</definedName>
    <definedName name="RateTypeAssignment">[3]Lookup!$E$4:$E$39</definedName>
    <definedName name="Sample_Impact_base">#REF!</definedName>
    <definedName name="SOI">[2]Lists!$D$3:$D$6</definedName>
    <definedName name="STATUS_BY_SFY">#REF!</definedName>
    <definedName name="SvcImpact">#REF!</definedName>
    <definedName name="SVCLEVEL">#REF!</definedName>
    <definedName name="SVCSUMRY">#REF!</definedName>
    <definedName name="TblStep_1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AG54" i="6" l="1"/>
  <c r="O16" i="20" l="1"/>
  <c r="O18" i="20" l="1"/>
  <c r="O10" i="20"/>
  <c r="H35" i="21" l="1"/>
  <c r="Q34" i="21"/>
  <c r="R34" i="21" s="1"/>
  <c r="Q33" i="21"/>
  <c r="R33" i="21" s="1"/>
  <c r="Q32" i="21"/>
  <c r="R32" i="21" s="1"/>
  <c r="Q31" i="21"/>
  <c r="R31" i="21" s="1"/>
  <c r="Q30" i="21"/>
  <c r="R30" i="21" s="1"/>
  <c r="Q29" i="21"/>
  <c r="R29" i="21" s="1"/>
  <c r="Q28" i="21"/>
  <c r="R28" i="21" s="1"/>
  <c r="Q27" i="21"/>
  <c r="R27" i="21" s="1"/>
  <c r="Q26" i="21"/>
  <c r="R26" i="21" s="1"/>
  <c r="Q25" i="21"/>
  <c r="R25" i="21" s="1"/>
  <c r="Q24" i="21"/>
  <c r="R24" i="21" s="1"/>
  <c r="Q23" i="21"/>
  <c r="R23" i="21" s="1"/>
  <c r="Q22" i="21"/>
  <c r="R22" i="21" s="1"/>
  <c r="Q21" i="21"/>
  <c r="R21" i="21" s="1"/>
  <c r="Q20" i="21"/>
  <c r="R20" i="21" s="1"/>
  <c r="Q19" i="21"/>
  <c r="R19" i="21" s="1"/>
  <c r="Q18" i="21"/>
  <c r="R18" i="21" s="1"/>
  <c r="Q17" i="21"/>
  <c r="R17" i="21" s="1"/>
  <c r="Q16" i="21"/>
  <c r="R16" i="21" s="1"/>
  <c r="Q15" i="21"/>
  <c r="R15" i="21" s="1"/>
  <c r="Q14" i="21"/>
  <c r="R14" i="21" s="1"/>
  <c r="Q13" i="21"/>
  <c r="R13" i="21" s="1"/>
  <c r="Q12" i="21"/>
  <c r="R12" i="21" s="1"/>
  <c r="Q11" i="21"/>
  <c r="R11" i="21" s="1"/>
  <c r="Q10" i="21"/>
  <c r="R10" i="21" s="1"/>
  <c r="Q9" i="21"/>
  <c r="R9" i="21" s="1"/>
  <c r="Q8" i="21"/>
  <c r="R8" i="21" s="1"/>
  <c r="Q7" i="21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X35" i="19"/>
  <c r="W35" i="19"/>
  <c r="T35" i="19"/>
  <c r="N35" i="19"/>
  <c r="AF35" i="19" s="1"/>
  <c r="AG35" i="19" s="1"/>
  <c r="L35" i="19"/>
  <c r="X34" i="19"/>
  <c r="T34" i="19"/>
  <c r="L34" i="19"/>
  <c r="N34" i="19" s="1"/>
  <c r="AF34" i="19" s="1"/>
  <c r="AG34" i="19" s="1"/>
  <c r="X33" i="19"/>
  <c r="W33" i="19"/>
  <c r="T33" i="19"/>
  <c r="N33" i="19"/>
  <c r="AF33" i="19" s="1"/>
  <c r="AG33" i="19" s="1"/>
  <c r="L33" i="19"/>
  <c r="X32" i="19"/>
  <c r="T32" i="19"/>
  <c r="L32" i="19"/>
  <c r="W32" i="19" s="1"/>
  <c r="X31" i="19"/>
  <c r="W31" i="19"/>
  <c r="T31" i="19"/>
  <c r="N31" i="19"/>
  <c r="N17" i="19" s="1"/>
  <c r="AF17" i="19" s="1"/>
  <c r="AG17" i="19" s="1"/>
  <c r="L31" i="19"/>
  <c r="X30" i="19"/>
  <c r="T30" i="19"/>
  <c r="L30" i="19"/>
  <c r="N30" i="19" s="1"/>
  <c r="AF30" i="19" s="1"/>
  <c r="AG30" i="19" s="1"/>
  <c r="X28" i="19"/>
  <c r="W28" i="19"/>
  <c r="T28" i="19"/>
  <c r="N28" i="19"/>
  <c r="AF28" i="19" s="1"/>
  <c r="AG28" i="19" s="1"/>
  <c r="L28" i="19"/>
  <c r="X27" i="19"/>
  <c r="T27" i="19"/>
  <c r="L27" i="19"/>
  <c r="W27" i="19" s="1"/>
  <c r="X26" i="19"/>
  <c r="W26" i="19"/>
  <c r="T26" i="19"/>
  <c r="N26" i="19"/>
  <c r="AF26" i="19" s="1"/>
  <c r="AG26" i="19" s="1"/>
  <c r="L26" i="19"/>
  <c r="X24" i="19"/>
  <c r="T24" i="19"/>
  <c r="L24" i="19"/>
  <c r="N24" i="19" s="1"/>
  <c r="AF24" i="19" s="1"/>
  <c r="AG24" i="19" s="1"/>
  <c r="X22" i="19"/>
  <c r="W22" i="19"/>
  <c r="T22" i="19"/>
  <c r="N22" i="19"/>
  <c r="AF22" i="19" s="1"/>
  <c r="AG22" i="19" s="1"/>
  <c r="L22" i="19"/>
  <c r="X20" i="19"/>
  <c r="T20" i="19"/>
  <c r="L20" i="19"/>
  <c r="W20" i="19" s="1"/>
  <c r="X18" i="19"/>
  <c r="W18" i="19"/>
  <c r="T18" i="19"/>
  <c r="N18" i="19"/>
  <c r="AF18" i="19" s="1"/>
  <c r="AG18" i="19" s="1"/>
  <c r="L18" i="19"/>
  <c r="T17" i="19"/>
  <c r="M17" i="19"/>
  <c r="X17" i="19" s="1"/>
  <c r="K17" i="19"/>
  <c r="L17" i="19" s="1"/>
  <c r="W17" i="19" s="1"/>
  <c r="J17" i="19"/>
  <c r="I17" i="19"/>
  <c r="H17" i="19"/>
  <c r="X16" i="19"/>
  <c r="T16" i="19"/>
  <c r="L16" i="19"/>
  <c r="N16" i="19" s="1"/>
  <c r="AF16" i="19" s="1"/>
  <c r="AG16" i="19" s="1"/>
  <c r="X14" i="19"/>
  <c r="W14" i="19"/>
  <c r="T14" i="19"/>
  <c r="N14" i="19"/>
  <c r="AF14" i="19" s="1"/>
  <c r="AG14" i="19" s="1"/>
  <c r="L14" i="19"/>
  <c r="X12" i="19"/>
  <c r="T12" i="19"/>
  <c r="L12" i="19"/>
  <c r="W12" i="19" s="1"/>
  <c r="X11" i="19"/>
  <c r="W11" i="19"/>
  <c r="T11" i="19"/>
  <c r="N11" i="19"/>
  <c r="AF11" i="19" s="1"/>
  <c r="AG11" i="19" s="1"/>
  <c r="L11" i="19"/>
  <c r="X10" i="19"/>
  <c r="T10" i="19"/>
  <c r="L10" i="19"/>
  <c r="N10" i="19" s="1"/>
  <c r="AF10" i="19" s="1"/>
  <c r="AG10" i="19" s="1"/>
  <c r="X7" i="19"/>
  <c r="W7" i="19"/>
  <c r="T7" i="19"/>
  <c r="N7" i="19"/>
  <c r="AF7" i="19" s="1"/>
  <c r="AG7" i="19" s="1"/>
  <c r="L7" i="19"/>
  <c r="Q35" i="21" l="1"/>
  <c r="R35" i="21" s="1"/>
  <c r="R7" i="21"/>
  <c r="W10" i="19"/>
  <c r="N12" i="19"/>
  <c r="AF12" i="19" s="1"/>
  <c r="AG12" i="19" s="1"/>
  <c r="W16" i="19"/>
  <c r="N20" i="19"/>
  <c r="AF20" i="19" s="1"/>
  <c r="AG20" i="19" s="1"/>
  <c r="W24" i="19"/>
  <c r="N27" i="19"/>
  <c r="AF27" i="19" s="1"/>
  <c r="AG27" i="19" s="1"/>
  <c r="W30" i="19"/>
  <c r="N32" i="19"/>
  <c r="AF32" i="19" s="1"/>
  <c r="AG32" i="19" s="1"/>
  <c r="W34" i="19"/>
  <c r="AF31" i="19"/>
  <c r="AG31" i="19" s="1"/>
  <c r="O36" i="20" l="1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7" i="20"/>
  <c r="O15" i="20"/>
  <c r="O14" i="20"/>
  <c r="O13" i="20"/>
  <c r="O12" i="20"/>
  <c r="O11" i="20"/>
  <c r="O9" i="20"/>
  <c r="O8" i="20"/>
  <c r="O7" i="20"/>
  <c r="P7" i="20"/>
  <c r="L36" i="20" l="1"/>
  <c r="M36" i="20"/>
  <c r="I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M24" i="20"/>
  <c r="L23" i="20"/>
  <c r="M23" i="20"/>
  <c r="L22" i="20"/>
  <c r="L21" i="20"/>
  <c r="L20" i="20"/>
  <c r="L19" i="20"/>
  <c r="M19" i="20"/>
  <c r="L18" i="20"/>
  <c r="L17" i="20"/>
  <c r="L16" i="20"/>
  <c r="L15" i="20"/>
  <c r="L14" i="20"/>
  <c r="L13" i="20"/>
  <c r="L12" i="20"/>
  <c r="L11" i="20"/>
  <c r="M11" i="20"/>
  <c r="L10" i="20"/>
  <c r="L9" i="20"/>
  <c r="L8" i="20"/>
  <c r="M8" i="20"/>
  <c r="L7" i="20"/>
  <c r="Q7" i="20" l="1"/>
  <c r="I7" i="20"/>
  <c r="U7" i="20"/>
  <c r="M32" i="20"/>
  <c r="M9" i="20"/>
  <c r="U8" i="20"/>
  <c r="I32" i="20"/>
  <c r="M28" i="20"/>
  <c r="M35" i="20"/>
  <c r="Q19" i="20"/>
  <c r="L18" i="18" s="1"/>
  <c r="M31" i="20"/>
  <c r="I31" i="20"/>
  <c r="Q15" i="20"/>
  <c r="L14" i="18" s="1"/>
  <c r="I27" i="20"/>
  <c r="U27" i="20"/>
  <c r="I28" i="20"/>
  <c r="U32" i="20"/>
  <c r="U31" i="20"/>
  <c r="U35" i="20"/>
  <c r="I24" i="20"/>
  <c r="M27" i="20"/>
  <c r="U28" i="20"/>
  <c r="I35" i="20"/>
  <c r="Q11" i="20"/>
  <c r="L10" i="18" s="1"/>
  <c r="Q20" i="20"/>
  <c r="L19" i="18" s="1"/>
  <c r="Q8" i="20"/>
  <c r="L7" i="18" s="1"/>
  <c r="I11" i="20"/>
  <c r="I23" i="20"/>
  <c r="U23" i="20"/>
  <c r="M25" i="20"/>
  <c r="Q36" i="20"/>
  <c r="L35" i="18" s="1"/>
  <c r="U11" i="20"/>
  <c r="I12" i="20"/>
  <c r="I15" i="20"/>
  <c r="U15" i="20"/>
  <c r="I16" i="20"/>
  <c r="I19" i="20"/>
  <c r="I20" i="20"/>
  <c r="U24" i="20"/>
  <c r="Q27" i="20"/>
  <c r="L26" i="18" s="1"/>
  <c r="Q28" i="20"/>
  <c r="L27" i="18" s="1"/>
  <c r="Q31" i="20"/>
  <c r="L30" i="18" s="1"/>
  <c r="Q32" i="20"/>
  <c r="L31" i="18" s="1"/>
  <c r="Q12" i="20"/>
  <c r="L11" i="18" s="1"/>
  <c r="Q16" i="20"/>
  <c r="L15" i="18" s="1"/>
  <c r="I8" i="20"/>
  <c r="M12" i="20"/>
  <c r="U12" i="20"/>
  <c r="M16" i="20"/>
  <c r="U16" i="20"/>
  <c r="U19" i="20"/>
  <c r="M20" i="20"/>
  <c r="U20" i="20"/>
  <c r="Q23" i="20"/>
  <c r="L22" i="18" s="1"/>
  <c r="Q24" i="20"/>
  <c r="L23" i="18" s="1"/>
  <c r="Q35" i="20"/>
  <c r="L34" i="18" s="1"/>
  <c r="M13" i="20"/>
  <c r="U18" i="20"/>
  <c r="I18" i="20"/>
  <c r="Q18" i="20"/>
  <c r="L17" i="18" s="1"/>
  <c r="M29" i="20"/>
  <c r="U33" i="20"/>
  <c r="I33" i="20"/>
  <c r="Q33" i="20"/>
  <c r="L32" i="18" s="1"/>
  <c r="M10" i="20"/>
  <c r="U14" i="20"/>
  <c r="I14" i="20"/>
  <c r="Q14" i="20"/>
  <c r="L13" i="18" s="1"/>
  <c r="U30" i="20"/>
  <c r="I30" i="20"/>
  <c r="Q30" i="20"/>
  <c r="L29" i="18" s="1"/>
  <c r="U10" i="20"/>
  <c r="I10" i="20"/>
  <c r="M14" i="20"/>
  <c r="U21" i="20"/>
  <c r="I21" i="20"/>
  <c r="Q21" i="20"/>
  <c r="L20" i="18" s="1"/>
  <c r="U22" i="20"/>
  <c r="I22" i="20"/>
  <c r="Q22" i="20"/>
  <c r="L21" i="18" s="1"/>
  <c r="M30" i="20"/>
  <c r="Q17" i="20"/>
  <c r="L16" i="18" s="1"/>
  <c r="U17" i="20"/>
  <c r="I17" i="20"/>
  <c r="U34" i="20"/>
  <c r="I34" i="20"/>
  <c r="M34" i="20"/>
  <c r="Q34" i="20"/>
  <c r="L33" i="18" s="1"/>
  <c r="U13" i="20"/>
  <c r="I13" i="20"/>
  <c r="Q13" i="20"/>
  <c r="L12" i="18" s="1"/>
  <c r="M26" i="20"/>
  <c r="U29" i="20"/>
  <c r="I29" i="20"/>
  <c r="Q29" i="20"/>
  <c r="L28" i="18" s="1"/>
  <c r="Q9" i="20"/>
  <c r="L8" i="18" s="1"/>
  <c r="U9" i="20"/>
  <c r="I9" i="20"/>
  <c r="Q10" i="20"/>
  <c r="L9" i="18" s="1"/>
  <c r="M17" i="20"/>
  <c r="M18" i="20"/>
  <c r="M21" i="20"/>
  <c r="M22" i="20"/>
  <c r="U25" i="20"/>
  <c r="I25" i="20"/>
  <c r="Q25" i="20"/>
  <c r="L24" i="18" s="1"/>
  <c r="U26" i="20"/>
  <c r="I26" i="20"/>
  <c r="Q26" i="20"/>
  <c r="L25" i="18" s="1"/>
  <c r="M33" i="20"/>
  <c r="U36" i="20"/>
  <c r="M7" i="20"/>
  <c r="M15" i="20"/>
  <c r="N26" i="18" l="1"/>
  <c r="Z31" i="6" s="1"/>
  <c r="F27" i="18"/>
  <c r="N30" i="18"/>
  <c r="Z35" i="6" s="1"/>
  <c r="F31" i="18"/>
  <c r="N25" i="18"/>
  <c r="Z30" i="6" s="1"/>
  <c r="F26" i="18"/>
  <c r="F28" i="18"/>
  <c r="N29" i="18"/>
  <c r="Z34" i="6" s="1"/>
  <c r="F30" i="18"/>
  <c r="F32" i="18"/>
  <c r="F8" i="18"/>
  <c r="F20" i="18"/>
  <c r="J7" i="18"/>
  <c r="J8" i="18"/>
  <c r="J9" i="18"/>
  <c r="J11" i="18"/>
  <c r="J16" i="18"/>
  <c r="J17" i="18"/>
  <c r="J19" i="18"/>
  <c r="J20" i="18"/>
  <c r="J21" i="18"/>
  <c r="J23" i="18"/>
  <c r="J24" i="18"/>
  <c r="J25" i="18"/>
  <c r="J27" i="18"/>
  <c r="J32" i="18"/>
  <c r="J35" i="18"/>
  <c r="F24" i="18"/>
  <c r="F33" i="18"/>
  <c r="F21" i="18"/>
  <c r="N9" i="18"/>
  <c r="Z14" i="6" s="1"/>
  <c r="F10" i="18"/>
  <c r="N10" i="18"/>
  <c r="Z15" i="6" s="1"/>
  <c r="F11" i="18"/>
  <c r="N11" i="18"/>
  <c r="Z16" i="6" s="1"/>
  <c r="F12" i="18"/>
  <c r="N13" i="18"/>
  <c r="Z18" i="6" s="1"/>
  <c r="F14" i="18"/>
  <c r="N14" i="18"/>
  <c r="Z19" i="6" s="1"/>
  <c r="F15" i="18"/>
  <c r="N15" i="18"/>
  <c r="Z20" i="6" s="1"/>
  <c r="F16" i="18"/>
  <c r="N17" i="18"/>
  <c r="Z22" i="6" s="1"/>
  <c r="F18" i="18"/>
  <c r="N18" i="18"/>
  <c r="Z23" i="6" s="1"/>
  <c r="F19" i="18"/>
  <c r="N19" i="18"/>
  <c r="Z24" i="6" s="1"/>
  <c r="R14" i="18"/>
  <c r="R29" i="18"/>
  <c r="R30" i="18"/>
  <c r="F7" i="18"/>
  <c r="N7" i="18"/>
  <c r="Z12" i="6" s="1"/>
  <c r="R10" i="18"/>
  <c r="J12" i="18"/>
  <c r="J13" i="18"/>
  <c r="J15" i="18"/>
  <c r="F17" i="18"/>
  <c r="N21" i="18"/>
  <c r="Z26" i="6" s="1"/>
  <c r="F22" i="18"/>
  <c r="N22" i="18"/>
  <c r="Z27" i="6" s="1"/>
  <c r="F23" i="18"/>
  <c r="N23" i="18"/>
  <c r="Z28" i="6" s="1"/>
  <c r="R26" i="18"/>
  <c r="J28" i="18"/>
  <c r="J31" i="18"/>
  <c r="F9" i="18"/>
  <c r="R18" i="18"/>
  <c r="F25" i="18"/>
  <c r="R33" i="18"/>
  <c r="R34" i="18"/>
  <c r="F13" i="18"/>
  <c r="R22" i="18"/>
  <c r="F29" i="18"/>
  <c r="N33" i="18"/>
  <c r="Z38" i="6" s="1"/>
  <c r="F34" i="18"/>
  <c r="N34" i="18"/>
  <c r="Z46" i="6" s="1"/>
  <c r="F35" i="18"/>
  <c r="R31" i="18"/>
  <c r="R35" i="18"/>
  <c r="R8" i="18"/>
  <c r="R12" i="18"/>
  <c r="R16" i="18"/>
  <c r="R20" i="18"/>
  <c r="R24" i="18"/>
  <c r="N27" i="18"/>
  <c r="Z32" i="6" s="1"/>
  <c r="R28" i="18"/>
  <c r="J29" i="18"/>
  <c r="N31" i="18"/>
  <c r="Z36" i="6" s="1"/>
  <c r="R32" i="18"/>
  <c r="J33" i="18"/>
  <c r="N35" i="18"/>
  <c r="Z43" i="6" s="1"/>
  <c r="R7" i="18"/>
  <c r="R11" i="18"/>
  <c r="R15" i="18"/>
  <c r="R19" i="18"/>
  <c r="R23" i="18"/>
  <c r="R27" i="18"/>
  <c r="N8" i="18"/>
  <c r="Z13" i="6" s="1"/>
  <c r="R9" i="18"/>
  <c r="J10" i="18"/>
  <c r="N12" i="18"/>
  <c r="Z17" i="6" s="1"/>
  <c r="R13" i="18"/>
  <c r="J14" i="18"/>
  <c r="N16" i="18"/>
  <c r="Z21" i="6" s="1"/>
  <c r="R17" i="18"/>
  <c r="J18" i="18"/>
  <c r="N20" i="18"/>
  <c r="Z25" i="6" s="1"/>
  <c r="R21" i="18"/>
  <c r="J22" i="18"/>
  <c r="N24" i="18"/>
  <c r="Z29" i="6" s="1"/>
  <c r="R25" i="18"/>
  <c r="J26" i="18"/>
  <c r="N28" i="18"/>
  <c r="Z33" i="6" s="1"/>
  <c r="J30" i="18"/>
  <c r="N32" i="18"/>
  <c r="Z37" i="6" s="1"/>
  <c r="J34" i="18"/>
  <c r="J15" i="6" l="1"/>
  <c r="K15" i="6" s="1"/>
  <c r="AG58" i="6" l="1"/>
  <c r="AG57" i="6"/>
  <c r="AG56" i="6"/>
  <c r="AG55" i="6"/>
  <c r="AG60" i="6" s="1"/>
  <c r="J46" i="6"/>
  <c r="K46" i="6" s="1"/>
  <c r="J43" i="6"/>
  <c r="AG39" i="6"/>
  <c r="M39" i="6"/>
  <c r="I39" i="6"/>
  <c r="I48" i="6" s="1"/>
  <c r="E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N17" i="6" s="1"/>
  <c r="J16" i="6"/>
  <c r="N15" i="6"/>
  <c r="J14" i="6"/>
  <c r="N14" i="6" s="1"/>
  <c r="J13" i="6"/>
  <c r="K13" i="6" s="1"/>
  <c r="J12" i="6"/>
  <c r="K12" i="6" s="1"/>
  <c r="N46" i="6" l="1"/>
  <c r="P46" i="6" s="1"/>
  <c r="R46" i="6" s="1"/>
  <c r="S46" i="6" s="1"/>
  <c r="AG46" i="6" s="1"/>
  <c r="P43" i="6"/>
  <c r="R43" i="6" s="1"/>
  <c r="S43" i="6" s="1"/>
  <c r="AG43" i="6" s="1"/>
  <c r="N43" i="6"/>
  <c r="K17" i="6"/>
  <c r="AC46" i="6"/>
  <c r="AE46" i="6" s="1"/>
  <c r="AJ46" i="6" s="1"/>
  <c r="N13" i="6"/>
  <c r="K43" i="6"/>
  <c r="K18" i="6"/>
  <c r="N18" i="6"/>
  <c r="K22" i="6"/>
  <c r="N22" i="6"/>
  <c r="K26" i="6"/>
  <c r="N26" i="6"/>
  <c r="K30" i="6"/>
  <c r="N30" i="6"/>
  <c r="K34" i="6"/>
  <c r="N34" i="6"/>
  <c r="K38" i="6"/>
  <c r="N38" i="6"/>
  <c r="K14" i="6"/>
  <c r="N16" i="6"/>
  <c r="K16" i="6"/>
  <c r="N21" i="6"/>
  <c r="K21" i="6"/>
  <c r="N25" i="6"/>
  <c r="K25" i="6"/>
  <c r="N29" i="6"/>
  <c r="K29" i="6"/>
  <c r="N33" i="6"/>
  <c r="K33" i="6"/>
  <c r="N37" i="6"/>
  <c r="K37" i="6"/>
  <c r="Y43" i="6"/>
  <c r="AA43" i="6" s="1"/>
  <c r="AI43" i="6" s="1"/>
  <c r="AH43" i="6"/>
  <c r="K20" i="6"/>
  <c r="N20" i="6"/>
  <c r="K24" i="6"/>
  <c r="N24" i="6"/>
  <c r="K28" i="6"/>
  <c r="N28" i="6"/>
  <c r="K32" i="6"/>
  <c r="N32" i="6"/>
  <c r="K36" i="6"/>
  <c r="N36" i="6"/>
  <c r="N19" i="6"/>
  <c r="K19" i="6"/>
  <c r="N23" i="6"/>
  <c r="K23" i="6"/>
  <c r="N27" i="6"/>
  <c r="K27" i="6"/>
  <c r="N31" i="6"/>
  <c r="K31" i="6"/>
  <c r="N35" i="6"/>
  <c r="K35" i="6"/>
  <c r="E48" i="6"/>
  <c r="F39" i="6"/>
  <c r="AC43" i="6"/>
  <c r="AE43" i="6" s="1"/>
  <c r="AJ43" i="6" s="1"/>
  <c r="N12" i="6"/>
  <c r="AH46" i="6" l="1"/>
  <c r="F48" i="6"/>
  <c r="Y46" i="6"/>
  <c r="AA46" i="6" s="1"/>
  <c r="AI46" i="6" s="1"/>
  <c r="AG48" i="6"/>
  <c r="K39" i="6"/>
  <c r="N39" i="6" l="1"/>
  <c r="H39" i="6"/>
  <c r="P16" i="6"/>
  <c r="P14" i="6"/>
  <c r="K48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39" i="6"/>
  <c r="P17" i="6"/>
  <c r="P12" i="6"/>
  <c r="P15" i="6"/>
  <c r="P13" i="6"/>
  <c r="Y17" i="6" l="1"/>
  <c r="AA17" i="6" s="1"/>
  <c r="AI17" i="6" s="1"/>
  <c r="AH17" i="6"/>
  <c r="AC17" i="6"/>
  <c r="AE17" i="6" s="1"/>
  <c r="AJ17" i="6" s="1"/>
  <c r="Y20" i="6"/>
  <c r="AA20" i="6" s="1"/>
  <c r="AI20" i="6" s="1"/>
  <c r="AH20" i="6"/>
  <c r="AC20" i="6"/>
  <c r="AE20" i="6" s="1"/>
  <c r="AJ20" i="6" s="1"/>
  <c r="Y24" i="6"/>
  <c r="AA24" i="6" s="1"/>
  <c r="AI24" i="6" s="1"/>
  <c r="AH24" i="6"/>
  <c r="AC24" i="6"/>
  <c r="AE24" i="6" s="1"/>
  <c r="AJ24" i="6" s="1"/>
  <c r="Y32" i="6"/>
  <c r="AA32" i="6" s="1"/>
  <c r="AI32" i="6" s="1"/>
  <c r="AH32" i="6"/>
  <c r="AC32" i="6"/>
  <c r="AE32" i="6" s="1"/>
  <c r="AJ32" i="6" s="1"/>
  <c r="Y36" i="6"/>
  <c r="AA36" i="6" s="1"/>
  <c r="AI36" i="6" s="1"/>
  <c r="AH36" i="6"/>
  <c r="AC36" i="6"/>
  <c r="AE36" i="6" s="1"/>
  <c r="AJ36" i="6" s="1"/>
  <c r="Y14" i="6"/>
  <c r="AA14" i="6" s="1"/>
  <c r="AI14" i="6" s="1"/>
  <c r="AH14" i="6"/>
  <c r="AC14" i="6"/>
  <c r="AE14" i="6" s="1"/>
  <c r="AJ14" i="6" s="1"/>
  <c r="Y13" i="6"/>
  <c r="AA13" i="6" s="1"/>
  <c r="AI13" i="6" s="1"/>
  <c r="AH13" i="6"/>
  <c r="AC13" i="6"/>
  <c r="AE13" i="6" s="1"/>
  <c r="AJ13" i="6" s="1"/>
  <c r="Y21" i="6"/>
  <c r="AA21" i="6" s="1"/>
  <c r="AI21" i="6" s="1"/>
  <c r="AH21" i="6"/>
  <c r="AC21" i="6"/>
  <c r="AE21" i="6" s="1"/>
  <c r="AJ21" i="6" s="1"/>
  <c r="Y25" i="6"/>
  <c r="AA25" i="6" s="1"/>
  <c r="AI25" i="6" s="1"/>
  <c r="AH25" i="6"/>
  <c r="AC25" i="6"/>
  <c r="AE25" i="6" s="1"/>
  <c r="AJ25" i="6" s="1"/>
  <c r="Y29" i="6"/>
  <c r="AA29" i="6" s="1"/>
  <c r="AI29" i="6" s="1"/>
  <c r="AH29" i="6"/>
  <c r="AC29" i="6"/>
  <c r="AE29" i="6" s="1"/>
  <c r="AJ29" i="6" s="1"/>
  <c r="Y33" i="6"/>
  <c r="AA33" i="6" s="1"/>
  <c r="AI33" i="6" s="1"/>
  <c r="AH33" i="6"/>
  <c r="AC33" i="6"/>
  <c r="AE33" i="6" s="1"/>
  <c r="AJ33" i="6" s="1"/>
  <c r="Y37" i="6"/>
  <c r="AA37" i="6" s="1"/>
  <c r="AI37" i="6" s="1"/>
  <c r="AH37" i="6"/>
  <c r="AC37" i="6"/>
  <c r="AE37" i="6" s="1"/>
  <c r="AJ37" i="6" s="1"/>
  <c r="AC16" i="6"/>
  <c r="AE16" i="6" s="1"/>
  <c r="AJ16" i="6" s="1"/>
  <c r="Y16" i="6"/>
  <c r="AA16" i="6" s="1"/>
  <c r="AI16" i="6" s="1"/>
  <c r="AH16" i="6"/>
  <c r="AC15" i="6"/>
  <c r="AE15" i="6" s="1"/>
  <c r="AJ15" i="6" s="1"/>
  <c r="Y15" i="6"/>
  <c r="AA15" i="6" s="1"/>
  <c r="AI15" i="6" s="1"/>
  <c r="AH15" i="6"/>
  <c r="Y18" i="6"/>
  <c r="AA18" i="6" s="1"/>
  <c r="AI18" i="6" s="1"/>
  <c r="AH18" i="6"/>
  <c r="AC18" i="6"/>
  <c r="AE18" i="6" s="1"/>
  <c r="AJ18" i="6" s="1"/>
  <c r="Y22" i="6"/>
  <c r="AA22" i="6" s="1"/>
  <c r="AI22" i="6" s="1"/>
  <c r="AH22" i="6"/>
  <c r="AC22" i="6"/>
  <c r="AE22" i="6" s="1"/>
  <c r="AJ22" i="6" s="1"/>
  <c r="Y26" i="6"/>
  <c r="AA26" i="6" s="1"/>
  <c r="AI26" i="6" s="1"/>
  <c r="AH26" i="6"/>
  <c r="AC26" i="6"/>
  <c r="AE26" i="6" s="1"/>
  <c r="AJ26" i="6" s="1"/>
  <c r="Y30" i="6"/>
  <c r="AA30" i="6" s="1"/>
  <c r="AI30" i="6" s="1"/>
  <c r="AH30" i="6"/>
  <c r="AC30" i="6"/>
  <c r="AE30" i="6" s="1"/>
  <c r="AJ30" i="6" s="1"/>
  <c r="Y34" i="6"/>
  <c r="AA34" i="6" s="1"/>
  <c r="AI34" i="6" s="1"/>
  <c r="AH34" i="6"/>
  <c r="AC34" i="6"/>
  <c r="AE34" i="6" s="1"/>
  <c r="AJ34" i="6" s="1"/>
  <c r="Y38" i="6"/>
  <c r="AA38" i="6" s="1"/>
  <c r="AI38" i="6" s="1"/>
  <c r="AH38" i="6"/>
  <c r="AC38" i="6"/>
  <c r="AE38" i="6" s="1"/>
  <c r="AJ38" i="6" s="1"/>
  <c r="Y12" i="6"/>
  <c r="AA12" i="6" s="1"/>
  <c r="AI12" i="6" s="1"/>
  <c r="AC12" i="6"/>
  <c r="AE12" i="6" s="1"/>
  <c r="AJ12" i="6" s="1"/>
  <c r="AH12" i="6"/>
  <c r="Y19" i="6"/>
  <c r="AA19" i="6" s="1"/>
  <c r="AI19" i="6" s="1"/>
  <c r="AH19" i="6"/>
  <c r="AC19" i="6"/>
  <c r="AE19" i="6" s="1"/>
  <c r="AJ19" i="6" s="1"/>
  <c r="Y23" i="6"/>
  <c r="AA23" i="6" s="1"/>
  <c r="AI23" i="6" s="1"/>
  <c r="AH23" i="6"/>
  <c r="AC23" i="6"/>
  <c r="AE23" i="6" s="1"/>
  <c r="AJ23" i="6" s="1"/>
  <c r="Y27" i="6"/>
  <c r="AA27" i="6" s="1"/>
  <c r="AI27" i="6" s="1"/>
  <c r="AH27" i="6"/>
  <c r="AC27" i="6"/>
  <c r="AE27" i="6" s="1"/>
  <c r="AJ27" i="6" s="1"/>
  <c r="Y31" i="6"/>
  <c r="AA31" i="6" s="1"/>
  <c r="AI31" i="6" s="1"/>
  <c r="AH31" i="6"/>
  <c r="AC31" i="6"/>
  <c r="AE31" i="6" s="1"/>
  <c r="AJ31" i="6" s="1"/>
  <c r="Y35" i="6"/>
  <c r="AA35" i="6" s="1"/>
  <c r="AI35" i="6" s="1"/>
  <c r="AH35" i="6"/>
  <c r="AC35" i="6"/>
  <c r="AE35" i="6" s="1"/>
  <c r="AJ35" i="6" s="1"/>
  <c r="Y28" i="6"/>
  <c r="AA28" i="6" s="1"/>
  <c r="AI28" i="6" s="1"/>
  <c r="AH28" i="6"/>
  <c r="AC28" i="6"/>
  <c r="AE28" i="6" s="1"/>
  <c r="AJ28" i="6" s="1"/>
  <c r="AJ54" i="6" l="1"/>
  <c r="AH54" i="6"/>
  <c r="AI54" i="6"/>
  <c r="AH56" i="6"/>
  <c r="AH39" i="6"/>
  <c r="AI57" i="6"/>
  <c r="AJ58" i="6"/>
  <c r="AJ55" i="6"/>
  <c r="AJ56" i="6"/>
  <c r="AJ39" i="6"/>
  <c r="AJ48" i="6" s="1"/>
  <c r="R5" i="6" s="1"/>
  <c r="AJ57" i="6"/>
  <c r="AH58" i="6"/>
  <c r="AH55" i="6"/>
  <c r="AH57" i="6"/>
  <c r="AI56" i="6"/>
  <c r="AI39" i="6"/>
  <c r="AI58" i="6"/>
  <c r="AI55" i="6"/>
  <c r="AI48" i="6" l="1"/>
  <c r="AH48" i="6"/>
  <c r="I41" i="6" s="1"/>
  <c r="AI60" i="6"/>
  <c r="AH60" i="6"/>
  <c r="AJ60" i="6"/>
</calcChain>
</file>

<file path=xl/sharedStrings.xml><?xml version="1.0" encoding="utf-8"?>
<sst xmlns="http://schemas.openxmlformats.org/spreadsheetml/2006/main" count="906" uniqueCount="379">
  <si>
    <t>Hospital</t>
  </si>
  <si>
    <t xml:space="preserve">BACKUS </t>
  </si>
  <si>
    <t xml:space="preserve">BRIDGEPORT </t>
  </si>
  <si>
    <t xml:space="preserve">BRISTOL </t>
  </si>
  <si>
    <t xml:space="preserve">DANBURY </t>
  </si>
  <si>
    <t xml:space="preserve">DAY KIMBALL </t>
  </si>
  <si>
    <t>GREENWICH</t>
  </si>
  <si>
    <t xml:space="preserve">GRIFFIN </t>
  </si>
  <si>
    <t xml:space="preserve">HARTFORD </t>
  </si>
  <si>
    <t>HOSP. CEN. CT</t>
  </si>
  <si>
    <t xml:space="preserve">HUNGERFORD </t>
  </si>
  <si>
    <t>JOHNSON</t>
  </si>
  <si>
    <t>LAWR &amp; MEM</t>
  </si>
  <si>
    <t>MANCHESTER</t>
  </si>
  <si>
    <t xml:space="preserve">MIDSTATE </t>
  </si>
  <si>
    <t xml:space="preserve">MIDDLESEX </t>
  </si>
  <si>
    <t xml:space="preserve">MILFORD </t>
  </si>
  <si>
    <t xml:space="preserve">NORWALK </t>
  </si>
  <si>
    <t>ROCKVILLE</t>
  </si>
  <si>
    <t>ST FRANCIS</t>
  </si>
  <si>
    <t xml:space="preserve">ST MARYS </t>
  </si>
  <si>
    <t>ST VINCENTS</t>
  </si>
  <si>
    <t xml:space="preserve">SHARON </t>
  </si>
  <si>
    <t xml:space="preserve">STAMFORD </t>
  </si>
  <si>
    <t xml:space="preserve">WATERBURY </t>
  </si>
  <si>
    <t>WINDHAM</t>
  </si>
  <si>
    <t>YALE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</si>
  <si>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</si>
  <si>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</si>
  <si>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</si>
  <si>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</si>
  <si>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</si>
  <si>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</si>
  <si>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</si>
  <si>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</si>
  <si>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</si>
  <si>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</si>
  <si>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</si>
  <si>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</si>
  <si>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004041810</t>
  </si>
  <si>
    <t>004041778</t>
  </si>
  <si>
    <t>004041794</t>
  </si>
  <si>
    <t>004041943</t>
  </si>
  <si>
    <t>004041620</t>
  </si>
  <si>
    <t>004041760</t>
  </si>
  <si>
    <t>004041893</t>
  </si>
  <si>
    <t>004041661</t>
  </si>
  <si>
    <t>004041828</t>
  </si>
  <si>
    <t>004041836</t>
  </si>
  <si>
    <t>Affiliations</t>
  </si>
  <si>
    <t>Connecticut Department of Social Services - Division of Health Services</t>
  </si>
  <si>
    <t>Fiscal Impact of Four Year Transition to a Statewide Base Rate</t>
  </si>
  <si>
    <t>Base Rate Infusions*</t>
  </si>
  <si>
    <t xml:space="preserve">4 Year Statewide Rate Transition </t>
  </si>
  <si>
    <t>Flat Rate Adjustment to Base Rate</t>
  </si>
  <si>
    <t xml:space="preserve"> </t>
  </si>
  <si>
    <t>Includes Option for Immediate Infusion of Funding</t>
  </si>
  <si>
    <t>Percentage Adjustment</t>
  </si>
  <si>
    <t>First Date of Service 1/1/2015 to 12/31/2015</t>
  </si>
  <si>
    <t>Annual Fiscal Impact</t>
  </si>
  <si>
    <t>Paid Dates of Service 1/1/2015 to 4/8/2016</t>
  </si>
  <si>
    <t>Transition Rates with IME/WI Adjustments**</t>
  </si>
  <si>
    <t>Statewide</t>
  </si>
  <si>
    <t>Base Rates and Payments Before and After Potential Infusion</t>
  </si>
  <si>
    <t>Adjust APR-DRG Rate for IME/WI</t>
  </si>
  <si>
    <t>Year 1 Transition - 75/25</t>
  </si>
  <si>
    <t>Year 2 Transition - 50/50</t>
  </si>
  <si>
    <t>Year 3 Transition 25/75</t>
  </si>
  <si>
    <t>Year 4 Transition - 100% Statewide</t>
  </si>
  <si>
    <t>Fiscal Impact</t>
  </si>
  <si>
    <t>Medicare Number</t>
  </si>
  <si>
    <t>Medicaid Number</t>
  </si>
  <si>
    <t>2015 APR-DRG Discharges</t>
  </si>
  <si>
    <t>2015 CMI</t>
  </si>
  <si>
    <t>Corrected Revenue Neutral APR-DRG Rate Reduced for DCI Overage</t>
  </si>
  <si>
    <t>Corrected Revenue Neutral APR-DRG  Inlier Payments</t>
  </si>
  <si>
    <t>Revised APR-DRG Rate to Infuse Funding</t>
  </si>
  <si>
    <t>Revised APR-DRG Inlier Payments</t>
  </si>
  <si>
    <t>2017 IME/WI Rate Factor</t>
  </si>
  <si>
    <t xml:space="preserve">Hospital Specific APR-DRG Rate w/ IME/WI Removed </t>
  </si>
  <si>
    <t>Statewide APR-DRG Rate w/o IME/WI</t>
  </si>
  <si>
    <t xml:space="preserve"> YR 1 Transition APR-DRG Rate (Prior to IME/WI Adj.)</t>
  </si>
  <si>
    <t>IME/WI Adjusted APR-DRG Rate</t>
  </si>
  <si>
    <t xml:space="preserve"> YR 2 Transition APR-DRG Rate (Prior to IME/WI Adj.)</t>
  </si>
  <si>
    <t>2018 IME/WI Rate Factor</t>
  </si>
  <si>
    <t>IME/WI Adjusted YR 2 Transition Rate</t>
  </si>
  <si>
    <t xml:space="preserve"> YR 3 Transition APR-DRG Rate (Prior to IME/WI Adj.)</t>
  </si>
  <si>
    <t>2019 IME/WI Rate Factor</t>
  </si>
  <si>
    <t>IME/WI Adjusted YR 3 Transition Rate</t>
  </si>
  <si>
    <t xml:space="preserve"> YR 4 Transition APR-DRG Rate (Prior to IME/WI Adj.)</t>
  </si>
  <si>
    <t>2020 IME/WI Rate Factor</t>
  </si>
  <si>
    <t>IME/WI Adjusted YR 4 Transition Rate</t>
  </si>
  <si>
    <t>YR 1 Inlier Payments</t>
  </si>
  <si>
    <t>YR 2 Inlier Payments</t>
  </si>
  <si>
    <t>YR 3 Inlier Payments</t>
  </si>
  <si>
    <t>YR 4 Inlier Payments</t>
  </si>
  <si>
    <t>a</t>
  </si>
  <si>
    <t>b</t>
  </si>
  <si>
    <t>c</t>
  </si>
  <si>
    <t>d</t>
  </si>
  <si>
    <t>e</t>
  </si>
  <si>
    <t>f</t>
  </si>
  <si>
    <t>g</t>
  </si>
  <si>
    <t>i=(f+FRA)*(1+PA)</t>
  </si>
  <si>
    <t>j = d*e*i</t>
  </si>
  <si>
    <t>k</t>
  </si>
  <si>
    <t>l = i/k</t>
  </si>
  <si>
    <t>m</t>
  </si>
  <si>
    <t>n = (3/4*l)+(1/4*m)</t>
  </si>
  <si>
    <t>o=k*n</t>
  </si>
  <si>
    <t>p = (1/2*m)+(1/2*l)</t>
  </si>
  <si>
    <t>q</t>
  </si>
  <si>
    <t>r=q*p</t>
  </si>
  <si>
    <t>s = (1/4*l)+(3/4*m)</t>
  </si>
  <si>
    <t>t</t>
  </si>
  <si>
    <t>u = t*s</t>
  </si>
  <si>
    <t>v = m</t>
  </si>
  <si>
    <t>w</t>
  </si>
  <si>
    <t>x = w*v</t>
  </si>
  <si>
    <t>y=d*e*o</t>
  </si>
  <si>
    <t>z=d*e*r</t>
  </si>
  <si>
    <t>aa=d*e*u</t>
  </si>
  <si>
    <t>ab=d*e*x</t>
  </si>
  <si>
    <t>070002</t>
  </si>
  <si>
    <t>Saint Francis Hospital</t>
  </si>
  <si>
    <t>070003</t>
  </si>
  <si>
    <t>Day Kimball Hospital</t>
  </si>
  <si>
    <t>070004</t>
  </si>
  <si>
    <t>Sharon Hospital</t>
  </si>
  <si>
    <t>070005</t>
  </si>
  <si>
    <t>Waterbury Hospital</t>
  </si>
  <si>
    <t>070006</t>
  </si>
  <si>
    <t>Stamford Hospital</t>
  </si>
  <si>
    <t>070007</t>
  </si>
  <si>
    <t>Lawrence &amp; Memorial Hospital</t>
  </si>
  <si>
    <t>070008</t>
  </si>
  <si>
    <t>Johnson Memorial Hospital</t>
  </si>
  <si>
    <t>070010</t>
  </si>
  <si>
    <t>Bridgeport Hospital</t>
  </si>
  <si>
    <t>070011</t>
  </si>
  <si>
    <t>Charlotte Hungerford Hospital</t>
  </si>
  <si>
    <t>070012</t>
  </si>
  <si>
    <t>Rockville General Hospital</t>
  </si>
  <si>
    <t>070015</t>
  </si>
  <si>
    <t>004041752</t>
  </si>
  <si>
    <t>New Milford Hospital</t>
  </si>
  <si>
    <t>070016</t>
  </si>
  <si>
    <t>Saint Mary's Hospital</t>
  </si>
  <si>
    <t>070017</t>
  </si>
  <si>
    <t>Midstate Medical Center</t>
  </si>
  <si>
    <t>070018</t>
  </si>
  <si>
    <t>Greenwich Hospital</t>
  </si>
  <si>
    <t>070019</t>
  </si>
  <si>
    <t>Milford Hospital</t>
  </si>
  <si>
    <t>070020</t>
  </si>
  <si>
    <t>Middlesex Hospital</t>
  </si>
  <si>
    <t>070021</t>
  </si>
  <si>
    <t>Windham Community Memorial Hospital</t>
  </si>
  <si>
    <t>070022</t>
  </si>
  <si>
    <t>Yale-New Haven Hospital</t>
  </si>
  <si>
    <t>070024</t>
  </si>
  <si>
    <t>William W. Backus Hospital</t>
  </si>
  <si>
    <t>070025</t>
  </si>
  <si>
    <t>Hartford Hospital</t>
  </si>
  <si>
    <t>070027</t>
  </si>
  <si>
    <t>Manchester Memorial Hospital</t>
  </si>
  <si>
    <t>070028</t>
  </si>
  <si>
    <t>Saint Vincent's Medical Center</t>
  </si>
  <si>
    <t>070029</t>
  </si>
  <si>
    <t>Bristol Hospital</t>
  </si>
  <si>
    <t>070031</t>
  </si>
  <si>
    <t>Griffin Hospital</t>
  </si>
  <si>
    <t>070033</t>
  </si>
  <si>
    <t>Danbury Hospital</t>
  </si>
  <si>
    <t>070034</t>
  </si>
  <si>
    <t>Norwalk Hospital</t>
  </si>
  <si>
    <t>070035</t>
  </si>
  <si>
    <t>Hospital of Central Connecticut</t>
  </si>
  <si>
    <t>Other Peer Groups</t>
  </si>
  <si>
    <t>073300</t>
  </si>
  <si>
    <t>004159960</t>
  </si>
  <si>
    <t>Connecticut Children's Medical Center</t>
  </si>
  <si>
    <t>070036</t>
  </si>
  <si>
    <t>004041968</t>
  </si>
  <si>
    <t>John Dempsey Hospital</t>
  </si>
  <si>
    <t>Statewide Totals</t>
  </si>
  <si>
    <t>*Base Rate Infusions are impacted by WI/IME factors</t>
  </si>
  <si>
    <t>Prospect Holdings (WATBY,MANCH,RKVLE)</t>
  </si>
  <si>
    <t>WCHN (DANBY,NRWLK,NMILF)</t>
  </si>
  <si>
    <t>h</t>
  </si>
  <si>
    <t>i</t>
  </si>
  <si>
    <t>j</t>
  </si>
  <si>
    <t>o</t>
  </si>
  <si>
    <t>p</t>
  </si>
  <si>
    <t>The Hospital Of Central Connecticut</t>
  </si>
  <si>
    <t>Connecticut Childrens Medical Center</t>
  </si>
  <si>
    <t xml:space="preserve">Combined IME and Wage Index Rate Adjustment Factor </t>
  </si>
  <si>
    <t>FY 2015 Cost Report IME</t>
  </si>
  <si>
    <t>2017 IME/WI Factor</t>
  </si>
  <si>
    <t>FY 2016 Cost Report IME</t>
  </si>
  <si>
    <t>2018 IME/WI Factor</t>
  </si>
  <si>
    <t>2019 WI Factor</t>
  </si>
  <si>
    <t>FY 2017 Cost Report IME</t>
  </si>
  <si>
    <t>2019 IME/WI Factor</t>
  </si>
  <si>
    <t>2020 WI Factor</t>
  </si>
  <si>
    <t>FY 2018 Cost Report IME</t>
  </si>
  <si>
    <t>2020 IME/WI Factor</t>
  </si>
  <si>
    <t>f=d*(1+e)</t>
  </si>
  <si>
    <t>i=g*(1+h)</t>
  </si>
  <si>
    <t>k=e</t>
  </si>
  <si>
    <t>l=j*(1+k)</t>
  </si>
  <si>
    <t>n=e</t>
  </si>
  <si>
    <t>o=m*(1+n)</t>
  </si>
  <si>
    <t>Connecticut Children's Medical Center*</t>
  </si>
  <si>
    <t>FY 2018 IME Factors</t>
  </si>
  <si>
    <t>Source Data - FY 2016 Medicare Cost Report, worksheet S-3, columns 2 and 9</t>
  </si>
  <si>
    <t>Hospital Name</t>
  </si>
  <si>
    <t>FYB</t>
  </si>
  <si>
    <t>FYE</t>
  </si>
  <si>
    <t>Hospital Beds</t>
  </si>
  <si>
    <t>Sub IPF Beds</t>
  </si>
  <si>
    <t>Sub IRF Beds</t>
  </si>
  <si>
    <t>Nursery Beds</t>
  </si>
  <si>
    <t>Beds Excluding Nursery</t>
  </si>
  <si>
    <t>I&amp;R FTEs</t>
  </si>
  <si>
    <t>IME
Factor</t>
  </si>
  <si>
    <t>Diff in Beds</t>
  </si>
  <si>
    <t>Diff in I&amp;R</t>
  </si>
  <si>
    <t>i=e+f+g-h</t>
  </si>
  <si>
    <t>k = 1.35*((1+j/i)^.405-1)</t>
  </si>
  <si>
    <t>The Stamford Hospital</t>
  </si>
  <si>
    <t>Rockville General Hospital  Inc.</t>
  </si>
  <si>
    <t>New Milford</t>
  </si>
  <si>
    <t>St. Marys Hospital</t>
  </si>
  <si>
    <t>St. Vincents Medical Center</t>
  </si>
  <si>
    <t>The Griffin Hospital</t>
  </si>
  <si>
    <t>NO CHANGE TO MEDICARE'S FORMULA - check again before finalizing rates</t>
  </si>
  <si>
    <t>Wage Index Factor</t>
  </si>
  <si>
    <t>2018 Labor Component</t>
  </si>
  <si>
    <t>2019 Labor Component</t>
  </si>
  <si>
    <t>2020 Labor Component</t>
  </si>
  <si>
    <t xml:space="preserve">County </t>
  </si>
  <si>
    <t>Urban Area</t>
  </si>
  <si>
    <t>Wage Index</t>
  </si>
  <si>
    <t>2017 Labor Portion WI</t>
  </si>
  <si>
    <t>2018 Labor Portion WI</t>
  </si>
  <si>
    <t>2019 Labor Portion WI</t>
  </si>
  <si>
    <t>2020 Labor Portion WI</t>
  </si>
  <si>
    <t>i =(g*h)+(1-h)</t>
  </si>
  <si>
    <t>l =(j*k)+(1-k)</t>
  </si>
  <si>
    <t>n</t>
  </si>
  <si>
    <t>o=(m*n)+(1-n)</t>
  </si>
  <si>
    <t>r=(p*q)+(1-q)</t>
  </si>
  <si>
    <t>070001</t>
  </si>
  <si>
    <t>Hospital of Saint Raphael</t>
  </si>
  <si>
    <t>New Haven County</t>
  </si>
  <si>
    <t>Hartford County</t>
  </si>
  <si>
    <t>Windham</t>
  </si>
  <si>
    <t>Litchfield</t>
  </si>
  <si>
    <t>Fairfield County</t>
  </si>
  <si>
    <t>New London County</t>
  </si>
  <si>
    <t>Tolland County</t>
  </si>
  <si>
    <t>Saint Mary`s Hospital</t>
  </si>
  <si>
    <t>Middlesex County</t>
  </si>
  <si>
    <t>Saint Vincent`s Medical Center</t>
  </si>
  <si>
    <t>Connecticut Children`s Medical Center</t>
  </si>
  <si>
    <t>25540</t>
  </si>
  <si>
    <t>p:  Worksheet D-3, Line 200, Column 2</t>
  </si>
  <si>
    <t>o:  Worksheet D-3, Line 35.03, Column 2</t>
  </si>
  <si>
    <t>n:  Worksheet D-3, Line 35.02, Column 2</t>
  </si>
  <si>
    <t>m:  Worksheet D-3, Line 35, Column 2</t>
  </si>
  <si>
    <t>l:  Worksheet D-3, Line 34, Column 2</t>
  </si>
  <si>
    <t>k:  Worksheet D-3, Line 32, Column 2</t>
  </si>
  <si>
    <t>j:  Worksheet D-3, Line 31.01, Column 2</t>
  </si>
  <si>
    <t>i:  Worksheet D-3, Line 31, Column 2</t>
  </si>
  <si>
    <t>h:  Worksheet D-3, Line 30, Column 2</t>
  </si>
  <si>
    <t>g:  Worksheet D-1, Line 49, Column 1</t>
  </si>
  <si>
    <t>statewide</t>
  </si>
  <si>
    <t>CONNECTICUT CHILDRENS MEDICAL CENTER</t>
  </si>
  <si>
    <t>As-Filed</t>
  </si>
  <si>
    <t>CT</t>
  </si>
  <si>
    <t>JOHN DEMPSEY HOSPITAL</t>
  </si>
  <si>
    <t>THE HOSPITAL OF CENTRAL CONNECTICUT</t>
  </si>
  <si>
    <t>NORWALK HOSPITAL</t>
  </si>
  <si>
    <t>DANBURY HOSPITAL</t>
  </si>
  <si>
    <t>THE GRIFFIN HOSPITAL</t>
  </si>
  <si>
    <t>BRISTOL HOSPITAL  INC.</t>
  </si>
  <si>
    <t>ST. VINCENTS MEDICAL CENTER</t>
  </si>
  <si>
    <t>MANCHESTER MEMORIAL HOSPITAL</t>
  </si>
  <si>
    <t>HARTFORD HOSPITAL</t>
  </si>
  <si>
    <t>THE WILLIAM W. BACKUS HOSPITAL</t>
  </si>
  <si>
    <t>YALE-NEW HAVEN HOSPITAL</t>
  </si>
  <si>
    <t>WINDHAM COMMUNITY MEMORIAL HOSPITAL</t>
  </si>
  <si>
    <t>MIDDLESEX HOSPITAL</t>
  </si>
  <si>
    <t>MILFORD HOSPITAL  INC</t>
  </si>
  <si>
    <t>GREENWICH HOSPITAL</t>
  </si>
  <si>
    <t>MIDSTATE MEDICAL CENTER</t>
  </si>
  <si>
    <t>ST. MARYS HOSPITAL</t>
  </si>
  <si>
    <t>ROCKVILLE GENERAL HOSPITAL  INC.</t>
  </si>
  <si>
    <t>CHARLOTTE HUNGERFORD HOSPITAL</t>
  </si>
  <si>
    <t>BRIDGEPORT HOSPITAL</t>
  </si>
  <si>
    <t>JOHNSON MEMORIAL HOSPITAL</t>
  </si>
  <si>
    <t>LAWRENCE &amp; MEMORIAL HOSPITAL</t>
  </si>
  <si>
    <t>THE STAMFORD HOSPITAL</t>
  </si>
  <si>
    <t>WATERBURY HOSPITAL</t>
  </si>
  <si>
    <t>SHARON HOSPITAL</t>
  </si>
  <si>
    <t>DAY KIMBALL HOSPITAL</t>
  </si>
  <si>
    <t>SAINT FRANCIS HOSPITAL</t>
  </si>
  <si>
    <t>l</t>
  </si>
  <si>
    <t>CCR</t>
  </si>
  <si>
    <t>Total Charges</t>
  </si>
  <si>
    <t>Inpatient Total Charges (without Routine Cost Centers)</t>
  </si>
  <si>
    <t>Cardiothoracic ICU Charges</t>
  </si>
  <si>
    <t>Neurological ICU Charges</t>
  </si>
  <si>
    <t>Pediatric ICU Charges</t>
  </si>
  <si>
    <t>Surgical Intensive Care Unit Charges</t>
  </si>
  <si>
    <t>Coronary Care Unit Charges</t>
  </si>
  <si>
    <t>Intensive Care Unit Charges</t>
  </si>
  <si>
    <t>Adults &amp; Pediatrics Charges</t>
  </si>
  <si>
    <t>Total IP Medicare Cost</t>
  </si>
  <si>
    <t>Provider Name</t>
  </si>
  <si>
    <t>Cost Report Status</t>
  </si>
  <si>
    <t>State</t>
  </si>
  <si>
    <t>Ln 200, col 2</t>
  </si>
  <si>
    <t>Ln 35.03, col 2</t>
  </si>
  <si>
    <t>Ln 35.02, col 2</t>
  </si>
  <si>
    <t>Ln 35, col 2</t>
  </si>
  <si>
    <t>Ln 34, col 2</t>
  </si>
  <si>
    <t>Ln 32, col 2</t>
  </si>
  <si>
    <t>Ln 31, col 2</t>
  </si>
  <si>
    <t>Ln 30, col 2</t>
  </si>
  <si>
    <t>Ln 49, Col 1</t>
  </si>
  <si>
    <t>W/S D-3</t>
  </si>
  <si>
    <t>W/S D-1</t>
  </si>
  <si>
    <t>Excludes Subproviders</t>
  </si>
  <si>
    <t>Medicare Inpatient Hospital Acute Care Cost to Charge Ratios</t>
  </si>
  <si>
    <t>2018 68.3% WI</t>
  </si>
  <si>
    <t>2017 69.6% WI</t>
  </si>
  <si>
    <t>008069222</t>
  </si>
  <si>
    <t>008069217</t>
  </si>
  <si>
    <t>008069211</t>
  </si>
  <si>
    <t>2017 Original CBSA</t>
  </si>
  <si>
    <t>Labor Component</t>
  </si>
  <si>
    <t>Source: Non-Reclassified Wage Index</t>
  </si>
  <si>
    <t>35300</t>
  </si>
  <si>
    <t>New Haven-Milford, CT</t>
  </si>
  <si>
    <t>Hartford-West Hartford-East Hartford, CT</t>
  </si>
  <si>
    <t>49340</t>
  </si>
  <si>
    <t>Worcester, MA-CT</t>
  </si>
  <si>
    <t xml:space="preserve">   07</t>
  </si>
  <si>
    <t>CONNECTICUT</t>
  </si>
  <si>
    <t>14860</t>
  </si>
  <si>
    <t>Bridgeport-Stamford-Norwalk, CT</t>
  </si>
  <si>
    <t>35980</t>
  </si>
  <si>
    <t>Norwich-New London, CT</t>
  </si>
  <si>
    <t>CBSA Code</t>
  </si>
  <si>
    <t>Indirect Medical Education (IME) Factor for Rates effective 1/1/2019</t>
  </si>
  <si>
    <t>Medicare Cost Report Worksheet S-3, Part I, Columns 2 &amp; 9</t>
  </si>
  <si>
    <t>DIFFERENCE</t>
  </si>
  <si>
    <t>% DIFF</t>
  </si>
  <si>
    <t>p = sum(h to o)</t>
  </si>
  <si>
    <t>q = g / p</t>
  </si>
  <si>
    <t>Central CT</t>
  </si>
  <si>
    <t>Dempsey Hospital</t>
  </si>
  <si>
    <t>Hungerford Hospital</t>
  </si>
  <si>
    <t>Lawrence and Memorial Hospital</t>
  </si>
  <si>
    <t>MidState Medical Center</t>
  </si>
  <si>
    <t>Rockville Hospital</t>
  </si>
  <si>
    <t>St. Francis Hospital and Medical Center</t>
  </si>
  <si>
    <t>St. Mary's Hospital</t>
  </si>
  <si>
    <t>St. Vincent's Medical Center</t>
  </si>
  <si>
    <t>** 2020 WI/IME factors will be updated when available.  This will result in separate fiscal impacts.</t>
  </si>
  <si>
    <t>Hartford (HOCCT,MIDST,HARTF,WNDHM,BCKUS, HGRFD)</t>
  </si>
  <si>
    <t>Trinity (SAFNS,JNSON,SAMRY)</t>
  </si>
  <si>
    <t>Yale (YNHAV,BRGPT,GRENH,LAMEM)</t>
  </si>
  <si>
    <t>** 2020 IME/WI factors will be updated when available.  This will result in separate fiscal impacts.</t>
  </si>
  <si>
    <t>2020 labor component will be updated when available</t>
  </si>
  <si>
    <t>008074563</t>
  </si>
  <si>
    <t>Effective 1/1/19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</si>
</sst>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  <numFmt numFmtId="167" formatCode="_(* #,##0.0000_);_(* \(#,##0.0000\);_(* &quot;-&quot;_);_(@_)"/>
    <numFmt numFmtId="168" formatCode="_(&quot;$&quot;* #,##0.00_);_(&quot;$&quot;* \(#,##0.00\);_(&quot;$&quot;* &quot;-&quot;_);_(@_)"/>
    <numFmt numFmtId="169" formatCode="_(* #,##0.0000_);_(* \(#,##0.0000\);_(* &quot;-&quot;??_);_(@_)"/>
    <numFmt numFmtId="170" formatCode="_(* #,##0.0000_);_(* \(#,##0.0000\);_(* &quot;-&quot;????_);_(@_)"/>
    <numFmt numFmtId="171" formatCode="0.00000"/>
    <numFmt numFmtId="172" formatCode="_(* #,##0.00000_);_(* \(#,##0.00000\);_(* &quot;-&quot;??_);_(@_)"/>
    <numFmt numFmtId="173" formatCode="#,##0.0000_);\(#,##0.0000\)"/>
    <numFmt numFmtId="174" formatCode="0.0%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name val="Arial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.5"/>
      <color rgb="FF000000"/>
      <name val="Arial"/>
    </font>
    <font>
      <sz val="11"/>
      <color rgb="FF00000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6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5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9" fontId="19" fillId="0" borderId="0" applyFont="0" applyFill="0" applyBorder="0" applyAlignment="0" applyProtection="0"/>
    <xf numFmtId="0" fontId="19" fillId="0" borderId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7" borderId="0" applyNumberFormat="0" applyBorder="0" applyAlignment="0" applyProtection="0"/>
    <xf numFmtId="0" fontId="1" fillId="19" borderId="0" applyNumberFormat="0" applyBorder="0" applyAlignment="0" applyProtection="0"/>
    <xf numFmtId="0" fontId="22" fillId="38" borderId="0" applyNumberFormat="0" applyBorder="0" applyAlignment="0" applyProtection="0"/>
    <xf numFmtId="0" fontId="1" fillId="23" borderId="0" applyNumberFormat="0" applyBorder="0" applyAlignment="0" applyProtection="0"/>
    <xf numFmtId="0" fontId="22" fillId="35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23" fillId="40" borderId="0" applyNumberFormat="0" applyBorder="0" applyAlignment="0" applyProtection="0"/>
    <xf numFmtId="0" fontId="16" fillId="12" borderId="0" applyNumberFormat="0" applyBorder="0" applyAlignment="0" applyProtection="0"/>
    <xf numFmtId="0" fontId="23" fillId="36" borderId="0" applyNumberFormat="0" applyBorder="0" applyAlignment="0" applyProtection="0"/>
    <xf numFmtId="0" fontId="16" fillId="16" borderId="0" applyNumberFormat="0" applyBorder="0" applyAlignment="0" applyProtection="0"/>
    <xf numFmtId="0" fontId="23" fillId="37" borderId="0" applyNumberFormat="0" applyBorder="0" applyAlignment="0" applyProtection="0"/>
    <xf numFmtId="0" fontId="16" fillId="20" borderId="0" applyNumberFormat="0" applyBorder="0" applyAlignment="0" applyProtection="0"/>
    <xf numFmtId="0" fontId="23" fillId="41" borderId="0" applyNumberFormat="0" applyBorder="0" applyAlignment="0" applyProtection="0"/>
    <xf numFmtId="0" fontId="16" fillId="24" borderId="0" applyNumberFormat="0" applyBorder="0" applyAlignment="0" applyProtection="0"/>
    <xf numFmtId="0" fontId="23" fillId="42" borderId="0" applyNumberFormat="0" applyBorder="0" applyAlignment="0" applyProtection="0"/>
    <xf numFmtId="0" fontId="16" fillId="28" borderId="0" applyNumberFormat="0" applyBorder="0" applyAlignment="0" applyProtection="0"/>
    <xf numFmtId="0" fontId="23" fillId="43" borderId="0" applyNumberFormat="0" applyBorder="0" applyAlignment="0" applyProtection="0"/>
    <xf numFmtId="0" fontId="16" fillId="32" borderId="0" applyNumberFormat="0" applyBorder="0" applyAlignment="0" applyProtection="0"/>
    <xf numFmtId="0" fontId="23" fillId="44" borderId="0" applyNumberFormat="0" applyBorder="0" applyAlignment="0" applyProtection="0"/>
    <xf numFmtId="0" fontId="16" fillId="9" borderId="0" applyNumberFormat="0" applyBorder="0" applyAlignment="0" applyProtection="0"/>
    <xf numFmtId="0" fontId="23" fillId="45" borderId="0" applyNumberFormat="0" applyBorder="0" applyAlignment="0" applyProtection="0"/>
    <xf numFmtId="0" fontId="16" fillId="13" borderId="0" applyNumberFormat="0" applyBorder="0" applyAlignment="0" applyProtection="0"/>
    <xf numFmtId="0" fontId="23" fillId="46" borderId="0" applyNumberFormat="0" applyBorder="0" applyAlignment="0" applyProtection="0"/>
    <xf numFmtId="0" fontId="16" fillId="17" borderId="0" applyNumberFormat="0" applyBorder="0" applyAlignment="0" applyProtection="0"/>
    <xf numFmtId="0" fontId="23" fillId="41" borderId="0" applyNumberFormat="0" applyBorder="0" applyAlignment="0" applyProtection="0"/>
    <xf numFmtId="0" fontId="16" fillId="21" borderId="0" applyNumberFormat="0" applyBorder="0" applyAlignment="0" applyProtection="0"/>
    <xf numFmtId="0" fontId="23" fillId="42" borderId="0" applyNumberFormat="0" applyBorder="0" applyAlignment="0" applyProtection="0"/>
    <xf numFmtId="0" fontId="16" fillId="25" borderId="0" applyNumberFormat="0" applyBorder="0" applyAlignment="0" applyProtection="0"/>
    <xf numFmtId="0" fontId="23" fillId="47" borderId="0" applyNumberFormat="0" applyBorder="0" applyAlignment="0" applyProtection="0"/>
    <xf numFmtId="0" fontId="16" fillId="29" borderId="0" applyNumberFormat="0" applyBorder="0" applyAlignment="0" applyProtection="0"/>
    <xf numFmtId="0" fontId="24" fillId="48" borderId="0" applyNumberFormat="0" applyBorder="0" applyAlignment="0" applyProtection="0"/>
    <xf numFmtId="0" fontId="6" fillId="3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10" fillId="6" borderId="4" applyNumberFormat="0" applyAlignment="0" applyProtection="0"/>
    <xf numFmtId="0" fontId="26" fillId="50" borderId="18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37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9" applyNumberFormat="0" applyFill="0" applyAlignment="0" applyProtection="0"/>
    <xf numFmtId="0" fontId="2" fillId="0" borderId="1" applyNumberFormat="0" applyFill="0" applyAlignment="0" applyProtection="0"/>
    <xf numFmtId="0" fontId="35" fillId="0" borderId="20" applyNumberFormat="0" applyFill="0" applyAlignment="0" applyProtection="0"/>
    <xf numFmtId="0" fontId="3" fillId="0" borderId="2" applyNumberFormat="0" applyFill="0" applyAlignment="0" applyProtection="0"/>
    <xf numFmtId="0" fontId="36" fillId="0" borderId="21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34" borderId="17" applyNumberFormat="0" applyAlignment="0" applyProtection="0"/>
    <xf numFmtId="0" fontId="37" fillId="34" borderId="17" applyNumberFormat="0" applyAlignment="0" applyProtection="0"/>
    <xf numFmtId="0" fontId="37" fillId="34" borderId="17" applyNumberFormat="0" applyAlignment="0" applyProtection="0"/>
    <xf numFmtId="0" fontId="8" fillId="5" borderId="4" applyNumberFormat="0" applyAlignment="0" applyProtection="0"/>
    <xf numFmtId="0" fontId="38" fillId="0" borderId="22" applyNumberFormat="0" applyFill="0" applyAlignment="0" applyProtection="0"/>
    <xf numFmtId="0" fontId="11" fillId="0" borderId="6" applyNumberFormat="0" applyFill="0" applyAlignment="0" applyProtection="0"/>
    <xf numFmtId="0" fontId="39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1" fillId="0" borderId="0"/>
    <xf numFmtId="38" fontId="2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19" fillId="0" borderId="0"/>
    <xf numFmtId="38" fontId="2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53" borderId="23" applyNumberFormat="0" applyFont="0" applyAlignment="0" applyProtection="0"/>
    <xf numFmtId="0" fontId="22" fillId="53" borderId="23" applyNumberFormat="0" applyFont="0" applyAlignment="0" applyProtection="0"/>
    <xf numFmtId="0" fontId="22" fillId="53" borderId="23" applyNumberFormat="0" applyFont="0" applyAlignment="0" applyProtection="0"/>
    <xf numFmtId="0" fontId="1" fillId="8" borderId="8" applyNumberFormat="0" applyFont="0" applyAlignment="0" applyProtection="0"/>
    <xf numFmtId="0" fontId="41" fillId="49" borderId="24" applyNumberFormat="0" applyAlignment="0" applyProtection="0"/>
    <xf numFmtId="0" fontId="41" fillId="49" borderId="24" applyNumberFormat="0" applyAlignment="0" applyProtection="0"/>
    <xf numFmtId="0" fontId="41" fillId="49" borderId="24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  <xf numFmtId="5" fontId="19" fillId="0" borderId="12">
      <alignment horizontal="right" vertical="top"/>
    </xf>
    <xf numFmtId="0" fontId="19" fillId="0" borderId="0" applyNumberFormat="0" applyFont="0" applyBorder="0">
      <alignment horizontal="centerContinuous"/>
    </xf>
    <xf numFmtId="0" fontId="43" fillId="0" borderId="0" applyNumberFormat="0" applyFill="0" applyBorder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1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9" fillId="0" borderId="0"/>
    <xf numFmtId="0" fontId="19" fillId="0" borderId="0"/>
    <xf numFmtId="44" fontId="1" fillId="0" borderId="0" applyFont="0" applyFill="0" applyBorder="0" applyAlignment="0" applyProtection="0"/>
    <xf numFmtId="0" fontId="21" fillId="0" borderId="0"/>
    <xf numFmtId="0" fontId="63" fillId="0" borderId="0"/>
  </cellStyleXfs>
  <cellXfs count="257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15" fillId="0" borderId="0" xfId="0" applyFont="1"/>
    <xf numFmtId="164" fontId="0" fillId="0" borderId="0" xfId="0" applyNumberFormat="1"/>
    <xf numFmtId="0" fontId="50" fillId="0" borderId="0" xfId="0" applyFont="1"/>
    <xf numFmtId="166" fontId="0" fillId="0" borderId="0" xfId="0" applyNumberFormat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51" fillId="0" borderId="0" xfId="0" applyFont="1"/>
    <xf numFmtId="0" fontId="0" fillId="0" borderId="37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44" fontId="15" fillId="54" borderId="0" xfId="255" applyFont="1" applyFill="1" applyBorder="1"/>
    <xf numFmtId="166" fontId="0" fillId="0" borderId="38" xfId="0" applyNumberFormat="1" applyBorder="1"/>
    <xf numFmtId="10" fontId="15" fillId="54" borderId="0" xfId="2" applyNumberFormat="1" applyFont="1" applyFill="1" applyBorder="1"/>
    <xf numFmtId="0" fontId="0" fillId="0" borderId="38" xfId="0" applyBorder="1"/>
    <xf numFmtId="0" fontId="52" fillId="0" borderId="0" xfId="0" applyFont="1"/>
    <xf numFmtId="0" fontId="0" fillId="0" borderId="39" xfId="0" applyBorder="1"/>
    <xf numFmtId="0" fontId="0" fillId="0" borderId="40" xfId="0" applyBorder="1"/>
    <xf numFmtId="166" fontId="0" fillId="0" borderId="40" xfId="0" applyNumberFormat="1" applyFont="1" applyBorder="1" applyAlignment="1">
      <alignment horizontal="right"/>
    </xf>
    <xf numFmtId="166" fontId="0" fillId="0" borderId="40" xfId="0" applyNumberFormat="1" applyFont="1" applyBorder="1"/>
    <xf numFmtId="0" fontId="0" fillId="0" borderId="41" xfId="0" applyBorder="1"/>
    <xf numFmtId="0" fontId="0" fillId="0" borderId="0" xfId="0" applyAlignment="1">
      <alignment horizontal="right"/>
    </xf>
    <xf numFmtId="10" fontId="46" fillId="0" borderId="0" xfId="0" applyNumberFormat="1" applyFont="1" applyFill="1" applyBorder="1" applyAlignment="1">
      <alignment horizontal="center"/>
    </xf>
    <xf numFmtId="44" fontId="0" fillId="0" borderId="0" xfId="255" applyFont="1"/>
    <xf numFmtId="0" fontId="15" fillId="0" borderId="12" xfId="0" applyFont="1" applyBorder="1" applyAlignment="1"/>
    <xf numFmtId="0" fontId="15" fillId="55" borderId="13" xfId="0" applyFont="1" applyFill="1" applyBorder="1" applyAlignment="1">
      <alignment horizontal="center" wrapText="1"/>
    </xf>
    <xf numFmtId="0" fontId="0" fillId="0" borderId="28" xfId="0" applyBorder="1"/>
    <xf numFmtId="0" fontId="15" fillId="55" borderId="30" xfId="0" applyFont="1" applyFill="1" applyBorder="1" applyAlignment="1">
      <alignment horizontal="center" wrapText="1"/>
    </xf>
    <xf numFmtId="0" fontId="15" fillId="55" borderId="33" xfId="0" applyFont="1" applyFill="1" applyBorder="1" applyAlignment="1">
      <alignment horizontal="center" wrapText="1"/>
    </xf>
    <xf numFmtId="0" fontId="15" fillId="55" borderId="15" xfId="0" applyFont="1" applyFill="1" applyBorder="1" applyAlignment="1">
      <alignment horizontal="center" wrapText="1"/>
    </xf>
    <xf numFmtId="0" fontId="15" fillId="55" borderId="27" xfId="0" applyFont="1" applyFill="1" applyBorder="1" applyAlignment="1">
      <alignment horizontal="center" wrapText="1"/>
    </xf>
    <xf numFmtId="0" fontId="15" fillId="55" borderId="16" xfId="0" applyFont="1" applyFill="1" applyBorder="1" applyAlignment="1">
      <alignment horizontal="center" wrapText="1"/>
    </xf>
    <xf numFmtId="0" fontId="15" fillId="55" borderId="31" xfId="0" applyFont="1" applyFill="1" applyBorder="1" applyAlignment="1">
      <alignment horizontal="center" wrapText="1"/>
    </xf>
    <xf numFmtId="0" fontId="15" fillId="55" borderId="10" xfId="0" applyFont="1" applyFill="1" applyBorder="1" applyAlignment="1">
      <alignment horizontal="center" wrapText="1"/>
    </xf>
    <xf numFmtId="0" fontId="15" fillId="55" borderId="32" xfId="0" applyFont="1" applyFill="1" applyBorder="1" applyAlignment="1">
      <alignment horizontal="center" wrapText="1"/>
    </xf>
    <xf numFmtId="0" fontId="53" fillId="0" borderId="0" xfId="0" applyFont="1"/>
    <xf numFmtId="0" fontId="53" fillId="0" borderId="26" xfId="0" applyFont="1" applyFill="1" applyBorder="1" applyAlignment="1">
      <alignment horizontal="center" wrapText="1"/>
    </xf>
    <xf numFmtId="0" fontId="53" fillId="0" borderId="0" xfId="0" applyFont="1" applyFill="1" applyBorder="1" applyAlignment="1">
      <alignment horizontal="center" wrapText="1"/>
    </xf>
    <xf numFmtId="0" fontId="54" fillId="55" borderId="14" xfId="0" applyFont="1" applyFill="1" applyBorder="1" applyAlignment="1">
      <alignment horizontal="center" wrapText="1"/>
    </xf>
    <xf numFmtId="0" fontId="53" fillId="55" borderId="14" xfId="0" applyFont="1" applyFill="1" applyBorder="1"/>
    <xf numFmtId="0" fontId="53" fillId="0" borderId="0" xfId="0" applyFont="1" applyAlignment="1">
      <alignment horizontal="center"/>
    </xf>
    <xf numFmtId="0" fontId="53" fillId="55" borderId="14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3" fillId="0" borderId="11" xfId="0" applyFont="1" applyFill="1" applyBorder="1" applyAlignment="1">
      <alignment horizontal="center"/>
    </xf>
    <xf numFmtId="0" fontId="0" fillId="0" borderId="0" xfId="0" quotePrefix="1" applyBorder="1"/>
    <xf numFmtId="41" fontId="0" fillId="0" borderId="0" xfId="0" applyNumberFormat="1" applyBorder="1"/>
    <xf numFmtId="167" fontId="0" fillId="0" borderId="0" xfId="0" applyNumberFormat="1" applyBorder="1"/>
    <xf numFmtId="0" fontId="15" fillId="55" borderId="14" xfId="0" applyFont="1" applyFill="1" applyBorder="1" applyAlignment="1">
      <alignment horizontal="center" wrapText="1"/>
    </xf>
    <xf numFmtId="168" fontId="0" fillId="0" borderId="0" xfId="0" applyNumberFormat="1" applyBorder="1"/>
    <xf numFmtId="42" fontId="0" fillId="0" borderId="0" xfId="0" applyNumberFormat="1" applyBorder="1"/>
    <xf numFmtId="165" fontId="0" fillId="0" borderId="0" xfId="0" applyNumberFormat="1" applyBorder="1"/>
    <xf numFmtId="43" fontId="0" fillId="55" borderId="14" xfId="0" applyNumberFormat="1" applyFill="1" applyBorder="1"/>
    <xf numFmtId="169" fontId="0" fillId="0" borderId="0" xfId="0" applyNumberFormat="1"/>
    <xf numFmtId="44" fontId="0" fillId="0" borderId="0" xfId="255" applyFont="1" applyBorder="1"/>
    <xf numFmtId="165" fontId="0" fillId="0" borderId="0" xfId="0" applyNumberFormat="1"/>
    <xf numFmtId="170" fontId="0" fillId="0" borderId="0" xfId="0" applyNumberFormat="1" applyBorder="1"/>
    <xf numFmtId="169" fontId="0" fillId="0" borderId="0" xfId="0" applyNumberFormat="1" applyBorder="1"/>
    <xf numFmtId="0" fontId="0" fillId="0" borderId="31" xfId="0" applyBorder="1"/>
    <xf numFmtId="41" fontId="0" fillId="0" borderId="10" xfId="0" applyNumberFormat="1" applyBorder="1"/>
    <xf numFmtId="170" fontId="0" fillId="0" borderId="10" xfId="0" applyNumberFormat="1" applyBorder="1"/>
    <xf numFmtId="168" fontId="0" fillId="0" borderId="10" xfId="0" applyNumberFormat="1" applyBorder="1"/>
    <xf numFmtId="42" fontId="0" fillId="0" borderId="10" xfId="0" applyNumberFormat="1" applyBorder="1"/>
    <xf numFmtId="166" fontId="0" fillId="0" borderId="10" xfId="0" applyNumberFormat="1" applyBorder="1"/>
    <xf numFmtId="44" fontId="0" fillId="0" borderId="10" xfId="255" applyFont="1" applyBorder="1"/>
    <xf numFmtId="169" fontId="0" fillId="0" borderId="10" xfId="0" applyNumberFormat="1" applyBorder="1"/>
    <xf numFmtId="165" fontId="0" fillId="0" borderId="10" xfId="0" applyNumberFormat="1" applyBorder="1"/>
    <xf numFmtId="165" fontId="0" fillId="0" borderId="32" xfId="0" applyNumberFormat="1" applyBorder="1"/>
    <xf numFmtId="44" fontId="0" fillId="0" borderId="11" xfId="255" applyFont="1" applyBorder="1"/>
    <xf numFmtId="0" fontId="0" fillId="0" borderId="28" xfId="0" applyFill="1" applyBorder="1"/>
    <xf numFmtId="0" fontId="18" fillId="0" borderId="0" xfId="3" applyFont="1"/>
    <xf numFmtId="43" fontId="0" fillId="55" borderId="16" xfId="0" applyNumberFormat="1" applyFill="1" applyBorder="1"/>
    <xf numFmtId="41" fontId="15" fillId="0" borderId="0" xfId="0" applyNumberFormat="1" applyFont="1"/>
    <xf numFmtId="169" fontId="15" fillId="0" borderId="0" xfId="0" applyNumberFormat="1" applyFont="1"/>
    <xf numFmtId="165" fontId="15" fillId="0" borderId="0" xfId="255" applyNumberFormat="1" applyFont="1"/>
    <xf numFmtId="168" fontId="15" fillId="0" borderId="0" xfId="0" applyNumberFormat="1" applyFont="1"/>
    <xf numFmtId="42" fontId="15" fillId="0" borderId="0" xfId="0" applyNumberFormat="1" applyFont="1"/>
    <xf numFmtId="166" fontId="15" fillId="0" borderId="0" xfId="1" applyNumberFormat="1" applyFont="1"/>
    <xf numFmtId="168" fontId="15" fillId="0" borderId="0" xfId="0" applyNumberFormat="1" applyFont="1" applyBorder="1"/>
    <xf numFmtId="171" fontId="15" fillId="0" borderId="0" xfId="1" applyNumberFormat="1" applyFont="1"/>
    <xf numFmtId="44" fontId="15" fillId="0" borderId="0" xfId="255" applyFont="1"/>
    <xf numFmtId="43" fontId="15" fillId="0" borderId="0" xfId="0" applyNumberFormat="1" applyFont="1"/>
    <xf numFmtId="165" fontId="15" fillId="0" borderId="0" xfId="0" applyNumberFormat="1" applyFont="1"/>
    <xf numFmtId="172" fontId="0" fillId="0" borderId="0" xfId="0" applyNumberFormat="1"/>
    <xf numFmtId="168" fontId="0" fillId="0" borderId="0" xfId="0" applyNumberFormat="1"/>
    <xf numFmtId="42" fontId="0" fillId="0" borderId="0" xfId="0" applyNumberFormat="1"/>
    <xf numFmtId="43" fontId="0" fillId="0" borderId="0" xfId="0" applyNumberFormat="1"/>
    <xf numFmtId="0" fontId="55" fillId="0" borderId="0" xfId="0" applyFont="1" applyFill="1" applyBorder="1"/>
    <xf numFmtId="9" fontId="1" fillId="0" borderId="0" xfId="2" applyFont="1"/>
    <xf numFmtId="171" fontId="0" fillId="0" borderId="0" xfId="1" applyNumberFormat="1" applyFont="1"/>
    <xf numFmtId="43" fontId="0" fillId="0" borderId="10" xfId="0" applyNumberFormat="1" applyBorder="1"/>
    <xf numFmtId="0" fontId="0" fillId="0" borderId="30" xfId="0" applyBorder="1"/>
    <xf numFmtId="0" fontId="0" fillId="0" borderId="33" xfId="0" applyBorder="1"/>
    <xf numFmtId="41" fontId="0" fillId="0" borderId="33" xfId="0" applyNumberFormat="1" applyBorder="1"/>
    <xf numFmtId="170" fontId="0" fillId="0" borderId="33" xfId="0" applyNumberFormat="1" applyBorder="1"/>
    <xf numFmtId="168" fontId="0" fillId="0" borderId="33" xfId="0" applyNumberFormat="1" applyBorder="1"/>
    <xf numFmtId="42" fontId="0" fillId="0" borderId="33" xfId="0" applyNumberFormat="1" applyBorder="1"/>
    <xf numFmtId="168" fontId="0" fillId="55" borderId="15" xfId="0" applyNumberFormat="1" applyFill="1" applyBorder="1"/>
    <xf numFmtId="166" fontId="0" fillId="0" borderId="33" xfId="0" applyNumberFormat="1" applyBorder="1"/>
    <xf numFmtId="44" fontId="0" fillId="0" borderId="33" xfId="255" applyFont="1" applyBorder="1"/>
    <xf numFmtId="169" fontId="0" fillId="0" borderId="33" xfId="0" applyNumberFormat="1" applyBorder="1"/>
    <xf numFmtId="165" fontId="0" fillId="0" borderId="33" xfId="0" applyNumberFormat="1" applyBorder="1"/>
    <xf numFmtId="166" fontId="0" fillId="0" borderId="0" xfId="1" applyNumberFormat="1" applyFont="1"/>
    <xf numFmtId="168" fontId="0" fillId="0" borderId="30" xfId="0" applyNumberFormat="1" applyBorder="1"/>
    <xf numFmtId="165" fontId="0" fillId="0" borderId="27" xfId="0" applyNumberFormat="1" applyBorder="1"/>
    <xf numFmtId="43" fontId="0" fillId="0" borderId="0" xfId="1" applyFont="1"/>
    <xf numFmtId="10" fontId="0" fillId="0" borderId="10" xfId="2" applyNumberFormat="1" applyFont="1" applyBorder="1"/>
    <xf numFmtId="10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169" fontId="0" fillId="0" borderId="0" xfId="1" applyNumberFormat="1" applyFont="1"/>
    <xf numFmtId="169" fontId="15" fillId="55" borderId="27" xfId="1" applyNumberFormat="1" applyFont="1" applyFill="1" applyBorder="1" applyAlignment="1">
      <alignment horizontal="center" wrapText="1"/>
    </xf>
    <xf numFmtId="2" fontId="53" fillId="0" borderId="0" xfId="0" applyNumberFormat="1" applyFont="1" applyAlignment="1">
      <alignment horizontal="center"/>
    </xf>
    <xf numFmtId="10" fontId="53" fillId="0" borderId="0" xfId="2" applyNumberFormat="1" applyFont="1" applyBorder="1" applyAlignment="1">
      <alignment horizontal="center"/>
    </xf>
    <xf numFmtId="169" fontId="53" fillId="0" borderId="0" xfId="1" applyNumberFormat="1" applyFont="1" applyAlignment="1">
      <alignment horizontal="center"/>
    </xf>
    <xf numFmtId="0" fontId="53" fillId="0" borderId="29" xfId="0" applyFont="1" applyBorder="1" applyAlignment="1">
      <alignment horizont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169" fontId="0" fillId="0" borderId="12" xfId="1" applyNumberFormat="1" applyFont="1" applyBorder="1"/>
    <xf numFmtId="169" fontId="0" fillId="0" borderId="32" xfId="1" applyNumberFormat="1" applyFont="1" applyBorder="1"/>
    <xf numFmtId="166" fontId="0" fillId="0" borderId="31" xfId="0" applyNumberFormat="1" applyBorder="1"/>
    <xf numFmtId="10" fontId="0" fillId="0" borderId="10" xfId="2" applyNumberFormat="1" applyFont="1" applyFill="1" applyBorder="1"/>
    <xf numFmtId="166" fontId="0" fillId="0" borderId="0" xfId="0" applyNumberFormat="1" applyBorder="1"/>
    <xf numFmtId="169" fontId="0" fillId="0" borderId="0" xfId="1" applyNumberFormat="1" applyFont="1" applyBorder="1"/>
    <xf numFmtId="0" fontId="0" fillId="0" borderId="10" xfId="0" applyBorder="1" applyAlignment="1">
      <alignment horizontal="center"/>
    </xf>
    <xf numFmtId="0" fontId="57" fillId="0" borderId="0" xfId="0" applyFont="1"/>
    <xf numFmtId="49" fontId="20" fillId="55" borderId="42" xfId="0" applyNumberFormat="1" applyFont="1" applyFill="1" applyBorder="1" applyAlignment="1">
      <alignment horizontal="center" wrapText="1"/>
    </xf>
    <xf numFmtId="49" fontId="20" fillId="55" borderId="43" xfId="0" applyNumberFormat="1" applyFont="1" applyFill="1" applyBorder="1" applyAlignment="1">
      <alignment horizontal="center" wrapText="1"/>
    </xf>
    <xf numFmtId="169" fontId="20" fillId="55" borderId="43" xfId="1" applyNumberFormat="1" applyFont="1" applyFill="1" applyBorder="1" applyAlignment="1">
      <alignment horizontal="center" wrapText="1"/>
    </xf>
    <xf numFmtId="49" fontId="20" fillId="55" borderId="43" xfId="1" applyNumberFormat="1" applyFont="1" applyFill="1" applyBorder="1" applyAlignment="1">
      <alignment horizontal="center" wrapText="1"/>
    </xf>
    <xf numFmtId="49" fontId="20" fillId="55" borderId="44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8" fillId="0" borderId="45" xfId="0" applyFont="1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center" wrapText="1"/>
    </xf>
    <xf numFmtId="169" fontId="58" fillId="0" borderId="0" xfId="1" applyNumberFormat="1" applyFont="1" applyBorder="1" applyAlignment="1">
      <alignment horizontal="center" vertical="center" wrapText="1"/>
    </xf>
    <xf numFmtId="0" fontId="19" fillId="0" borderId="28" xfId="0" applyFont="1" applyFill="1" applyBorder="1"/>
    <xf numFmtId="0" fontId="19" fillId="0" borderId="0" xfId="0" applyFont="1" applyFill="1" applyBorder="1"/>
    <xf numFmtId="14" fontId="19" fillId="0" borderId="0" xfId="0" applyNumberFormat="1" applyFont="1" applyFill="1" applyBorder="1"/>
    <xf numFmtId="37" fontId="19" fillId="0" borderId="0" xfId="0" applyNumberFormat="1" applyFont="1" applyFill="1" applyBorder="1" applyAlignment="1"/>
    <xf numFmtId="1" fontId="19" fillId="0" borderId="0" xfId="1" applyNumberFormat="1" applyFont="1" applyFill="1" applyBorder="1" applyAlignment="1"/>
    <xf numFmtId="39" fontId="19" fillId="0" borderId="0" xfId="0" applyNumberFormat="1" applyFont="1" applyFill="1" applyBorder="1" applyAlignment="1"/>
    <xf numFmtId="173" fontId="19" fillId="0" borderId="12" xfId="0" applyNumberFormat="1" applyFont="1" applyFill="1" applyBorder="1" applyAlignment="1">
      <alignment horizontal="center"/>
    </xf>
    <xf numFmtId="37" fontId="0" fillId="0" borderId="0" xfId="0" applyNumberFormat="1"/>
    <xf numFmtId="39" fontId="0" fillId="0" borderId="0" xfId="0" applyNumberFormat="1"/>
    <xf numFmtId="0" fontId="19" fillId="0" borderId="31" xfId="0" applyFont="1" applyFill="1" applyBorder="1"/>
    <xf numFmtId="0" fontId="19" fillId="0" borderId="10" xfId="0" applyFont="1" applyFill="1" applyBorder="1"/>
    <xf numFmtId="14" fontId="19" fillId="0" borderId="10" xfId="0" applyNumberFormat="1" applyFont="1" applyFill="1" applyBorder="1"/>
    <xf numFmtId="37" fontId="19" fillId="0" borderId="10" xfId="0" applyNumberFormat="1" applyFont="1" applyFill="1" applyBorder="1" applyAlignment="1"/>
    <xf numFmtId="1" fontId="19" fillId="0" borderId="10" xfId="1" applyNumberFormat="1" applyFont="1" applyFill="1" applyBorder="1" applyAlignment="1"/>
    <xf numFmtId="39" fontId="19" fillId="0" borderId="10" xfId="0" applyNumberFormat="1" applyFont="1" applyFill="1" applyBorder="1" applyAlignment="1"/>
    <xf numFmtId="173" fontId="19" fillId="0" borderId="32" xfId="0" applyNumberFormat="1" applyFont="1" applyFill="1" applyBorder="1" applyAlignment="1">
      <alignment horizontal="center"/>
    </xf>
    <xf numFmtId="37" fontId="0" fillId="0" borderId="10" xfId="0" applyNumberFormat="1" applyBorder="1"/>
    <xf numFmtId="39" fontId="0" fillId="0" borderId="10" xfId="0" applyNumberFormat="1" applyBorder="1"/>
    <xf numFmtId="0" fontId="20" fillId="0" borderId="0" xfId="0" applyFont="1" applyFill="1" applyBorder="1"/>
    <xf numFmtId="173" fontId="19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0" fontId="0" fillId="0" borderId="0" xfId="2" applyNumberFormat="1" applyFont="1" applyFill="1"/>
    <xf numFmtId="10" fontId="15" fillId="54" borderId="47" xfId="0" applyNumberFormat="1" applyFont="1" applyFill="1" applyBorder="1"/>
    <xf numFmtId="0" fontId="15" fillId="55" borderId="42" xfId="0" applyFont="1" applyFill="1" applyBorder="1" applyAlignment="1">
      <alignment horizontal="center" wrapText="1"/>
    </xf>
    <xf numFmtId="0" fontId="15" fillId="55" borderId="43" xfId="0" applyFont="1" applyFill="1" applyBorder="1" applyAlignment="1">
      <alignment horizontal="center" wrapText="1"/>
    </xf>
    <xf numFmtId="49" fontId="59" fillId="55" borderId="43" xfId="198" applyNumberFormat="1" applyFont="1" applyFill="1" applyBorder="1" applyAlignment="1">
      <alignment horizontal="center" wrapText="1"/>
    </xf>
    <xf numFmtId="49" fontId="59" fillId="55" borderId="48" xfId="198" applyNumberFormat="1" applyFont="1" applyFill="1" applyBorder="1" applyAlignment="1">
      <alignment horizontal="center" wrapText="1"/>
    </xf>
    <xf numFmtId="49" fontId="59" fillId="55" borderId="49" xfId="198" applyNumberFormat="1" applyFont="1" applyFill="1" applyBorder="1" applyAlignment="1">
      <alignment horizontal="center" wrapText="1"/>
    </xf>
    <xf numFmtId="0" fontId="0" fillId="55" borderId="13" xfId="0" applyFill="1" applyBorder="1"/>
    <xf numFmtId="49" fontId="59" fillId="55" borderId="44" xfId="198" applyNumberFormat="1" applyFont="1" applyFill="1" applyBorder="1" applyAlignment="1">
      <alignment horizontal="center" wrapText="1"/>
    </xf>
    <xf numFmtId="0" fontId="53" fillId="0" borderId="50" xfId="0" applyFont="1" applyFill="1" applyBorder="1" applyAlignment="1">
      <alignment horizontal="center" wrapText="1"/>
    </xf>
    <xf numFmtId="0" fontId="53" fillId="0" borderId="45" xfId="0" applyFont="1" applyFill="1" applyBorder="1" applyAlignment="1">
      <alignment horizontal="center" wrapText="1"/>
    </xf>
    <xf numFmtId="49" fontId="60" fillId="0" borderId="45" xfId="198" applyNumberFormat="1" applyFont="1" applyFill="1" applyBorder="1" applyAlignment="1">
      <alignment horizontal="center" wrapText="1"/>
    </xf>
    <xf numFmtId="49" fontId="60" fillId="0" borderId="46" xfId="198" applyNumberFormat="1" applyFont="1" applyFill="1" applyBorder="1" applyAlignment="1">
      <alignment horizontal="center" wrapText="1"/>
    </xf>
    <xf numFmtId="0" fontId="0" fillId="55" borderId="14" xfId="0" applyFont="1" applyFill="1" applyBorder="1"/>
    <xf numFmtId="0" fontId="0" fillId="0" borderId="28" xfId="0" applyBorder="1" applyAlignment="1">
      <alignment horizontal="right"/>
    </xf>
    <xf numFmtId="169" fontId="0" fillId="0" borderId="0" xfId="1" applyNumberFormat="1" applyFont="1" applyBorder="1" applyAlignment="1">
      <alignment horizontal="center"/>
    </xf>
    <xf numFmtId="169" fontId="0" fillId="0" borderId="12" xfId="0" applyNumberFormat="1" applyBorder="1"/>
    <xf numFmtId="0" fontId="0" fillId="55" borderId="14" xfId="0" applyFill="1" applyBorder="1"/>
    <xf numFmtId="170" fontId="0" fillId="0" borderId="12" xfId="0" applyNumberFormat="1" applyBorder="1"/>
    <xf numFmtId="0" fontId="56" fillId="0" borderId="0" xfId="0" applyFont="1"/>
    <xf numFmtId="0" fontId="56" fillId="0" borderId="0" xfId="256" applyFont="1" applyBorder="1" applyAlignment="1">
      <alignment horizontal="center"/>
    </xf>
    <xf numFmtId="0" fontId="0" fillId="0" borderId="31" xfId="0" applyBorder="1" applyAlignment="1">
      <alignment horizontal="right"/>
    </xf>
    <xf numFmtId="169" fontId="0" fillId="0" borderId="10" xfId="1" applyNumberFormat="1" applyFont="1" applyBorder="1" applyAlignment="1">
      <alignment horizontal="center"/>
    </xf>
    <xf numFmtId="170" fontId="0" fillId="0" borderId="32" xfId="0" applyNumberFormat="1" applyBorder="1"/>
    <xf numFmtId="0" fontId="56" fillId="0" borderId="10" xfId="256" applyFont="1" applyBorder="1" applyAlignment="1">
      <alignment horizontal="center"/>
    </xf>
    <xf numFmtId="0" fontId="0" fillId="55" borderId="16" xfId="0" applyFill="1" applyBorder="1"/>
    <xf numFmtId="170" fontId="0" fillId="0" borderId="0" xfId="0" applyNumberFormat="1"/>
    <xf numFmtId="37" fontId="0" fillId="0" borderId="0" xfId="0" applyNumberFormat="1" applyBorder="1"/>
    <xf numFmtId="39" fontId="0" fillId="0" borderId="0" xfId="0" applyNumberFormat="1" applyBorder="1"/>
    <xf numFmtId="0" fontId="58" fillId="0" borderId="46" xfId="0" applyFont="1" applyFill="1" applyBorder="1" applyAlignment="1">
      <alignment horizontal="center" vertical="center" wrapText="1"/>
    </xf>
    <xf numFmtId="49" fontId="19" fillId="0" borderId="31" xfId="0" applyNumberFormat="1" applyFont="1" applyFill="1" applyBorder="1"/>
    <xf numFmtId="171" fontId="15" fillId="0" borderId="0" xfId="0" applyNumberFormat="1" applyFont="1"/>
    <xf numFmtId="172" fontId="0" fillId="0" borderId="15" xfId="0" applyNumberFormat="1" applyBorder="1"/>
    <xf numFmtId="41" fontId="0" fillId="0" borderId="15" xfId="0" applyNumberFormat="1" applyBorder="1"/>
    <xf numFmtId="14" fontId="0" fillId="0" borderId="15" xfId="0" applyNumberFormat="1" applyBorder="1"/>
    <xf numFmtId="0" fontId="0" fillId="0" borderId="15" xfId="0" applyBorder="1"/>
    <xf numFmtId="0" fontId="53" fillId="0" borderId="0" xfId="0" applyFont="1" applyAlignment="1">
      <alignment horizontal="center" wrapText="1"/>
    </xf>
    <xf numFmtId="0" fontId="61" fillId="0" borderId="0" xfId="0" applyFont="1"/>
    <xf numFmtId="165" fontId="15" fillId="0" borderId="40" xfId="255" applyNumberFormat="1" applyFont="1" applyBorder="1"/>
    <xf numFmtId="165" fontId="0" fillId="0" borderId="0" xfId="0" applyNumberFormat="1" applyFill="1"/>
    <xf numFmtId="0" fontId="53" fillId="0" borderId="0" xfId="0" applyFont="1" applyFill="1" applyAlignment="1">
      <alignment horizontal="center"/>
    </xf>
    <xf numFmtId="166" fontId="0" fillId="0" borderId="0" xfId="0" applyNumberFormat="1" applyFill="1"/>
    <xf numFmtId="169" fontId="0" fillId="0" borderId="0" xfId="1" applyNumberFormat="1" applyFont="1" applyFill="1"/>
    <xf numFmtId="166" fontId="0" fillId="0" borderId="31" xfId="0" applyNumberFormat="1" applyFill="1" applyBorder="1"/>
    <xf numFmtId="169" fontId="0" fillId="0" borderId="32" xfId="1" applyNumberFormat="1" applyFont="1" applyFill="1" applyBorder="1"/>
    <xf numFmtId="0" fontId="54" fillId="0" borderId="0" xfId="0" applyFont="1" applyFill="1" applyAlignment="1">
      <alignment horizontal="center"/>
    </xf>
    <xf numFmtId="14" fontId="54" fillId="0" borderId="0" xfId="0" applyNumberFormat="1" applyFont="1" applyFill="1"/>
    <xf numFmtId="170" fontId="0" fillId="0" borderId="0" xfId="0" applyNumberFormat="1" applyFill="1" applyBorder="1"/>
    <xf numFmtId="170" fontId="0" fillId="0" borderId="31" xfId="0" applyNumberFormat="1" applyFill="1" applyBorder="1"/>
    <xf numFmtId="170" fontId="0" fillId="0" borderId="0" xfId="0" applyNumberFormat="1" applyFill="1"/>
    <xf numFmtId="168" fontId="0" fillId="0" borderId="33" xfId="0" applyNumberFormat="1" applyFill="1" applyBorder="1"/>
    <xf numFmtId="168" fontId="15" fillId="0" borderId="0" xfId="0" applyNumberFormat="1" applyFont="1" applyFill="1"/>
    <xf numFmtId="0" fontId="15" fillId="57" borderId="42" xfId="0" applyFont="1" applyFill="1" applyBorder="1" applyAlignment="1">
      <alignment horizontal="center" wrapText="1"/>
    </xf>
    <xf numFmtId="0" fontId="15" fillId="57" borderId="43" xfId="0" applyFont="1" applyFill="1" applyBorder="1" applyAlignment="1">
      <alignment horizontal="center" wrapText="1"/>
    </xf>
    <xf numFmtId="0" fontId="15" fillId="57" borderId="44" xfId="0" applyFont="1" applyFill="1" applyBorder="1" applyAlignment="1">
      <alignment horizontal="center" wrapText="1"/>
    </xf>
    <xf numFmtId="10" fontId="15" fillId="0" borderId="0" xfId="0" applyNumberFormat="1" applyFont="1" applyFill="1"/>
    <xf numFmtId="10" fontId="54" fillId="0" borderId="0" xfId="0" applyNumberFormat="1" applyFont="1" applyFill="1" applyAlignment="1">
      <alignment horizontal="center"/>
    </xf>
    <xf numFmtId="0" fontId="62" fillId="58" borderId="15" xfId="159" applyFont="1" applyFill="1" applyBorder="1" applyAlignment="1">
      <alignment horizontal="center" vertical="center" wrapText="1"/>
    </xf>
    <xf numFmtId="0" fontId="15" fillId="59" borderId="0" xfId="0" applyFont="1" applyFill="1"/>
    <xf numFmtId="49" fontId="20" fillId="55" borderId="0" xfId="0" applyNumberFormat="1" applyFont="1" applyFill="1" applyBorder="1" applyAlignment="1">
      <alignment horizontal="center" wrapText="1"/>
    </xf>
    <xf numFmtId="174" fontId="0" fillId="0" borderId="0" xfId="2" applyNumberFormat="1" applyFont="1"/>
    <xf numFmtId="37" fontId="20" fillId="0" borderId="12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172" fontId="0" fillId="0" borderId="0" xfId="0" applyNumberFormat="1" applyBorder="1"/>
    <xf numFmtId="171" fontId="0" fillId="0" borderId="0" xfId="0" applyNumberFormat="1"/>
    <xf numFmtId="41" fontId="0" fillId="0" borderId="15" xfId="0" applyNumberFormat="1" applyFill="1" applyBorder="1"/>
    <xf numFmtId="172" fontId="0" fillId="0" borderId="31" xfId="0" applyNumberFormat="1" applyBorder="1"/>
    <xf numFmtId="171" fontId="0" fillId="0" borderId="31" xfId="0" applyNumberFormat="1" applyBorder="1"/>
    <xf numFmtId="166" fontId="64" fillId="60" borderId="51" xfId="0" applyNumberFormat="1" applyFont="1" applyFill="1" applyBorder="1" applyAlignment="1">
      <alignment horizontal="right"/>
    </xf>
    <xf numFmtId="166" fontId="64" fillId="60" borderId="51" xfId="257" applyNumberFormat="1" applyFont="1" applyFill="1" applyBorder="1" applyAlignment="1">
      <alignment horizontal="right"/>
    </xf>
    <xf numFmtId="0" fontId="0" fillId="0" borderId="15" xfId="0" applyFill="1" applyBorder="1"/>
    <xf numFmtId="0" fontId="19" fillId="0" borderId="15" xfId="0" applyFont="1" applyFill="1" applyBorder="1"/>
    <xf numFmtId="0" fontId="0" fillId="0" borderId="27" xfId="0" applyFill="1" applyBorder="1"/>
    <xf numFmtId="0" fontId="15" fillId="56" borderId="30" xfId="0" applyFont="1" applyFill="1" applyBorder="1" applyAlignment="1">
      <alignment horizontal="center"/>
    </xf>
    <xf numFmtId="0" fontId="15" fillId="56" borderId="33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30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5" fillId="55" borderId="31" xfId="0" applyFont="1" applyFill="1" applyBorder="1" applyAlignment="1">
      <alignment horizontal="center"/>
    </xf>
    <xf numFmtId="0" fontId="15" fillId="55" borderId="32" xfId="0" applyFont="1" applyFill="1" applyBorder="1" applyAlignment="1">
      <alignment horizontal="center"/>
    </xf>
    <xf numFmtId="0" fontId="15" fillId="55" borderId="10" xfId="0" applyFont="1" applyFill="1" applyBorder="1" applyAlignment="1">
      <alignment horizontal="center"/>
    </xf>
    <xf numFmtId="0" fontId="15" fillId="55" borderId="30" xfId="0" applyFont="1" applyFill="1" applyBorder="1" applyAlignment="1">
      <alignment horizontal="center"/>
    </xf>
    <xf numFmtId="0" fontId="15" fillId="55" borderId="33" xfId="0" applyFont="1" applyFill="1" applyBorder="1" applyAlignment="1">
      <alignment horizontal="center"/>
    </xf>
    <xf numFmtId="0" fontId="15" fillId="55" borderId="27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Fill="1" applyBorder="1" applyAlignment="1">
      <alignment horizontal="left" vertical="top" wrapText="1"/>
    </xf>
  </cellXfs>
  <cellStyles count="258">
    <cellStyle name="£Z_x0004_Ç_x0006_^_x0004_" xfId="247"/>
    <cellStyle name="20% - Accent1 2" xfId="8"/>
    <cellStyle name="20% - Accent1 3" xfId="9"/>
    <cellStyle name="20% - Accent2 2" xfId="10"/>
    <cellStyle name="20% - Accent2 2 2" xfId="11"/>
    <cellStyle name="20% - Accent2 3" xfId="12"/>
    <cellStyle name="20% - Accent2 4" xfId="13"/>
    <cellStyle name="20% - Accent3 2" xfId="14"/>
    <cellStyle name="20% - Accent3 2 2" xfId="15"/>
    <cellStyle name="20% - Accent3 3" xfId="16"/>
    <cellStyle name="20% - Accent3 4" xfId="17"/>
    <cellStyle name="20% - Accent4 2" xfId="18"/>
    <cellStyle name="20% - Accent4 2 2" xfId="19"/>
    <cellStyle name="20% - Accent4 3" xfId="20"/>
    <cellStyle name="20% - Accent4 4" xfId="21"/>
    <cellStyle name="20% - Accent5 2" xfId="22"/>
    <cellStyle name="20% - Accent5 2 2" xfId="23"/>
    <cellStyle name="20% - Accent5 3" xfId="24"/>
    <cellStyle name="20% - Accent5 4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2 2" xfId="67"/>
    <cellStyle name="Calculation 2 3" xfId="68"/>
    <cellStyle name="Calculation 3" xfId="69"/>
    <cellStyle name="Check Cell 2" xfId="70"/>
    <cellStyle name="Check Cell 3" xfId="71"/>
    <cellStyle name="Comma" xfId="1" builtinId="3"/>
    <cellStyle name="Comma 10" xfId="72"/>
    <cellStyle name="Comma 11" xfId="73"/>
    <cellStyle name="Comma 12" xfId="74"/>
    <cellStyle name="Comma 2" xfId="75"/>
    <cellStyle name="Comma 2 2" xfId="76"/>
    <cellStyle name="Comma 2 2 2" xfId="77"/>
    <cellStyle name="Comma 2 3" xfId="78"/>
    <cellStyle name="Comma 2 3 2" xfId="79"/>
    <cellStyle name="Comma 2 4" xfId="80"/>
    <cellStyle name="Comma 2 5" xfId="81"/>
    <cellStyle name="Comma 2 6" xfId="248"/>
    <cellStyle name="Comma 2 7" xfId="254"/>
    <cellStyle name="Comma 3" xfId="82"/>
    <cellStyle name="Comma 3 2" xfId="83"/>
    <cellStyle name="Comma 3 2 2" xfId="84"/>
    <cellStyle name="Comma 3 3" xfId="85"/>
    <cellStyle name="Comma 3 4" xfId="86"/>
    <cellStyle name="Comma 4" xfId="87"/>
    <cellStyle name="Comma 4 2" xfId="88"/>
    <cellStyle name="Comma 4 2 2" xfId="89"/>
    <cellStyle name="Comma 4 3" xfId="90"/>
    <cellStyle name="Comma 4 4" xfId="91"/>
    <cellStyle name="Comma 5" xfId="92"/>
    <cellStyle name="Comma 5 2" xfId="93"/>
    <cellStyle name="Comma 5 2 2" xfId="94"/>
    <cellStyle name="Comma 6" xfId="95"/>
    <cellStyle name="Comma 6 2" xfId="96"/>
    <cellStyle name="Comma 7" xfId="97"/>
    <cellStyle name="Comma 7 2" xfId="98"/>
    <cellStyle name="Comma 7 3" xfId="99"/>
    <cellStyle name="Comma 7 3 2" xfId="100"/>
    <cellStyle name="Comma 8" xfId="101"/>
    <cellStyle name="Comma 8 2" xfId="102"/>
    <cellStyle name="Comma 9" xfId="103"/>
    <cellStyle name="Comma 9 2" xfId="104"/>
    <cellStyle name="Currency" xfId="255" builtinId="4"/>
    <cellStyle name="Currency 10" xfId="105"/>
    <cellStyle name="Currency 11" xfId="106"/>
    <cellStyle name="Currency 2" xfId="107"/>
    <cellStyle name="Currency 2 2" xfId="108"/>
    <cellStyle name="Currency 2 2 2" xfId="109"/>
    <cellStyle name="Currency 2 3" xfId="110"/>
    <cellStyle name="Currency 2 3 2" xfId="111"/>
    <cellStyle name="Currency 2 4" xfId="112"/>
    <cellStyle name="Currency 2 5" xfId="113"/>
    <cellStyle name="Currency 3" xfId="114"/>
    <cellStyle name="Currency 3 2" xfId="115"/>
    <cellStyle name="Currency 3 3" xfId="116"/>
    <cellStyle name="Currency 4" xfId="117"/>
    <cellStyle name="Currency 4 2" xfId="118"/>
    <cellStyle name="Currency 4 3" xfId="119"/>
    <cellStyle name="Currency 5" xfId="120"/>
    <cellStyle name="Currency 5 2" xfId="121"/>
    <cellStyle name="Currency 6" xfId="122"/>
    <cellStyle name="Currency 6 2" xfId="123"/>
    <cellStyle name="Currency 7" xfId="124"/>
    <cellStyle name="Currency 7 2" xfId="125"/>
    <cellStyle name="Currency 7 3" xfId="126"/>
    <cellStyle name="Currency 8" xfId="127"/>
    <cellStyle name="Currency 8 2" xfId="128"/>
    <cellStyle name="Currency 9" xfId="129"/>
    <cellStyle name="Explanatory Text 2" xfId="130"/>
    <cellStyle name="Explanatory Text 3" xfId="131"/>
    <cellStyle name="Followed Hyperlink 2" xfId="249"/>
    <cellStyle name="Good 2" xfId="132"/>
    <cellStyle name="Good 3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yperlink 2" xfId="250"/>
    <cellStyle name="Input 2" xfId="142"/>
    <cellStyle name="Input 2 2" xfId="143"/>
    <cellStyle name="Input 2 3" xfId="144"/>
    <cellStyle name="Input 3" xfId="145"/>
    <cellStyle name="Linked Cell 2" xfId="146"/>
    <cellStyle name="Linked Cell 3" xfId="147"/>
    <cellStyle name="Neutral 2" xfId="148"/>
    <cellStyle name="Neutral 3" xfId="149"/>
    <cellStyle name="Normal" xfId="0" builtinId="0"/>
    <cellStyle name="Normal 10" xfId="150"/>
    <cellStyle name="Normal 10 10" xfId="151"/>
    <cellStyle name="Normal 10 2" xfId="152"/>
    <cellStyle name="Normal 10 3" xfId="153"/>
    <cellStyle name="Normal 11" xfId="3"/>
    <cellStyle name="Normal 12" xfId="154"/>
    <cellStyle name="Normal 13" xfId="155"/>
    <cellStyle name="Normal 14" xfId="156"/>
    <cellStyle name="Normal 14 2" xfId="157"/>
    <cellStyle name="Normal 15" xfId="158"/>
    <cellStyle name="Normal 16" xfId="159"/>
    <cellStyle name="Normal 17" xfId="253"/>
    <cellStyle name="Normal 18" xfId="257"/>
    <cellStyle name="Normal 2" xfId="4"/>
    <cellStyle name="Normal 2 2" xfId="160"/>
    <cellStyle name="Normal 2 2 2" xfId="161"/>
    <cellStyle name="Normal 2 2 2 2" xfId="162"/>
    <cellStyle name="Normal 2 2 3" xfId="163"/>
    <cellStyle name="Normal 2 3" xfId="164"/>
    <cellStyle name="Normal 2 3 2" xfId="165"/>
    <cellStyle name="Normal 2 4" xfId="166"/>
    <cellStyle name="Normal 2 5" xfId="167"/>
    <cellStyle name="Normal 2 6" xfId="256"/>
    <cellStyle name="Normal 3" xfId="168"/>
    <cellStyle name="Normal 3 2" xfId="169"/>
    <cellStyle name="Normal 3 2 2" xfId="251"/>
    <cellStyle name="Normal 3 3" xfId="170"/>
    <cellStyle name="Normal 3 3 2" xfId="171"/>
    <cellStyle name="Normal 3 4" xfId="172"/>
    <cellStyle name="Normal 4" xfId="173"/>
    <cellStyle name="Normal 4 10" xfId="174"/>
    <cellStyle name="Normal 4 2" xfId="7"/>
    <cellStyle name="Normal 4 2 2" xfId="175"/>
    <cellStyle name="Normal 4 2_Sheet2" xfId="176"/>
    <cellStyle name="Normal 4 3" xfId="177"/>
    <cellStyle name="Normal 4 3 2" xfId="178"/>
    <cellStyle name="Normal 4 4" xfId="179"/>
    <cellStyle name="Normal 4 4 2" xfId="180"/>
    <cellStyle name="Normal 4 5" xfId="181"/>
    <cellStyle name="Normal 4 6" xfId="182"/>
    <cellStyle name="Normal 4 7" xfId="183"/>
    <cellStyle name="Normal 4 8" xfId="184"/>
    <cellStyle name="Normal 4 9" xfId="185"/>
    <cellStyle name="Normal 4_Sheet2" xfId="186"/>
    <cellStyle name="Normal 5" xfId="187"/>
    <cellStyle name="Normal 5 2" xfId="188"/>
    <cellStyle name="Normal 5 3" xfId="189"/>
    <cellStyle name="Normal 5 3 2" xfId="190"/>
    <cellStyle name="Normal 5 4" xfId="191"/>
    <cellStyle name="Normal 5 5" xfId="192"/>
    <cellStyle name="Normal 5_Sheet2" xfId="193"/>
    <cellStyle name="Normal 6" xfId="194"/>
    <cellStyle name="Normal 6 2" xfId="195"/>
    <cellStyle name="Normal 6 2 2" xfId="196"/>
    <cellStyle name="Normal 65" xfId="197"/>
    <cellStyle name="Normal 7" xfId="198"/>
    <cellStyle name="Normal 7 2" xfId="199"/>
    <cellStyle name="Normal 8" xfId="200"/>
    <cellStyle name="Normal 8 2" xfId="5"/>
    <cellStyle name="Normal 9" xfId="201"/>
    <cellStyle name="Normal 9 2" xfId="202"/>
    <cellStyle name="Normal 9 3" xfId="203"/>
    <cellStyle name="Normal 94" xfId="204"/>
    <cellStyle name="Note 2" xfId="205"/>
    <cellStyle name="Note 2 2" xfId="206"/>
    <cellStyle name="Note 2 3" xfId="207"/>
    <cellStyle name="Note 3" xfId="208"/>
    <cellStyle name="Output 2" xfId="209"/>
    <cellStyle name="Output 2 2" xfId="210"/>
    <cellStyle name="Output 2 3" xfId="211"/>
    <cellStyle name="Output 3" xfId="212"/>
    <cellStyle name="Percent" xfId="2" builtinId="5"/>
    <cellStyle name="Percent 10" xfId="213"/>
    <cellStyle name="Percent 2" xfId="6"/>
    <cellStyle name="Percent 2 2" xfId="214"/>
    <cellStyle name="Percent 2 3" xfId="215"/>
    <cellStyle name="Percent 2 3 2" xfId="216"/>
    <cellStyle name="Percent 2 4" xfId="252"/>
    <cellStyle name="Percent 3" xfId="217"/>
    <cellStyle name="Percent 3 2" xfId="218"/>
    <cellStyle name="Percent 3 2 2" xfId="219"/>
    <cellStyle name="Percent 3 3" xfId="220"/>
    <cellStyle name="Percent 4" xfId="221"/>
    <cellStyle name="Percent 4 2" xfId="222"/>
    <cellStyle name="Percent 4 2 2" xfId="223"/>
    <cellStyle name="Percent 4 3" xfId="224"/>
    <cellStyle name="Percent 4 4" xfId="225"/>
    <cellStyle name="Percent 5" xfId="226"/>
    <cellStyle name="Percent 5 2" xfId="227"/>
    <cellStyle name="Percent 5 3" xfId="228"/>
    <cellStyle name="Percent 5 4" xfId="229"/>
    <cellStyle name="Percent 5 5" xfId="230"/>
    <cellStyle name="Percent 6" xfId="231"/>
    <cellStyle name="Percent 6 2" xfId="232"/>
    <cellStyle name="Percent 6 3" xfId="233"/>
    <cellStyle name="Percent 7" xfId="234"/>
    <cellStyle name="Percent 8" xfId="235"/>
    <cellStyle name="Percent 9" xfId="236"/>
    <cellStyle name="rowhead_tbls1_13_a" xfId="237"/>
    <cellStyle name="Style 1" xfId="238"/>
    <cellStyle name="tablename" xfId="239"/>
    <cellStyle name="Title 2" xfId="240"/>
    <cellStyle name="Total 2" xfId="241"/>
    <cellStyle name="Total 2 2" xfId="242"/>
    <cellStyle name="Total 2 3" xfId="243"/>
    <cellStyle name="Total 3" xfId="244"/>
    <cellStyle name="Warning Text 2" xfId="245"/>
    <cellStyle name="Warning Text 3" xfId="2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0"/>
  <sheetViews>
    <sheetView tabSelected="1" zoomScaleNormal="100" workbookViewId="0">
      <pane xSplit="4" ySplit="11" topLeftCell="E12" activePane="bottomRight" state="frozen"/>
      <selection pane="topRight" activeCell="D1" sqref="D1"/>
      <selection pane="bottomLeft" activeCell="A12" sqref="A12"/>
      <selection pane="bottomRight" activeCell="B7" sqref="B7"/>
    </sheetView>
  </sheetViews>
  <sheetFormatPr defaultColWidth="9.140625" defaultRowHeight="15"/>
  <cols>
    <col min="1" max="1" width="5.140625" style="6" hidden="1" customWidth="1"/>
    <col min="2" max="2" width="8.7109375" style="6" customWidth="1"/>
    <col min="3" max="3" width="10.28515625" style="6" customWidth="1"/>
    <col min="4" max="4" width="33.5703125" style="6" customWidth="1"/>
    <col min="5" max="5" width="13.85546875" style="6" customWidth="1"/>
    <col min="6" max="6" width="10.42578125" style="6" customWidth="1"/>
    <col min="7" max="7" width="1.7109375" style="6" customWidth="1"/>
    <col min="8" max="9" width="19.28515625" style="6" customWidth="1"/>
    <col min="10" max="10" width="18.140625" style="6" customWidth="1"/>
    <col min="11" max="11" width="16" style="6" customWidth="1"/>
    <col min="12" max="12" width="1.7109375" style="6" customWidth="1"/>
    <col min="13" max="13" width="13.85546875" style="6" customWidth="1"/>
    <col min="14" max="14" width="16.5703125" style="6" customWidth="1"/>
    <col min="15" max="15" width="1.7109375" style="6" customWidth="1"/>
    <col min="16" max="16" width="14.28515625" style="6" customWidth="1"/>
    <col min="17" max="17" width="1.7109375" style="11" customWidth="1"/>
    <col min="18" max="18" width="18.42578125" style="6" customWidth="1"/>
    <col min="19" max="19" width="14" style="6" customWidth="1"/>
    <col min="20" max="20" width="1.7109375" style="6" customWidth="1"/>
    <col min="21" max="21" width="18.42578125" style="6" customWidth="1"/>
    <col min="22" max="22" width="12.85546875" style="6" customWidth="1"/>
    <col min="23" max="23" width="14.7109375" style="6" customWidth="1"/>
    <col min="24" max="24" width="1.7109375" style="6" customWidth="1"/>
    <col min="25" max="25" width="18.42578125" style="6" customWidth="1"/>
    <col min="26" max="26" width="12.85546875" style="6" customWidth="1"/>
    <col min="27" max="27" width="14.7109375" style="6" customWidth="1"/>
    <col min="28" max="28" width="1.7109375" style="6" customWidth="1"/>
    <col min="29" max="29" width="18.42578125" style="6" customWidth="1"/>
    <col min="30" max="30" width="12.5703125" style="6" customWidth="1"/>
    <col min="31" max="31" width="14.7109375" style="6" customWidth="1"/>
    <col min="32" max="32" width="1.7109375" style="6" customWidth="1"/>
    <col min="33" max="33" width="14.5703125" style="6" customWidth="1"/>
    <col min="34" max="34" width="15.7109375" style="6" customWidth="1"/>
    <col min="35" max="35" width="16" style="6" customWidth="1"/>
    <col min="36" max="36" width="15.28515625" style="6" bestFit="1" customWidth="1"/>
    <col min="37" max="16384" width="9.140625" style="6"/>
  </cols>
  <sheetData>
    <row r="1" spans="1:36" ht="18.75" thickBot="1">
      <c r="B1" s="10" t="s">
        <v>50</v>
      </c>
      <c r="Q1" s="6"/>
      <c r="R1" s="11"/>
    </row>
    <row r="2" spans="1:36" ht="18">
      <c r="B2" s="10" t="s">
        <v>51</v>
      </c>
      <c r="N2" s="12"/>
      <c r="O2" s="13"/>
      <c r="P2" s="239" t="s">
        <v>52</v>
      </c>
      <c r="Q2" s="239"/>
      <c r="R2" s="239"/>
      <c r="S2" s="14"/>
    </row>
    <row r="3" spans="1:36" ht="15.75">
      <c r="B3" s="15" t="s">
        <v>53</v>
      </c>
      <c r="N3" s="16"/>
      <c r="O3" s="1"/>
      <c r="P3" s="17" t="s">
        <v>54</v>
      </c>
      <c r="Q3" s="18"/>
      <c r="R3" s="19">
        <v>0</v>
      </c>
      <c r="S3" s="20"/>
      <c r="U3" s="6" t="s">
        <v>55</v>
      </c>
    </row>
    <row r="4" spans="1:36" ht="15.75">
      <c r="B4" s="15" t="s">
        <v>56</v>
      </c>
      <c r="M4" s="11"/>
      <c r="N4" s="16"/>
      <c r="O4" s="1"/>
      <c r="P4" s="17" t="s">
        <v>57</v>
      </c>
      <c r="Q4" s="18"/>
      <c r="R4" s="21">
        <v>0.3165</v>
      </c>
      <c r="S4" s="22"/>
    </row>
    <row r="5" spans="1:36" ht="15.75" thickBot="1">
      <c r="B5" s="23" t="s">
        <v>58</v>
      </c>
      <c r="N5" s="24"/>
      <c r="O5" s="25"/>
      <c r="P5" s="26" t="s">
        <v>59</v>
      </c>
      <c r="Q5" s="27"/>
      <c r="R5" s="202">
        <f>AJ48-AG48</f>
        <v>140000519.1167047</v>
      </c>
      <c r="S5" s="28"/>
      <c r="U5" s="11"/>
    </row>
    <row r="6" spans="1:36" ht="15.75">
      <c r="B6" s="23" t="s">
        <v>60</v>
      </c>
      <c r="H6" s="29"/>
      <c r="I6" s="29"/>
      <c r="J6" s="29"/>
      <c r="K6" s="30"/>
      <c r="U6" s="11"/>
    </row>
    <row r="7" spans="1:36">
      <c r="H7" s="29"/>
      <c r="I7" s="29"/>
      <c r="J7" s="29"/>
      <c r="P7" s="11"/>
      <c r="Q7" s="31"/>
      <c r="T7" s="11"/>
    </row>
    <row r="8" spans="1:36">
      <c r="L8" s="11"/>
      <c r="O8" s="11"/>
      <c r="Q8" s="6"/>
      <c r="R8" s="240" t="s">
        <v>61</v>
      </c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2"/>
      <c r="AJ8" s="8" t="s">
        <v>62</v>
      </c>
    </row>
    <row r="9" spans="1:36" ht="14.45" customHeight="1">
      <c r="D9" s="3"/>
      <c r="E9" s="243"/>
      <c r="F9" s="243"/>
      <c r="G9" s="32"/>
      <c r="H9" s="240" t="s">
        <v>63</v>
      </c>
      <c r="I9" s="241"/>
      <c r="J9" s="241"/>
      <c r="K9" s="242"/>
      <c r="M9" s="244" t="s">
        <v>64</v>
      </c>
      <c r="N9" s="245"/>
      <c r="O9" s="7"/>
      <c r="Q9" s="7"/>
      <c r="R9" s="246" t="s">
        <v>65</v>
      </c>
      <c r="S9" s="247"/>
      <c r="T9" s="33"/>
      <c r="U9" s="246" t="s">
        <v>66</v>
      </c>
      <c r="V9" s="248"/>
      <c r="W9" s="247"/>
      <c r="X9" s="33"/>
      <c r="Y9" s="246" t="s">
        <v>67</v>
      </c>
      <c r="Z9" s="248"/>
      <c r="AA9" s="247"/>
      <c r="AB9" s="33"/>
      <c r="AC9" s="249" t="s">
        <v>68</v>
      </c>
      <c r="AD9" s="250"/>
      <c r="AE9" s="251"/>
      <c r="AF9" s="34"/>
      <c r="AG9" s="237" t="s">
        <v>69</v>
      </c>
      <c r="AH9" s="238"/>
      <c r="AI9" s="238"/>
      <c r="AJ9" s="238"/>
    </row>
    <row r="10" spans="1:36" ht="45" customHeight="1">
      <c r="B10" s="35" t="s">
        <v>70</v>
      </c>
      <c r="C10" s="36" t="s">
        <v>71</v>
      </c>
      <c r="D10" s="36" t="s">
        <v>0</v>
      </c>
      <c r="E10" s="36" t="s">
        <v>72</v>
      </c>
      <c r="F10" s="36" t="s">
        <v>73</v>
      </c>
      <c r="G10" s="37"/>
      <c r="H10" s="35" t="s">
        <v>74</v>
      </c>
      <c r="I10" s="36" t="s">
        <v>75</v>
      </c>
      <c r="J10" s="36" t="s">
        <v>76</v>
      </c>
      <c r="K10" s="38" t="s">
        <v>77</v>
      </c>
      <c r="L10" s="37"/>
      <c r="M10" s="36" t="s">
        <v>78</v>
      </c>
      <c r="N10" s="38" t="s">
        <v>79</v>
      </c>
      <c r="O10" s="37"/>
      <c r="P10" s="36" t="s">
        <v>80</v>
      </c>
      <c r="Q10" s="37"/>
      <c r="R10" s="36" t="s">
        <v>81</v>
      </c>
      <c r="S10" s="36" t="s">
        <v>82</v>
      </c>
      <c r="T10" s="39"/>
      <c r="U10" s="36" t="s">
        <v>83</v>
      </c>
      <c r="V10" s="36" t="s">
        <v>84</v>
      </c>
      <c r="W10" s="36" t="s">
        <v>85</v>
      </c>
      <c r="X10" s="39"/>
      <c r="Y10" s="36" t="s">
        <v>86</v>
      </c>
      <c r="Z10" s="36" t="s">
        <v>87</v>
      </c>
      <c r="AA10" s="36" t="s">
        <v>88</v>
      </c>
      <c r="AB10" s="39"/>
      <c r="AC10" s="36" t="s">
        <v>89</v>
      </c>
      <c r="AD10" s="36" t="s">
        <v>90</v>
      </c>
      <c r="AE10" s="36" t="s">
        <v>91</v>
      </c>
      <c r="AF10" s="37"/>
      <c r="AG10" s="40" t="s">
        <v>92</v>
      </c>
      <c r="AH10" s="41" t="s">
        <v>93</v>
      </c>
      <c r="AI10" s="41" t="s">
        <v>94</v>
      </c>
      <c r="AJ10" s="42" t="s">
        <v>95</v>
      </c>
    </row>
    <row r="11" spans="1:36" s="43" customFormat="1">
      <c r="B11" s="44" t="s">
        <v>96</v>
      </c>
      <c r="C11" s="45" t="s">
        <v>97</v>
      </c>
      <c r="D11" s="45" t="s">
        <v>98</v>
      </c>
      <c r="E11" s="45" t="s">
        <v>99</v>
      </c>
      <c r="F11" s="45" t="s">
        <v>100</v>
      </c>
      <c r="G11" s="46"/>
      <c r="H11" s="45" t="s">
        <v>101</v>
      </c>
      <c r="I11" s="45" t="s">
        <v>102</v>
      </c>
      <c r="J11" s="45" t="s">
        <v>103</v>
      </c>
      <c r="K11" s="45" t="s">
        <v>104</v>
      </c>
      <c r="L11" s="47"/>
      <c r="M11" s="48" t="s">
        <v>105</v>
      </c>
      <c r="N11" s="45" t="s">
        <v>106</v>
      </c>
      <c r="O11" s="47"/>
      <c r="P11" s="45" t="s">
        <v>107</v>
      </c>
      <c r="Q11" s="49"/>
      <c r="R11" s="48" t="s">
        <v>108</v>
      </c>
      <c r="S11" s="48" t="s">
        <v>109</v>
      </c>
      <c r="T11" s="49"/>
      <c r="U11" s="50" t="s">
        <v>110</v>
      </c>
      <c r="V11" s="50" t="s">
        <v>111</v>
      </c>
      <c r="W11" s="50" t="s">
        <v>112</v>
      </c>
      <c r="X11" s="49"/>
      <c r="Y11" s="50" t="s">
        <v>113</v>
      </c>
      <c r="Z11" s="50" t="s">
        <v>114</v>
      </c>
      <c r="AA11" s="50" t="s">
        <v>115</v>
      </c>
      <c r="AB11" s="49"/>
      <c r="AC11" s="51" t="s">
        <v>116</v>
      </c>
      <c r="AD11" s="50" t="s">
        <v>117</v>
      </c>
      <c r="AE11" s="50" t="s">
        <v>118</v>
      </c>
      <c r="AF11" s="49"/>
      <c r="AG11" s="50" t="s">
        <v>119</v>
      </c>
      <c r="AH11" s="50" t="s">
        <v>120</v>
      </c>
      <c r="AI11" s="50" t="s">
        <v>121</v>
      </c>
      <c r="AJ11" s="50" t="s">
        <v>122</v>
      </c>
    </row>
    <row r="12" spans="1:36">
      <c r="A12" s="5" t="s">
        <v>19</v>
      </c>
      <c r="B12" s="34" t="s">
        <v>123</v>
      </c>
      <c r="C12" s="52" t="s">
        <v>43</v>
      </c>
      <c r="D12" s="1" t="s">
        <v>124</v>
      </c>
      <c r="E12" s="53">
        <v>6294</v>
      </c>
      <c r="F12" s="54">
        <v>0.91259999999999997</v>
      </c>
      <c r="G12" s="55"/>
      <c r="H12" s="56">
        <v>7633.2544009600888</v>
      </c>
      <c r="I12" s="57">
        <v>43844683.539994016</v>
      </c>
      <c r="J12" s="56">
        <f t="shared" ref="J12:J38" si="0">(H12+$R$3)*(1+$R$4)</f>
        <v>10049.179418863956</v>
      </c>
      <c r="K12" s="58">
        <f t="shared" ref="K12:K38" si="1">E12*F12*J12</f>
        <v>57721525.880402118</v>
      </c>
      <c r="L12" s="59"/>
      <c r="M12" s="11">
        <v>1.2779378727662076</v>
      </c>
      <c r="N12" s="56">
        <f>J12/M12</f>
        <v>7863.5899545817774</v>
      </c>
      <c r="O12" s="59"/>
      <c r="P12" s="56">
        <f t="shared" ref="P12:P38" si="2">K$39/M$39/F$39/E$39</f>
        <v>7013.1362702967108</v>
      </c>
      <c r="Q12" s="59"/>
      <c r="R12" s="31">
        <v>5811.6038993623324</v>
      </c>
      <c r="S12" s="31">
        <v>7426.8687245108968</v>
      </c>
      <c r="T12" s="59"/>
      <c r="U12" s="31">
        <v>7438.3631124392441</v>
      </c>
      <c r="V12" s="60">
        <v>1.2676997499268083</v>
      </c>
      <c r="W12" s="31">
        <v>9429.6110575040257</v>
      </c>
      <c r="X12" s="59"/>
      <c r="Y12" s="31">
        <f t="shared" ref="Y12:Y38" si="3">(3/4*(P12))+((1/4*(N12)))</f>
        <v>7225.7496913679779</v>
      </c>
      <c r="Z12" s="60">
        <f>VLOOKUP(B12,'WI_IME Rate Modifier'!$A$7:$N$35,14,FALSE)</f>
        <v>1.3416367293445897</v>
      </c>
      <c r="AA12" s="31">
        <f>Y12*Z12</f>
        <v>9694.331182989612</v>
      </c>
      <c r="AB12" s="59"/>
      <c r="AC12" s="61">
        <f>P12</f>
        <v>7013.1362702967108</v>
      </c>
      <c r="AD12" s="60">
        <v>1.2779378727662076</v>
      </c>
      <c r="AE12" s="31">
        <f>AC12*AD12</f>
        <v>8962.3524466825147</v>
      </c>
      <c r="AF12" s="59"/>
      <c r="AG12" s="62">
        <v>42659223.94494053</v>
      </c>
      <c r="AH12" s="62">
        <f t="shared" ref="AH12:AH38" si="4">W12*E12*F12</f>
        <v>54162784.44348602</v>
      </c>
      <c r="AI12" s="62">
        <f t="shared" ref="AI12:AI38" si="5">AA12*F12*E12</f>
        <v>55683311.537031233</v>
      </c>
      <c r="AJ12" s="203">
        <f t="shared" ref="AJ12:AJ38" si="6">E12*F12*AE12</f>
        <v>51478895.652850457</v>
      </c>
    </row>
    <row r="13" spans="1:36">
      <c r="A13" s="5" t="s">
        <v>5</v>
      </c>
      <c r="B13" s="34" t="s">
        <v>125</v>
      </c>
      <c r="C13" s="1" t="s">
        <v>31</v>
      </c>
      <c r="D13" s="1" t="s">
        <v>126</v>
      </c>
      <c r="E13" s="53">
        <v>774</v>
      </c>
      <c r="F13" s="63">
        <v>0.48370000000000002</v>
      </c>
      <c r="G13" s="55"/>
      <c r="H13" s="56">
        <v>7866.9937646139806</v>
      </c>
      <c r="I13" s="57">
        <v>2945275.0201724875</v>
      </c>
      <c r="J13" s="56">
        <f t="shared" si="0"/>
        <v>10356.897291114305</v>
      </c>
      <c r="K13" s="57">
        <f t="shared" si="1"/>
        <v>3877454.5640570796</v>
      </c>
      <c r="L13" s="59"/>
      <c r="M13" s="11">
        <v>1.1182504</v>
      </c>
      <c r="N13" s="56">
        <f t="shared" ref="N13:N38" si="7">J13/M13</f>
        <v>9261.6978193026407</v>
      </c>
      <c r="O13" s="59"/>
      <c r="P13" s="56">
        <f t="shared" si="2"/>
        <v>7013.1362702967108</v>
      </c>
      <c r="Q13" s="59"/>
      <c r="R13" s="31">
        <v>6608.0952769093483</v>
      </c>
      <c r="S13" s="31">
        <v>7389.505186641989</v>
      </c>
      <c r="T13" s="59"/>
      <c r="U13" s="31">
        <v>8137.4170447996758</v>
      </c>
      <c r="V13" s="60">
        <v>1.1262866999999999</v>
      </c>
      <c r="W13" s="31">
        <v>9165.0645899111787</v>
      </c>
      <c r="X13" s="59"/>
      <c r="Y13" s="31">
        <f t="shared" si="3"/>
        <v>7575.2766575481937</v>
      </c>
      <c r="Z13" s="60">
        <f>VLOOKUP(B13,'WI_IME Rate Modifier'!$A$7:$N$35,14,FALSE)</f>
        <v>1.1758725000000001</v>
      </c>
      <c r="AA13" s="31">
        <f t="shared" ref="AA13:AA38" si="8">Y13*Z13</f>
        <v>8907.5595015028393</v>
      </c>
      <c r="AB13" s="59"/>
      <c r="AC13" s="61">
        <f t="shared" ref="AC13:AC38" si="9">P13</f>
        <v>7013.1362702967108</v>
      </c>
      <c r="AD13" s="64">
        <v>1.1182504</v>
      </c>
      <c r="AE13" s="31">
        <f t="shared" ref="AE13:AE38" si="10">AC13*AD13</f>
        <v>7842.4424395138049</v>
      </c>
      <c r="AF13" s="59"/>
      <c r="AG13" s="62">
        <v>2766511.0318947369</v>
      </c>
      <c r="AH13" s="62">
        <f t="shared" si="4"/>
        <v>3431251.7084163888</v>
      </c>
      <c r="AI13" s="62">
        <f t="shared" si="5"/>
        <v>3334845.9748987388</v>
      </c>
      <c r="AJ13" s="62">
        <f t="shared" si="6"/>
        <v>2936083.4017864484</v>
      </c>
    </row>
    <row r="14" spans="1:36">
      <c r="A14" s="5" t="s">
        <v>22</v>
      </c>
      <c r="B14" s="34" t="s">
        <v>127</v>
      </c>
      <c r="C14" s="52" t="s">
        <v>377</v>
      </c>
      <c r="D14" s="1" t="s">
        <v>128</v>
      </c>
      <c r="E14" s="53">
        <v>200</v>
      </c>
      <c r="F14" s="63">
        <v>0.44990000000000002</v>
      </c>
      <c r="G14" s="55"/>
      <c r="H14" s="56">
        <v>7830.1683691752587</v>
      </c>
      <c r="I14" s="57">
        <v>704558.54985838977</v>
      </c>
      <c r="J14" s="56">
        <f t="shared" si="0"/>
        <v>10308.416658019229</v>
      </c>
      <c r="K14" s="57">
        <f t="shared" si="1"/>
        <v>927551.33088857029</v>
      </c>
      <c r="L14" s="59"/>
      <c r="M14" s="11">
        <v>1.1182504</v>
      </c>
      <c r="N14" s="56">
        <f t="shared" si="7"/>
        <v>9218.3438146046974</v>
      </c>
      <c r="O14" s="59"/>
      <c r="P14" s="56">
        <f t="shared" si="2"/>
        <v>7013.1362702967108</v>
      </c>
      <c r="Q14" s="59"/>
      <c r="R14" s="31">
        <v>6583.3968313921005</v>
      </c>
      <c r="S14" s="31">
        <v>7361.8861400629485</v>
      </c>
      <c r="T14" s="59"/>
      <c r="U14" s="31">
        <v>8115.7400424507041</v>
      </c>
      <c r="V14" s="60">
        <v>1.1067529</v>
      </c>
      <c r="W14" s="31">
        <v>8982.1188276284411</v>
      </c>
      <c r="X14" s="59"/>
      <c r="Y14" s="31">
        <f t="shared" si="3"/>
        <v>7564.4381563737079</v>
      </c>
      <c r="Z14" s="60">
        <f>VLOOKUP(B14,'WI_IME Rate Modifier'!$A$7:$N$35,14,FALSE)</f>
        <v>1.1758725000000001</v>
      </c>
      <c r="AA14" s="31">
        <f t="shared" si="8"/>
        <v>8894.814806030543</v>
      </c>
      <c r="AB14" s="59"/>
      <c r="AC14" s="61">
        <f t="shared" si="9"/>
        <v>7013.1362702967108</v>
      </c>
      <c r="AD14" s="64">
        <v>1.1182504</v>
      </c>
      <c r="AE14" s="31">
        <f t="shared" si="10"/>
        <v>7842.4424395138049</v>
      </c>
      <c r="AF14" s="59"/>
      <c r="AG14" s="62">
        <v>662422.51488286408</v>
      </c>
      <c r="AH14" s="62">
        <f t="shared" si="4"/>
        <v>808211.05211000715</v>
      </c>
      <c r="AI14" s="62">
        <f t="shared" si="5"/>
        <v>800355.43624662829</v>
      </c>
      <c r="AJ14" s="62">
        <f t="shared" si="6"/>
        <v>705662.97070745216</v>
      </c>
    </row>
    <row r="15" spans="1:36">
      <c r="A15" s="6" t="s">
        <v>24</v>
      </c>
      <c r="B15" s="34" t="s">
        <v>129</v>
      </c>
      <c r="C15" s="1" t="s">
        <v>338</v>
      </c>
      <c r="D15" s="1" t="s">
        <v>130</v>
      </c>
      <c r="E15" s="53">
        <v>2797</v>
      </c>
      <c r="F15" s="63">
        <v>0.68</v>
      </c>
      <c r="G15" s="55"/>
      <c r="H15" s="56">
        <v>6907.5019789058497</v>
      </c>
      <c r="I15" s="57">
        <v>13137792.463799775</v>
      </c>
      <c r="J15" s="56">
        <f>(H15+$R$3)*(1+$R$4)</f>
        <v>9093.7263552295517</v>
      </c>
      <c r="K15" s="57">
        <f>E15*F15*J15</f>
        <v>17295903.7785924</v>
      </c>
      <c r="L15" s="59"/>
      <c r="M15" s="11">
        <v>1.2504687536643488</v>
      </c>
      <c r="N15" s="56">
        <f t="shared" si="7"/>
        <v>7272.2539676273209</v>
      </c>
      <c r="O15" s="59"/>
      <c r="P15" s="56">
        <f t="shared" si="2"/>
        <v>7013.1362702967108</v>
      </c>
      <c r="Q15" s="59"/>
      <c r="R15" s="31">
        <v>5474.7243017809869</v>
      </c>
      <c r="S15" s="31">
        <v>6845.9716743039935</v>
      </c>
      <c r="T15" s="59"/>
      <c r="U15" s="31">
        <v>7142.6951189620158</v>
      </c>
      <c r="V15" s="60">
        <v>1.2441784426657987</v>
      </c>
      <c r="W15" s="31">
        <v>8886.7872895467626</v>
      </c>
      <c r="X15" s="59"/>
      <c r="Y15" s="31">
        <f t="shared" si="3"/>
        <v>7077.9156946293642</v>
      </c>
      <c r="Z15" s="60">
        <f>VLOOKUP(B15,'WI_IME Rate Modifier'!$A$7:$N$35,14,FALSE)</f>
        <v>1.2870905843176992</v>
      </c>
      <c r="AA15" s="31">
        <f t="shared" si="8"/>
        <v>9109.9186471519224</v>
      </c>
      <c r="AB15" s="59"/>
      <c r="AC15" s="61">
        <f t="shared" si="9"/>
        <v>7013.1362702967108</v>
      </c>
      <c r="AD15" s="64">
        <v>1.2504687536643488</v>
      </c>
      <c r="AE15" s="31">
        <f t="shared" si="10"/>
        <v>8769.7077711961683</v>
      </c>
      <c r="AF15" s="59"/>
      <c r="AG15" s="62">
        <v>13020764.285659224</v>
      </c>
      <c r="AH15" s="62">
        <f t="shared" si="4"/>
        <v>16902313.953226361</v>
      </c>
      <c r="AI15" s="62">
        <f t="shared" si="5"/>
        <v>17326700.870137073</v>
      </c>
      <c r="AJ15" s="62">
        <f t="shared" si="6"/>
        <v>16679633.392504266</v>
      </c>
    </row>
    <row r="16" spans="1:36">
      <c r="A16" s="5" t="s">
        <v>23</v>
      </c>
      <c r="B16" s="65" t="s">
        <v>131</v>
      </c>
      <c r="C16" s="3" t="s">
        <v>46</v>
      </c>
      <c r="D16" s="3" t="s">
        <v>132</v>
      </c>
      <c r="E16" s="66">
        <v>2960</v>
      </c>
      <c r="F16" s="67">
        <v>0.68679999999999997</v>
      </c>
      <c r="G16" s="55"/>
      <c r="H16" s="68">
        <v>6754.7440174233852</v>
      </c>
      <c r="I16" s="69">
        <v>13731908.245852487</v>
      </c>
      <c r="J16" s="68">
        <f t="shared" si="0"/>
        <v>8892.6204989378875</v>
      </c>
      <c r="K16" s="69">
        <f t="shared" si="1"/>
        <v>18078057.205664802</v>
      </c>
      <c r="L16" s="59"/>
      <c r="M16" s="70">
        <v>1.3649969276408735</v>
      </c>
      <c r="N16" s="68">
        <f t="shared" si="7"/>
        <v>6514.7549557543825</v>
      </c>
      <c r="O16" s="59"/>
      <c r="P16" s="68">
        <f t="shared" si="2"/>
        <v>7013.1362702967108</v>
      </c>
      <c r="Q16" s="59"/>
      <c r="R16" s="71">
        <v>5043.1828973717911</v>
      </c>
      <c r="S16" s="71">
        <v>6883.9291604434939</v>
      </c>
      <c r="T16" s="59"/>
      <c r="U16" s="71">
        <v>6763.9456130255467</v>
      </c>
      <c r="V16" s="72">
        <v>1.3393867905255203</v>
      </c>
      <c r="W16" s="71">
        <v>9059.5394059194605</v>
      </c>
      <c r="X16" s="59"/>
      <c r="Y16" s="71">
        <f t="shared" si="3"/>
        <v>6888.5409416611292</v>
      </c>
      <c r="Z16" s="72">
        <f>VLOOKUP(B16,'WI_IME Rate Modifier'!$A$7:$N$35,14,FALSE)</f>
        <v>1.3119337446898067</v>
      </c>
      <c r="AA16" s="71">
        <f t="shared" si="8"/>
        <v>9037.3093130425332</v>
      </c>
      <c r="AB16" s="59"/>
      <c r="AC16" s="71">
        <f t="shared" si="9"/>
        <v>7013.1362702967108</v>
      </c>
      <c r="AD16" s="72">
        <v>1.3649969276408735</v>
      </c>
      <c r="AE16" s="71">
        <f t="shared" si="10"/>
        <v>9572.909462081785</v>
      </c>
      <c r="AF16" s="59"/>
      <c r="AG16" s="73">
        <v>13994532.340282071</v>
      </c>
      <c r="AH16" s="73">
        <f t="shared" si="4"/>
        <v>18417391.325397037</v>
      </c>
      <c r="AI16" s="73">
        <f t="shared" si="5"/>
        <v>18372199.147144929</v>
      </c>
      <c r="AJ16" s="74">
        <f t="shared" si="6"/>
        <v>19461035.686930999</v>
      </c>
    </row>
    <row r="17" spans="1:36">
      <c r="A17" s="5" t="s">
        <v>12</v>
      </c>
      <c r="B17" s="34" t="s">
        <v>133</v>
      </c>
      <c r="C17" s="1" t="s">
        <v>38</v>
      </c>
      <c r="D17" s="1" t="s">
        <v>134</v>
      </c>
      <c r="E17" s="53">
        <v>2545</v>
      </c>
      <c r="F17" s="63">
        <v>0.72140000000000004</v>
      </c>
      <c r="G17" s="55"/>
      <c r="H17" s="56">
        <v>7141.6929655130371</v>
      </c>
      <c r="I17" s="57">
        <v>13111884.042042213</v>
      </c>
      <c r="J17" s="56">
        <f t="shared" si="0"/>
        <v>9402.0387890979127</v>
      </c>
      <c r="K17" s="57">
        <f t="shared" si="1"/>
        <v>17261795.341348574</v>
      </c>
      <c r="L17" s="59"/>
      <c r="M17" s="11">
        <v>1.1213482576398275</v>
      </c>
      <c r="N17" s="56">
        <f t="shared" si="7"/>
        <v>8384.5841156314618</v>
      </c>
      <c r="O17" s="59"/>
      <c r="P17" s="56">
        <f t="shared" si="2"/>
        <v>7013.1362702967108</v>
      </c>
      <c r="Q17" s="59"/>
      <c r="R17" s="31">
        <v>6108.4102957066261</v>
      </c>
      <c r="S17" s="31">
        <v>6849.6552420398084</v>
      </c>
      <c r="T17" s="59"/>
      <c r="U17" s="31">
        <v>7698.8601929640863</v>
      </c>
      <c r="V17" s="60">
        <v>1.1471138197315915</v>
      </c>
      <c r="W17" s="31">
        <v>8831.4689235305304</v>
      </c>
      <c r="X17" s="59"/>
      <c r="Y17" s="31">
        <f t="shared" si="3"/>
        <v>7355.9982316303995</v>
      </c>
      <c r="Z17" s="60">
        <f>VLOOKUP(B17,'WI_IME Rate Modifier'!$A$7:$N$35,14,FALSE)</f>
        <v>1.1784308581135172</v>
      </c>
      <c r="AA17" s="31">
        <f t="shared" si="8"/>
        <v>8668.5353083817263</v>
      </c>
      <c r="AB17" s="59"/>
      <c r="AC17" s="75">
        <f t="shared" si="9"/>
        <v>7013.1362702967108</v>
      </c>
      <c r="AD17" s="64">
        <v>1.1213482576398275</v>
      </c>
      <c r="AE17" s="31">
        <f t="shared" si="10"/>
        <v>7864.1681372878948</v>
      </c>
      <c r="AF17" s="59"/>
      <c r="AG17" s="62">
        <v>12575713.587141132</v>
      </c>
      <c r="AH17" s="62">
        <f t="shared" si="4"/>
        <v>16214250.179251883</v>
      </c>
      <c r="AI17" s="62">
        <f t="shared" si="5"/>
        <v>15915110.09038244</v>
      </c>
      <c r="AJ17" s="62">
        <f t="shared" si="6"/>
        <v>14438321.725839498</v>
      </c>
    </row>
    <row r="18" spans="1:36">
      <c r="A18" s="5" t="s">
        <v>11</v>
      </c>
      <c r="B18" s="34" t="s">
        <v>135</v>
      </c>
      <c r="C18" s="1" t="s">
        <v>37</v>
      </c>
      <c r="D18" s="1" t="s">
        <v>136</v>
      </c>
      <c r="E18" s="53">
        <v>355</v>
      </c>
      <c r="F18" s="63">
        <v>0.52129999999999999</v>
      </c>
      <c r="G18" s="55"/>
      <c r="H18" s="56">
        <v>5018.2371598418731</v>
      </c>
      <c r="I18" s="57">
        <v>928682.49615607678</v>
      </c>
      <c r="J18" s="56">
        <f t="shared" si="0"/>
        <v>6606.5092209318263</v>
      </c>
      <c r="K18" s="57">
        <f t="shared" si="1"/>
        <v>1222610.5061894751</v>
      </c>
      <c r="L18" s="59"/>
      <c r="M18" s="11">
        <v>1.1182504</v>
      </c>
      <c r="N18" s="56">
        <f t="shared" si="7"/>
        <v>5907.8979278092156</v>
      </c>
      <c r="O18" s="59"/>
      <c r="P18" s="56">
        <f t="shared" si="2"/>
        <v>7013.1362702967108</v>
      </c>
      <c r="Q18" s="59"/>
      <c r="R18" s="31">
        <v>4697.4610812237661</v>
      </c>
      <c r="S18" s="31">
        <v>5252.9377330629086</v>
      </c>
      <c r="T18" s="59"/>
      <c r="U18" s="31">
        <v>6460.5170990529632</v>
      </c>
      <c r="V18" s="60">
        <v>1.1067529</v>
      </c>
      <c r="W18" s="31">
        <v>7150.1960348764542</v>
      </c>
      <c r="X18" s="59"/>
      <c r="Y18" s="31">
        <f t="shared" si="3"/>
        <v>6736.8266846748375</v>
      </c>
      <c r="Z18" s="60">
        <f>VLOOKUP(B18,'WI_IME Rate Modifier'!$A$7:$N$35,14,FALSE)</f>
        <v>1.1758725000000001</v>
      </c>
      <c r="AA18" s="31">
        <f t="shared" si="8"/>
        <v>7921.6492357753132</v>
      </c>
      <c r="AB18" s="59"/>
      <c r="AC18" s="61">
        <f t="shared" si="9"/>
        <v>7013.1362702967108</v>
      </c>
      <c r="AD18" s="64">
        <v>1.1182504</v>
      </c>
      <c r="AE18" s="31">
        <f t="shared" si="10"/>
        <v>7842.4424395138049</v>
      </c>
      <c r="AF18" s="59"/>
      <c r="AG18" s="62">
        <v>972116.53628722136</v>
      </c>
      <c r="AH18" s="62">
        <f t="shared" si="4"/>
        <v>1323226.0035082889</v>
      </c>
      <c r="AI18" s="62">
        <f t="shared" si="5"/>
        <v>1465992.290046433</v>
      </c>
      <c r="AJ18" s="62">
        <f t="shared" si="6"/>
        <v>1451334.1615200839</v>
      </c>
    </row>
    <row r="19" spans="1:36">
      <c r="A19" s="6" t="s">
        <v>2</v>
      </c>
      <c r="B19" s="34" t="s">
        <v>137</v>
      </c>
      <c r="C19" s="1" t="s">
        <v>28</v>
      </c>
      <c r="D19" s="1" t="s">
        <v>138</v>
      </c>
      <c r="E19" s="53">
        <v>5650</v>
      </c>
      <c r="F19" s="63">
        <v>0.75949999999999995</v>
      </c>
      <c r="G19" s="55"/>
      <c r="H19" s="56">
        <v>9281.4436591934718</v>
      </c>
      <c r="I19" s="57">
        <v>39828298.994239546</v>
      </c>
      <c r="J19" s="56">
        <f t="shared" si="0"/>
        <v>12219.020577328205</v>
      </c>
      <c r="K19" s="57">
        <f t="shared" si="1"/>
        <v>52433955.625916362</v>
      </c>
      <c r="L19" s="59"/>
      <c r="M19" s="11">
        <v>1.4151430792577278</v>
      </c>
      <c r="N19" s="56">
        <f t="shared" si="7"/>
        <v>8634.4771468177896</v>
      </c>
      <c r="O19" s="59"/>
      <c r="P19" s="56">
        <f t="shared" si="2"/>
        <v>7013.1362702967108</v>
      </c>
      <c r="Q19" s="59"/>
      <c r="R19" s="31">
        <v>6250.7724479206372</v>
      </c>
      <c r="S19" s="31">
        <v>8845.7373696897757</v>
      </c>
      <c r="T19" s="59"/>
      <c r="U19" s="31">
        <v>7823.8067085572502</v>
      </c>
      <c r="V19" s="60">
        <v>1.3906001417469285</v>
      </c>
      <c r="W19" s="31">
        <v>10879.786717920282</v>
      </c>
      <c r="X19" s="59"/>
      <c r="Y19" s="31">
        <f t="shared" si="3"/>
        <v>7418.471489426981</v>
      </c>
      <c r="Z19" s="60">
        <f>VLOOKUP(B19,'WI_IME Rate Modifier'!$A$7:$N$35,14,FALSE)</f>
        <v>1.3702114938282624</v>
      </c>
      <c r="AA19" s="31">
        <f t="shared" si="8"/>
        <v>10164.874901450117</v>
      </c>
      <c r="AB19" s="59"/>
      <c r="AC19" s="61">
        <f t="shared" si="9"/>
        <v>7013.1362702967108</v>
      </c>
      <c r="AD19" s="64">
        <v>1.4151430792577278</v>
      </c>
      <c r="AE19" s="31">
        <f t="shared" si="10"/>
        <v>9924.5912568017429</v>
      </c>
      <c r="AF19" s="59"/>
      <c r="AG19" s="62">
        <v>37958607.057378523</v>
      </c>
      <c r="AH19" s="62">
        <f t="shared" si="4"/>
        <v>46687068.769271567</v>
      </c>
      <c r="AI19" s="62">
        <f t="shared" si="5"/>
        <v>43619257.055230208</v>
      </c>
      <c r="AJ19" s="62">
        <f t="shared" si="6"/>
        <v>42588157.88640622</v>
      </c>
    </row>
    <row r="20" spans="1:36">
      <c r="A20" s="5" t="s">
        <v>10</v>
      </c>
      <c r="B20" s="76" t="s">
        <v>139</v>
      </c>
      <c r="C20" s="4" t="s">
        <v>36</v>
      </c>
      <c r="D20" s="1" t="s">
        <v>140</v>
      </c>
      <c r="E20" s="53">
        <v>902</v>
      </c>
      <c r="F20" s="63">
        <v>0.67579999999999996</v>
      </c>
      <c r="G20" s="55"/>
      <c r="H20" s="56">
        <v>5641.369764112721</v>
      </c>
      <c r="I20" s="57">
        <v>3438818.7933018138</v>
      </c>
      <c r="J20" s="56">
        <f t="shared" si="0"/>
        <v>7426.863294454397</v>
      </c>
      <c r="K20" s="57">
        <f t="shared" si="1"/>
        <v>4527204.9413818382</v>
      </c>
      <c r="L20" s="59"/>
      <c r="M20" s="11">
        <v>1.1182504</v>
      </c>
      <c r="N20" s="56">
        <f t="shared" si="7"/>
        <v>6641.5029178209079</v>
      </c>
      <c r="O20" s="59"/>
      <c r="P20" s="56">
        <f t="shared" si="2"/>
        <v>7013.1362702967108</v>
      </c>
      <c r="Q20" s="59"/>
      <c r="R20" s="31">
        <v>5115.3902437826491</v>
      </c>
      <c r="S20" s="31">
        <v>5720.287186266045</v>
      </c>
      <c r="T20" s="59"/>
      <c r="U20" s="31">
        <v>6827.3195940588093</v>
      </c>
      <c r="V20" s="60">
        <v>1.1067529</v>
      </c>
      <c r="W20" s="31">
        <v>7556.1557599514099</v>
      </c>
      <c r="X20" s="59"/>
      <c r="Y20" s="31">
        <f t="shared" si="3"/>
        <v>6920.2279321777605</v>
      </c>
      <c r="Z20" s="60">
        <f>VLOOKUP(B20,'WI_IME Rate Modifier'!$A$7:$N$35,14,FALSE)</f>
        <v>1.1758725000000001</v>
      </c>
      <c r="AA20" s="31">
        <f t="shared" si="8"/>
        <v>8137.3057191796943</v>
      </c>
      <c r="AB20" s="59"/>
      <c r="AC20" s="61">
        <f t="shared" si="9"/>
        <v>7013.1362702967108</v>
      </c>
      <c r="AD20" s="64">
        <v>1.1182504</v>
      </c>
      <c r="AE20" s="31">
        <f t="shared" si="10"/>
        <v>7842.4424395138049</v>
      </c>
      <c r="AF20" s="59"/>
      <c r="AG20" s="62">
        <v>3486924.6125916908</v>
      </c>
      <c r="AH20" s="62">
        <f t="shared" si="4"/>
        <v>4606017.9564427966</v>
      </c>
      <c r="AI20" s="62">
        <f t="shared" si="5"/>
        <v>4960270.4669295168</v>
      </c>
      <c r="AJ20" s="62">
        <f t="shared" si="6"/>
        <v>4780530.1857623328</v>
      </c>
    </row>
    <row r="21" spans="1:36">
      <c r="A21" s="5" t="s">
        <v>18</v>
      </c>
      <c r="B21" s="65" t="s">
        <v>141</v>
      </c>
      <c r="C21" s="3" t="s">
        <v>339</v>
      </c>
      <c r="D21" s="3" t="s">
        <v>142</v>
      </c>
      <c r="E21" s="66">
        <v>217</v>
      </c>
      <c r="F21" s="67">
        <v>1.2676000000000001</v>
      </c>
      <c r="G21" s="55"/>
      <c r="H21" s="68">
        <v>5029.4087830744256</v>
      </c>
      <c r="I21" s="69">
        <v>1383435.4504332559</v>
      </c>
      <c r="J21" s="68">
        <f t="shared" si="0"/>
        <v>6621.2166629174817</v>
      </c>
      <c r="K21" s="69">
        <f t="shared" si="1"/>
        <v>1821292.7704953814</v>
      </c>
      <c r="L21" s="59"/>
      <c r="M21" s="70">
        <v>1.1257754552385275</v>
      </c>
      <c r="N21" s="68">
        <f t="shared" si="7"/>
        <v>5881.4718620016356</v>
      </c>
      <c r="O21" s="59"/>
      <c r="P21" s="68">
        <f t="shared" si="2"/>
        <v>7013.1362702967108</v>
      </c>
      <c r="Q21" s="59"/>
      <c r="R21" s="71">
        <v>4682.4063532665432</v>
      </c>
      <c r="S21" s="71">
        <v>5271.3381439604163</v>
      </c>
      <c r="T21" s="59"/>
      <c r="U21" s="71">
        <v>6447.3040661491732</v>
      </c>
      <c r="V21" s="72">
        <v>1.1134936194482736</v>
      </c>
      <c r="W21" s="71">
        <v>7179.0319403000149</v>
      </c>
      <c r="X21" s="59"/>
      <c r="Y21" s="71">
        <f t="shared" si="3"/>
        <v>6730.2201682229424</v>
      </c>
      <c r="Z21" s="72">
        <f>VLOOKUP(B21,'WI_IME Rate Modifier'!$A$7:$N$35,14,FALSE)</f>
        <v>1.1832220229959309</v>
      </c>
      <c r="AA21" s="71">
        <f t="shared" si="8"/>
        <v>7963.3447226527642</v>
      </c>
      <c r="AB21" s="59"/>
      <c r="AC21" s="71">
        <f t="shared" si="9"/>
        <v>7013.1362702967108</v>
      </c>
      <c r="AD21" s="72">
        <v>1.1257754552385275</v>
      </c>
      <c r="AE21" s="71">
        <f t="shared" si="10"/>
        <v>7895.2166773431081</v>
      </c>
      <c r="AF21" s="59"/>
      <c r="AG21" s="73">
        <v>1449982.7661886765</v>
      </c>
      <c r="AH21" s="73">
        <f t="shared" si="4"/>
        <v>1974730.5725927728</v>
      </c>
      <c r="AI21" s="73">
        <f t="shared" si="5"/>
        <v>2190470.8621843178</v>
      </c>
      <c r="AJ21" s="74">
        <f t="shared" si="6"/>
        <v>2171730.935263427</v>
      </c>
    </row>
    <row r="22" spans="1:36">
      <c r="A22" s="77"/>
      <c r="B22" s="34" t="s">
        <v>143</v>
      </c>
      <c r="C22" s="1" t="s">
        <v>144</v>
      </c>
      <c r="D22" s="1" t="s">
        <v>145</v>
      </c>
      <c r="E22" s="53">
        <v>69</v>
      </c>
      <c r="F22" s="63">
        <v>0.83309999999999995</v>
      </c>
      <c r="G22" s="55"/>
      <c r="H22" s="56">
        <v>8529.1280337443641</v>
      </c>
      <c r="I22" s="57">
        <v>490287.54297895764</v>
      </c>
      <c r="J22" s="56">
        <f t="shared" si="0"/>
        <v>11228.597056424456</v>
      </c>
      <c r="K22" s="57">
        <f t="shared" si="1"/>
        <v>645463.5503317978</v>
      </c>
      <c r="L22" s="59"/>
      <c r="M22" s="11">
        <v>1.2553596451727547</v>
      </c>
      <c r="N22" s="56">
        <f t="shared" si="7"/>
        <v>8944.5260564188738</v>
      </c>
      <c r="O22" s="59"/>
      <c r="P22" s="56">
        <f t="shared" si="2"/>
        <v>7013.1362702967108</v>
      </c>
      <c r="Q22" s="59"/>
      <c r="R22" s="31">
        <v>6427.4049448449159</v>
      </c>
      <c r="S22" s="31">
        <v>8068.7047909421226</v>
      </c>
      <c r="T22" s="59"/>
      <c r="U22" s="31">
        <v>7978.8311633577923</v>
      </c>
      <c r="V22" s="60">
        <v>1.2446827292798619</v>
      </c>
      <c r="W22" s="31">
        <v>9931.1133488713931</v>
      </c>
      <c r="X22" s="59"/>
      <c r="Y22" s="31">
        <f t="shared" si="3"/>
        <v>7495.9837168272516</v>
      </c>
      <c r="Z22" s="60">
        <f>VLOOKUP(B22,'WI_IME Rate Modifier'!$A$7:$N$35,14,FALSE)</f>
        <v>1.3301751858865936</v>
      </c>
      <c r="AA22" s="31">
        <f t="shared" si="8"/>
        <v>9970.9715339335671</v>
      </c>
      <c r="AB22" s="59"/>
      <c r="AC22" s="75">
        <f t="shared" si="9"/>
        <v>7013.1362702967108</v>
      </c>
      <c r="AD22" s="64">
        <v>1.2553596451727547</v>
      </c>
      <c r="AE22" s="31">
        <f t="shared" si="10"/>
        <v>8804.008259827855</v>
      </c>
      <c r="AF22" s="59"/>
      <c r="AG22" s="62">
        <v>463820.61933203787</v>
      </c>
      <c r="AH22" s="62">
        <f t="shared" si="4"/>
        <v>570879.12663518824</v>
      </c>
      <c r="AI22" s="62">
        <f t="shared" si="5"/>
        <v>573170.33055948373</v>
      </c>
      <c r="AJ22" s="62">
        <f t="shared" si="6"/>
        <v>506088.73040711845</v>
      </c>
    </row>
    <row r="23" spans="1:36">
      <c r="A23" s="5" t="s">
        <v>20</v>
      </c>
      <c r="B23" s="34" t="s">
        <v>146</v>
      </c>
      <c r="C23" s="1" t="s">
        <v>44</v>
      </c>
      <c r="D23" s="1" t="s">
        <v>147</v>
      </c>
      <c r="E23" s="53">
        <v>3091</v>
      </c>
      <c r="F23" s="63">
        <v>0.78159999999999996</v>
      </c>
      <c r="G23" s="55"/>
      <c r="H23" s="56">
        <v>6809.0032442626898</v>
      </c>
      <c r="I23" s="57">
        <v>16450045.248297285</v>
      </c>
      <c r="J23" s="56">
        <f t="shared" si="0"/>
        <v>8964.0527710718306</v>
      </c>
      <c r="K23" s="57">
        <f t="shared" si="1"/>
        <v>21656484.569383375</v>
      </c>
      <c r="L23" s="59"/>
      <c r="M23" s="11">
        <v>1.3132751907553242</v>
      </c>
      <c r="N23" s="56">
        <f t="shared" si="7"/>
        <v>6825.7230732548878</v>
      </c>
      <c r="O23" s="59"/>
      <c r="P23" s="56">
        <f t="shared" si="2"/>
        <v>7013.1362702967108</v>
      </c>
      <c r="Q23" s="59"/>
      <c r="R23" s="31">
        <v>5220.3390600192506</v>
      </c>
      <c r="S23" s="31">
        <v>6855.7417748542512</v>
      </c>
      <c r="T23" s="59"/>
      <c r="U23" s="31">
        <v>6919.4296717757989</v>
      </c>
      <c r="V23" s="60">
        <v>1.2993487818720093</v>
      </c>
      <c r="W23" s="31">
        <v>8990.7525152709222</v>
      </c>
      <c r="X23" s="59"/>
      <c r="Y23" s="31">
        <f t="shared" si="3"/>
        <v>6966.2829710362557</v>
      </c>
      <c r="Z23" s="60">
        <f>VLOOKUP(B23,'WI_IME Rate Modifier'!$A$7:$N$35,14,FALSE)</f>
        <v>1.3422484333367706</v>
      </c>
      <c r="AA23" s="31">
        <f t="shared" si="8"/>
        <v>9350.482404054037</v>
      </c>
      <c r="AB23" s="59"/>
      <c r="AC23" s="61">
        <f t="shared" si="9"/>
        <v>7013.1362702967108</v>
      </c>
      <c r="AD23" s="64">
        <v>1.3132751907553242</v>
      </c>
      <c r="AE23" s="31">
        <f t="shared" si="10"/>
        <v>9210.1778731669947</v>
      </c>
      <c r="AF23" s="59"/>
      <c r="AG23" s="62">
        <v>16562962.06085982</v>
      </c>
      <c r="AH23" s="62">
        <f t="shared" si="4"/>
        <v>21720989.164907411</v>
      </c>
      <c r="AI23" s="62">
        <f t="shared" si="5"/>
        <v>22590069.812303688</v>
      </c>
      <c r="AJ23" s="62">
        <f t="shared" si="6"/>
        <v>22251104.504337694</v>
      </c>
    </row>
    <row r="24" spans="1:36">
      <c r="A24" s="5" t="s">
        <v>14</v>
      </c>
      <c r="B24" s="34" t="s">
        <v>148</v>
      </c>
      <c r="C24" s="1" t="s">
        <v>40</v>
      </c>
      <c r="D24" s="1" t="s">
        <v>149</v>
      </c>
      <c r="E24" s="53">
        <v>1958</v>
      </c>
      <c r="F24" s="63">
        <v>0.6734</v>
      </c>
      <c r="G24" s="55"/>
      <c r="H24" s="56">
        <v>6715.5175378603353</v>
      </c>
      <c r="I24" s="57">
        <v>8854525.380570503</v>
      </c>
      <c r="J24" s="56">
        <f t="shared" si="0"/>
        <v>8840.9788385931315</v>
      </c>
      <c r="K24" s="57">
        <f t="shared" si="1"/>
        <v>11656982.663521068</v>
      </c>
      <c r="L24" s="59"/>
      <c r="M24" s="11">
        <v>1.1539552</v>
      </c>
      <c r="N24" s="56">
        <f t="shared" si="7"/>
        <v>7661.4576012943417</v>
      </c>
      <c r="O24" s="59"/>
      <c r="P24" s="56">
        <f t="shared" si="2"/>
        <v>7013.1362702967108</v>
      </c>
      <c r="Q24" s="59"/>
      <c r="R24" s="31">
        <v>5696.4506407481449</v>
      </c>
      <c r="S24" s="31">
        <v>6573.4488384346532</v>
      </c>
      <c r="T24" s="59"/>
      <c r="U24" s="31">
        <v>7337.2969357955262</v>
      </c>
      <c r="V24" s="60">
        <v>1.1288138000000001</v>
      </c>
      <c r="W24" s="31">
        <v>8282.4420358237039</v>
      </c>
      <c r="X24" s="59"/>
      <c r="Y24" s="31">
        <f t="shared" si="3"/>
        <v>7175.2166030461194</v>
      </c>
      <c r="Z24" s="60">
        <f>VLOOKUP(B24,'WI_IME Rate Modifier'!$A$7:$N$35,14,FALSE)</f>
        <v>1.1758725000000001</v>
      </c>
      <c r="AA24" s="31">
        <f t="shared" si="8"/>
        <v>8437.1398850653495</v>
      </c>
      <c r="AB24" s="59"/>
      <c r="AC24" s="61">
        <f t="shared" si="9"/>
        <v>7013.1362702967108</v>
      </c>
      <c r="AD24" s="64">
        <v>1.1539552</v>
      </c>
      <c r="AE24" s="31">
        <f t="shared" si="10"/>
        <v>8092.8450674174946</v>
      </c>
      <c r="AF24" s="59"/>
      <c r="AG24" s="62">
        <v>8667205.3567961119</v>
      </c>
      <c r="AH24" s="62">
        <f t="shared" si="4"/>
        <v>10920542.282236569</v>
      </c>
      <c r="AI24" s="62">
        <f t="shared" si="5"/>
        <v>11124514.057264687</v>
      </c>
      <c r="AJ24" s="62">
        <f t="shared" si="6"/>
        <v>10670555.418325126</v>
      </c>
    </row>
    <row r="25" spans="1:36">
      <c r="A25" s="5" t="s">
        <v>6</v>
      </c>
      <c r="B25" s="34" t="s">
        <v>150</v>
      </c>
      <c r="C25" s="1" t="s">
        <v>32</v>
      </c>
      <c r="D25" s="1" t="s">
        <v>151</v>
      </c>
      <c r="E25" s="53">
        <v>393</v>
      </c>
      <c r="F25" s="63">
        <v>0.75139999999999996</v>
      </c>
      <c r="G25" s="55"/>
      <c r="H25" s="56">
        <v>9070.3780631191239</v>
      </c>
      <c r="I25" s="57">
        <v>2678484.4561146894</v>
      </c>
      <c r="J25" s="56">
        <f t="shared" si="0"/>
        <v>11941.152720096326</v>
      </c>
      <c r="K25" s="57">
        <f t="shared" si="1"/>
        <v>3526224.7864749888</v>
      </c>
      <c r="L25" s="59"/>
      <c r="M25" s="11">
        <v>1.3066858014155609</v>
      </c>
      <c r="N25" s="56">
        <f t="shared" si="7"/>
        <v>9138.5034620872266</v>
      </c>
      <c r="O25" s="59"/>
      <c r="P25" s="56">
        <f t="shared" si="2"/>
        <v>7013.1362702967108</v>
      </c>
      <c r="Q25" s="59"/>
      <c r="R25" s="31">
        <v>6537.9123920543852</v>
      </c>
      <c r="S25" s="31">
        <v>8542.9972935963106</v>
      </c>
      <c r="T25" s="59"/>
      <c r="U25" s="31">
        <v>8075.8198661919687</v>
      </c>
      <c r="V25" s="60">
        <v>1.2785803428923477</v>
      </c>
      <c r="W25" s="31">
        <v>10325.58453365256</v>
      </c>
      <c r="X25" s="59"/>
      <c r="Y25" s="31">
        <f t="shared" si="3"/>
        <v>7544.4780682443397</v>
      </c>
      <c r="Z25" s="60">
        <f>VLOOKUP(B25,'WI_IME Rate Modifier'!$A$7:$N$35,14,FALSE)</f>
        <v>1.2659205032833378</v>
      </c>
      <c r="AA25" s="31">
        <f t="shared" si="8"/>
        <v>9550.7094731619782</v>
      </c>
      <c r="AB25" s="59"/>
      <c r="AC25" s="61">
        <f t="shared" si="9"/>
        <v>7013.1362702967108</v>
      </c>
      <c r="AD25" s="64">
        <v>1.3066858014155609</v>
      </c>
      <c r="AE25" s="31">
        <f t="shared" si="10"/>
        <v>9163.9655877891946</v>
      </c>
      <c r="AF25" s="59"/>
      <c r="AG25" s="62">
        <v>2522748.809398449</v>
      </c>
      <c r="AH25" s="62">
        <f t="shared" si="4"/>
        <v>3049147.1779045076</v>
      </c>
      <c r="AI25" s="62">
        <f t="shared" si="5"/>
        <v>2820326.4175666268</v>
      </c>
      <c r="AJ25" s="62">
        <f t="shared" si="6"/>
        <v>2706120.8708672663</v>
      </c>
    </row>
    <row r="26" spans="1:36">
      <c r="A26" s="5" t="s">
        <v>16</v>
      </c>
      <c r="B26" s="65" t="s">
        <v>152</v>
      </c>
      <c r="C26" s="3" t="s">
        <v>41</v>
      </c>
      <c r="D26" s="3" t="s">
        <v>153</v>
      </c>
      <c r="E26" s="66">
        <v>292</v>
      </c>
      <c r="F26" s="67">
        <v>0.77110000000000001</v>
      </c>
      <c r="G26" s="55"/>
      <c r="H26" s="68">
        <v>5128.3991174885405</v>
      </c>
      <c r="I26" s="69">
        <v>1154716.4993726609</v>
      </c>
      <c r="J26" s="68">
        <f t="shared" si="0"/>
        <v>6751.5374381736638</v>
      </c>
      <c r="K26" s="69">
        <f t="shared" si="1"/>
        <v>1520184.271424108</v>
      </c>
      <c r="L26" s="59"/>
      <c r="M26" s="70">
        <v>1.1539552</v>
      </c>
      <c r="N26" s="68">
        <f t="shared" si="7"/>
        <v>5850.7795087484019</v>
      </c>
      <c r="O26" s="59"/>
      <c r="P26" s="68">
        <f t="shared" si="2"/>
        <v>7013.1362702967108</v>
      </c>
      <c r="Q26" s="59"/>
      <c r="R26" s="71">
        <v>4664.9211539198468</v>
      </c>
      <c r="S26" s="71">
        <v>5383.1100231558075</v>
      </c>
      <c r="T26" s="59"/>
      <c r="U26" s="71">
        <v>6431.9578895225568</v>
      </c>
      <c r="V26" s="72">
        <v>1.1288138000000001</v>
      </c>
      <c r="W26" s="71">
        <v>7260.4828267119383</v>
      </c>
      <c r="X26" s="59"/>
      <c r="Y26" s="71">
        <f t="shared" si="3"/>
        <v>6722.5470799096338</v>
      </c>
      <c r="Z26" s="72">
        <f>VLOOKUP(B26,'WI_IME Rate Modifier'!$A$7:$N$35,14,FALSE)</f>
        <v>1.1758725000000001</v>
      </c>
      <c r="AA26" s="71">
        <f t="shared" si="8"/>
        <v>7904.8582412210417</v>
      </c>
      <c r="AB26" s="59"/>
      <c r="AC26" s="71">
        <f t="shared" si="9"/>
        <v>7013.1362702967108</v>
      </c>
      <c r="AD26" s="72">
        <v>1.1539552</v>
      </c>
      <c r="AE26" s="71">
        <f t="shared" si="10"/>
        <v>8092.8450674174946</v>
      </c>
      <c r="AF26" s="59"/>
      <c r="AG26" s="73">
        <v>1212067.5125457894</v>
      </c>
      <c r="AH26" s="73">
        <f t="shared" si="4"/>
        <v>1634779.0258418522</v>
      </c>
      <c r="AI26" s="73">
        <f t="shared" si="5"/>
        <v>1779867.3674232191</v>
      </c>
      <c r="AJ26" s="74">
        <f t="shared" si="6"/>
        <v>1822194.706793804</v>
      </c>
    </row>
    <row r="27" spans="1:36">
      <c r="A27" s="5" t="s">
        <v>15</v>
      </c>
      <c r="B27" s="34" t="s">
        <v>154</v>
      </c>
      <c r="C27" s="1" t="s">
        <v>39</v>
      </c>
      <c r="D27" s="1" t="s">
        <v>155</v>
      </c>
      <c r="E27" s="53">
        <v>1817</v>
      </c>
      <c r="F27" s="63">
        <v>0.72570000000000001</v>
      </c>
      <c r="G27" s="55"/>
      <c r="H27" s="56">
        <v>7055.895720380865</v>
      </c>
      <c r="I27" s="57">
        <v>9303882.2236174755</v>
      </c>
      <c r="J27" s="56">
        <f t="shared" si="0"/>
        <v>9289.086715881409</v>
      </c>
      <c r="K27" s="57">
        <f t="shared" si="1"/>
        <v>12248560.947392406</v>
      </c>
      <c r="L27" s="59"/>
      <c r="M27" s="11">
        <v>1.1811886092899413</v>
      </c>
      <c r="N27" s="56">
        <f t="shared" si="7"/>
        <v>7864.1858233508046</v>
      </c>
      <c r="O27" s="59"/>
      <c r="P27" s="56">
        <f t="shared" si="2"/>
        <v>7013.1362702967108</v>
      </c>
      <c r="Q27" s="59"/>
      <c r="R27" s="31">
        <v>5811.9433612512576</v>
      </c>
      <c r="S27" s="31">
        <v>6865.0012961482798</v>
      </c>
      <c r="T27" s="59"/>
      <c r="U27" s="31">
        <v>7438.6610468237577</v>
      </c>
      <c r="V27" s="60">
        <v>1.1716537412149881</v>
      </c>
      <c r="W27" s="31">
        <v>8715.535045141256</v>
      </c>
      <c r="X27" s="59"/>
      <c r="Y27" s="31">
        <f t="shared" si="3"/>
        <v>7225.8986585602343</v>
      </c>
      <c r="Z27" s="60">
        <f>VLOOKUP(B27,'WI_IME Rate Modifier'!$A$7:$N$35,14,FALSE)</f>
        <v>1.2456175244003442</v>
      </c>
      <c r="AA27" s="31">
        <f t="shared" si="8"/>
        <v>9000.705998643567</v>
      </c>
      <c r="AB27" s="59"/>
      <c r="AC27" s="75">
        <f t="shared" si="9"/>
        <v>7013.1362702967108</v>
      </c>
      <c r="AD27" s="64">
        <v>1.1811886092899413</v>
      </c>
      <c r="AE27" s="31">
        <f t="shared" si="10"/>
        <v>8283.8366778726177</v>
      </c>
      <c r="AF27" s="59"/>
      <c r="AG27" s="62">
        <v>9052169.4275971036</v>
      </c>
      <c r="AH27" s="62">
        <f t="shared" si="4"/>
        <v>11492277.492364621</v>
      </c>
      <c r="AI27" s="62">
        <f t="shared" si="5"/>
        <v>11868303.027622811</v>
      </c>
      <c r="AJ27" s="62">
        <f t="shared" si="6"/>
        <v>10923041.363549132</v>
      </c>
    </row>
    <row r="28" spans="1:36">
      <c r="A28" s="6" t="s">
        <v>25</v>
      </c>
      <c r="B28" s="34" t="s">
        <v>156</v>
      </c>
      <c r="C28" s="1" t="s">
        <v>47</v>
      </c>
      <c r="D28" s="1" t="s">
        <v>157</v>
      </c>
      <c r="E28" s="53">
        <v>430</v>
      </c>
      <c r="F28" s="63">
        <v>0.78039999999999998</v>
      </c>
      <c r="G28" s="55"/>
      <c r="H28" s="56">
        <v>7170.7792779453976</v>
      </c>
      <c r="I28" s="57">
        <v>2406312.7438586932</v>
      </c>
      <c r="J28" s="56">
        <f t="shared" si="0"/>
        <v>9440.3309194151152</v>
      </c>
      <c r="K28" s="57">
        <f t="shared" si="1"/>
        <v>3167910.7272899691</v>
      </c>
      <c r="L28" s="59"/>
      <c r="M28" s="11">
        <v>1.1182504</v>
      </c>
      <c r="N28" s="56">
        <f t="shared" si="7"/>
        <v>8442.0545876085671</v>
      </c>
      <c r="O28" s="59"/>
      <c r="P28" s="56">
        <f t="shared" si="2"/>
        <v>7013.1362702967108</v>
      </c>
      <c r="Q28" s="59"/>
      <c r="R28" s="31">
        <v>6141.1507848694291</v>
      </c>
      <c r="S28" s="31">
        <v>6867.3443216405531</v>
      </c>
      <c r="T28" s="59"/>
      <c r="U28" s="31">
        <v>7727.5954289526389</v>
      </c>
      <c r="V28" s="60">
        <v>1.1262866999999999</v>
      </c>
      <c r="W28" s="31">
        <v>8703.4879546101511</v>
      </c>
      <c r="X28" s="59"/>
      <c r="Y28" s="31">
        <f t="shared" si="3"/>
        <v>7370.3658496246753</v>
      </c>
      <c r="Z28" s="60">
        <f>VLOOKUP(B28,'WI_IME Rate Modifier'!$A$7:$N$35,14,FALSE)</f>
        <v>1.1758725000000001</v>
      </c>
      <c r="AA28" s="31">
        <f t="shared" si="8"/>
        <v>8666.6105175127923</v>
      </c>
      <c r="AB28" s="59"/>
      <c r="AC28" s="61">
        <f t="shared" si="9"/>
        <v>7013.1362702967108</v>
      </c>
      <c r="AD28" s="64">
        <v>1.1182504</v>
      </c>
      <c r="AE28" s="31">
        <f t="shared" si="10"/>
        <v>7842.4424395138049</v>
      </c>
      <c r="AF28" s="59"/>
      <c r="AG28" s="62">
        <v>2304488.4687015633</v>
      </c>
      <c r="AH28" s="62">
        <f t="shared" si="4"/>
        <v>2920646.8599044373</v>
      </c>
      <c r="AI28" s="62">
        <f t="shared" si="5"/>
        <v>2908271.8245828026</v>
      </c>
      <c r="AJ28" s="62">
        <f t="shared" si="6"/>
        <v>2631704.0943125268</v>
      </c>
    </row>
    <row r="29" spans="1:36">
      <c r="A29" s="3" t="s">
        <v>26</v>
      </c>
      <c r="B29" s="34" t="s">
        <v>158</v>
      </c>
      <c r="C29" s="1" t="s">
        <v>48</v>
      </c>
      <c r="D29" s="1" t="s">
        <v>159</v>
      </c>
      <c r="E29" s="53">
        <v>18135</v>
      </c>
      <c r="F29" s="63">
        <v>1.0448</v>
      </c>
      <c r="G29" s="55"/>
      <c r="H29" s="56">
        <v>6883.1283586746367</v>
      </c>
      <c r="I29" s="57">
        <v>130417716.65331303</v>
      </c>
      <c r="J29" s="56">
        <f t="shared" si="0"/>
        <v>9061.6384841951585</v>
      </c>
      <c r="K29" s="57">
        <f t="shared" si="1"/>
        <v>171694923.97408658</v>
      </c>
      <c r="L29" s="59"/>
      <c r="M29" s="11">
        <v>1.475201477809533</v>
      </c>
      <c r="N29" s="56">
        <f t="shared" si="7"/>
        <v>6142.6446627822115</v>
      </c>
      <c r="O29" s="59"/>
      <c r="P29" s="56">
        <f t="shared" si="2"/>
        <v>7013.1362702967108</v>
      </c>
      <c r="Q29" s="59"/>
      <c r="R29" s="31">
        <v>4831.1945041100162</v>
      </c>
      <c r="S29" s="31">
        <v>7126.9852720483896</v>
      </c>
      <c r="T29" s="59"/>
      <c r="U29" s="31">
        <v>6577.8904665394612</v>
      </c>
      <c r="V29" s="60">
        <v>1.424904000513511</v>
      </c>
      <c r="W29" s="31">
        <v>9372.8624407117641</v>
      </c>
      <c r="X29" s="59"/>
      <c r="Y29" s="31">
        <f t="shared" si="3"/>
        <v>6795.5133684180864</v>
      </c>
      <c r="Z29" s="60">
        <f>VLOOKUP(B29,'WI_IME Rate Modifier'!$A$7:$N$35,14,FALSE)</f>
        <v>1.4892620582259415</v>
      </c>
      <c r="AA29" s="31">
        <f t="shared" si="8"/>
        <v>10120.30022575222</v>
      </c>
      <c r="AB29" s="59"/>
      <c r="AC29" s="61">
        <f t="shared" si="9"/>
        <v>7013.1362702967108</v>
      </c>
      <c r="AD29" s="64">
        <v>1.475201477809533</v>
      </c>
      <c r="AE29" s="31">
        <f t="shared" si="10"/>
        <v>10345.788990021345</v>
      </c>
      <c r="AF29" s="59"/>
      <c r="AG29" s="62">
        <v>135038182.83890271</v>
      </c>
      <c r="AH29" s="62">
        <f t="shared" si="4"/>
        <v>177591823.70653924</v>
      </c>
      <c r="AI29" s="62">
        <f t="shared" si="5"/>
        <v>191753862.27182844</v>
      </c>
      <c r="AJ29" s="62">
        <f t="shared" si="6"/>
        <v>196026298.90740195</v>
      </c>
    </row>
    <row r="30" spans="1:36">
      <c r="A30" s="6" t="s">
        <v>1</v>
      </c>
      <c r="B30" s="34" t="s">
        <v>160</v>
      </c>
      <c r="C30" s="1" t="s">
        <v>27</v>
      </c>
      <c r="D30" s="1" t="s">
        <v>161</v>
      </c>
      <c r="E30" s="53">
        <v>2228</v>
      </c>
      <c r="F30" s="63">
        <v>0.76559999999999995</v>
      </c>
      <c r="G30" s="55"/>
      <c r="H30" s="56">
        <v>5906.0659254536404</v>
      </c>
      <c r="I30" s="57">
        <v>10074312.11359084</v>
      </c>
      <c r="J30" s="56">
        <f t="shared" si="0"/>
        <v>7775.3357908597172</v>
      </c>
      <c r="K30" s="57">
        <f t="shared" si="1"/>
        <v>13262831.897542339</v>
      </c>
      <c r="L30" s="59"/>
      <c r="M30" s="11">
        <v>1.1187375999999998</v>
      </c>
      <c r="N30" s="56">
        <f t="shared" si="7"/>
        <v>6950.0978521323668</v>
      </c>
      <c r="O30" s="59"/>
      <c r="P30" s="56">
        <f t="shared" si="2"/>
        <v>7013.1362702967108</v>
      </c>
      <c r="Q30" s="59"/>
      <c r="R30" s="31">
        <v>5291.1944220838977</v>
      </c>
      <c r="S30" s="31">
        <v>5919.4581488955255</v>
      </c>
      <c r="T30" s="59"/>
      <c r="U30" s="31">
        <v>6981.6170612145388</v>
      </c>
      <c r="V30" s="60">
        <v>1.1444544999999997</v>
      </c>
      <c r="W30" s="31">
        <v>7990.1430629837523</v>
      </c>
      <c r="X30" s="59"/>
      <c r="Y30" s="31">
        <f t="shared" si="3"/>
        <v>6997.3766657556253</v>
      </c>
      <c r="Z30" s="60">
        <f>VLOOKUP(B30,'WI_IME Rate Modifier'!$A$7:$N$35,14,FALSE)</f>
        <v>1.1758725000000001</v>
      </c>
      <c r="AA30" s="31">
        <f t="shared" si="8"/>
        <v>8228.0227934037321</v>
      </c>
      <c r="AB30" s="59"/>
      <c r="AC30" s="61">
        <f t="shared" si="9"/>
        <v>7013.1362702967108</v>
      </c>
      <c r="AD30" s="64">
        <v>1.1187375999999998</v>
      </c>
      <c r="AE30" s="31">
        <f t="shared" si="10"/>
        <v>7845.8592395046917</v>
      </c>
      <c r="AF30" s="59"/>
      <c r="AG30" s="62">
        <v>10097155.989793954</v>
      </c>
      <c r="AH30" s="62">
        <f t="shared" si="4"/>
        <v>13629240.862657361</v>
      </c>
      <c r="AI30" s="62">
        <f t="shared" si="5"/>
        <v>14035005.83040341</v>
      </c>
      <c r="AJ30" s="62">
        <f t="shared" si="6"/>
        <v>13383127.749627955</v>
      </c>
    </row>
    <row r="31" spans="1:36">
      <c r="A31" s="5" t="s">
        <v>8</v>
      </c>
      <c r="B31" s="65" t="s">
        <v>162</v>
      </c>
      <c r="C31" s="3" t="s">
        <v>34</v>
      </c>
      <c r="D31" s="3" t="s">
        <v>163</v>
      </c>
      <c r="E31" s="66">
        <v>7216</v>
      </c>
      <c r="F31" s="67">
        <v>1.0328999999999999</v>
      </c>
      <c r="G31" s="55"/>
      <c r="H31" s="68">
        <v>6567.6715249900435</v>
      </c>
      <c r="I31" s="69">
        <v>48951524.977458552</v>
      </c>
      <c r="J31" s="68">
        <f t="shared" si="0"/>
        <v>8646.339562649393</v>
      </c>
      <c r="K31" s="69">
        <f t="shared" si="1"/>
        <v>64444682.632824183</v>
      </c>
      <c r="L31" s="59"/>
      <c r="M31" s="70">
        <v>1.3035294848547438</v>
      </c>
      <c r="N31" s="68">
        <f t="shared" si="7"/>
        <v>6633.0218557448898</v>
      </c>
      <c r="O31" s="59"/>
      <c r="P31" s="68">
        <f t="shared" si="2"/>
        <v>7013.1362702967108</v>
      </c>
      <c r="Q31" s="59"/>
      <c r="R31" s="71">
        <v>5110.5586474613319</v>
      </c>
      <c r="S31" s="71">
        <v>6661.7638810452263</v>
      </c>
      <c r="T31" s="59"/>
      <c r="U31" s="71">
        <v>6823.0790630208003</v>
      </c>
      <c r="V31" s="72">
        <v>1.2879538739807495</v>
      </c>
      <c r="W31" s="71">
        <v>8787.811111694582</v>
      </c>
      <c r="X31" s="59"/>
      <c r="Y31" s="71">
        <f t="shared" si="3"/>
        <v>6918.107666658756</v>
      </c>
      <c r="Z31" s="72">
        <f>VLOOKUP(B31,'WI_IME Rate Modifier'!$A$7:$N$35,14,FALSE)</f>
        <v>1.3446080009947676</v>
      </c>
      <c r="AA31" s="71">
        <f t="shared" si="8"/>
        <v>9302.1429203326061</v>
      </c>
      <c r="AB31" s="59"/>
      <c r="AC31" s="71">
        <f t="shared" si="9"/>
        <v>7013.1362702967108</v>
      </c>
      <c r="AD31" s="72">
        <v>1.3035294848547438</v>
      </c>
      <c r="AE31" s="71">
        <f t="shared" si="10"/>
        <v>9141.8299096359915</v>
      </c>
      <c r="AF31" s="59"/>
      <c r="AG31" s="73">
        <v>49652833.546271324</v>
      </c>
      <c r="AH31" s="73">
        <f t="shared" si="4"/>
        <v>65499127.581895508</v>
      </c>
      <c r="AI31" s="73">
        <f t="shared" si="5"/>
        <v>69332651.576121733</v>
      </c>
      <c r="AJ31" s="74">
        <f t="shared" si="6"/>
        <v>68137773.556192324</v>
      </c>
    </row>
    <row r="32" spans="1:36">
      <c r="A32" s="5" t="s">
        <v>13</v>
      </c>
      <c r="B32" s="34" t="s">
        <v>164</v>
      </c>
      <c r="C32" s="1" t="s">
        <v>340</v>
      </c>
      <c r="D32" s="1" t="s">
        <v>165</v>
      </c>
      <c r="E32" s="53">
        <v>1498</v>
      </c>
      <c r="F32" s="63">
        <v>0.64900000000000002</v>
      </c>
      <c r="G32" s="55"/>
      <c r="H32" s="56">
        <v>7860.3893197666894</v>
      </c>
      <c r="I32" s="57">
        <v>7641886.2174558146</v>
      </c>
      <c r="J32" s="56">
        <f t="shared" si="0"/>
        <v>10348.202539472846</v>
      </c>
      <c r="K32" s="57">
        <f t="shared" si="1"/>
        <v>10060543.20528058</v>
      </c>
      <c r="L32" s="59"/>
      <c r="M32" s="11">
        <v>1.2000393802775866</v>
      </c>
      <c r="N32" s="56">
        <f t="shared" si="7"/>
        <v>8623.2191289248822</v>
      </c>
      <c r="O32" s="59"/>
      <c r="P32" s="56">
        <f t="shared" si="2"/>
        <v>7013.1362702967108</v>
      </c>
      <c r="Q32" s="59"/>
      <c r="R32" s="31">
        <v>6244.3588410693801</v>
      </c>
      <c r="S32" s="31">
        <v>7493.4765138677676</v>
      </c>
      <c r="T32" s="59"/>
      <c r="U32" s="31">
        <v>7818.1776996107965</v>
      </c>
      <c r="V32" s="60">
        <v>1.1977300164818139</v>
      </c>
      <c r="W32" s="31">
        <v>9364.0661050125891</v>
      </c>
      <c r="X32" s="59"/>
      <c r="Y32" s="31">
        <f t="shared" si="3"/>
        <v>7415.6569849537536</v>
      </c>
      <c r="Z32" s="60">
        <f>VLOOKUP(B32,'WI_IME Rate Modifier'!$A$7:$N$35,14,FALSE)</f>
        <v>1.2968498507713082</v>
      </c>
      <c r="AA32" s="31">
        <f t="shared" si="8"/>
        <v>9616.9936543084841</v>
      </c>
      <c r="AB32" s="59"/>
      <c r="AC32" s="75">
        <f t="shared" si="9"/>
        <v>7013.1362702967108</v>
      </c>
      <c r="AD32" s="64">
        <v>1.2000393802775866</v>
      </c>
      <c r="AE32" s="31">
        <f t="shared" si="10"/>
        <v>8416.0397036091308</v>
      </c>
      <c r="AF32" s="59"/>
      <c r="AG32" s="62">
        <v>7285172.8537352718</v>
      </c>
      <c r="AH32" s="62">
        <f t="shared" si="4"/>
        <v>9103763.7954254504</v>
      </c>
      <c r="AI32" s="62">
        <f t="shared" si="5"/>
        <v>9349660.4647060186</v>
      </c>
      <c r="AJ32" s="62">
        <f t="shared" si="6"/>
        <v>8182090.6319282046</v>
      </c>
    </row>
    <row r="33" spans="1:36">
      <c r="A33" s="5" t="s">
        <v>21</v>
      </c>
      <c r="B33" s="34" t="s">
        <v>166</v>
      </c>
      <c r="C33" s="1" t="s">
        <v>45</v>
      </c>
      <c r="D33" s="1" t="s">
        <v>167</v>
      </c>
      <c r="E33" s="53">
        <v>2750</v>
      </c>
      <c r="F33" s="63">
        <v>0.8407</v>
      </c>
      <c r="G33" s="55"/>
      <c r="H33" s="56">
        <v>5924.4966272517058</v>
      </c>
      <c r="I33" s="57">
        <v>13696991.864958901</v>
      </c>
      <c r="J33" s="56">
        <f t="shared" si="0"/>
        <v>7799.5998097768706</v>
      </c>
      <c r="K33" s="57">
        <f t="shared" si="1"/>
        <v>18032089.790218394</v>
      </c>
      <c r="L33" s="59"/>
      <c r="M33" s="11">
        <v>1.3162802170226191</v>
      </c>
      <c r="N33" s="56">
        <f t="shared" si="7"/>
        <v>5925.4858569699536</v>
      </c>
      <c r="O33" s="59"/>
      <c r="P33" s="56">
        <f t="shared" si="2"/>
        <v>7013.1362702967108</v>
      </c>
      <c r="Q33" s="59"/>
      <c r="R33" s="31">
        <v>4707.4807902025386</v>
      </c>
      <c r="S33" s="31">
        <v>6196.3638361576077</v>
      </c>
      <c r="T33" s="59"/>
      <c r="U33" s="31">
        <v>6469.3110636333322</v>
      </c>
      <c r="V33" s="60">
        <v>1.3011211696456877</v>
      </c>
      <c r="W33" s="31">
        <v>8417.3575779163893</v>
      </c>
      <c r="X33" s="59"/>
      <c r="Y33" s="31">
        <f t="shared" si="3"/>
        <v>6741.2236669650219</v>
      </c>
      <c r="Z33" s="60">
        <f>VLOOKUP(B33,'WI_IME Rate Modifier'!$A$7:$N$35,14,FALSE)</f>
        <v>1.2845584154991743</v>
      </c>
      <c r="AA33" s="31">
        <f t="shared" si="8"/>
        <v>8659.4955921621222</v>
      </c>
      <c r="AB33" s="59"/>
      <c r="AC33" s="61">
        <f t="shared" si="9"/>
        <v>7013.1362702967108</v>
      </c>
      <c r="AD33" s="64">
        <v>1.3162802170226191</v>
      </c>
      <c r="AE33" s="31">
        <f t="shared" si="10"/>
        <v>9231.252531875356</v>
      </c>
      <c r="AF33" s="59"/>
      <c r="AG33" s="62">
        <v>14325528.461908678</v>
      </c>
      <c r="AH33" s="62">
        <f t="shared" si="4"/>
        <v>19460299.418324348</v>
      </c>
      <c r="AI33" s="62">
        <f t="shared" si="5"/>
        <v>20020104.346909415</v>
      </c>
      <c r="AJ33" s="62">
        <f t="shared" si="6"/>
        <v>21341963.509755936</v>
      </c>
    </row>
    <row r="34" spans="1:36">
      <c r="A34" s="6" t="s">
        <v>3</v>
      </c>
      <c r="B34" s="34" t="s">
        <v>168</v>
      </c>
      <c r="C34" s="1" t="s">
        <v>29</v>
      </c>
      <c r="D34" s="1" t="s">
        <v>169</v>
      </c>
      <c r="E34" s="53">
        <v>1157</v>
      </c>
      <c r="F34" s="63">
        <v>0.69730000000000003</v>
      </c>
      <c r="G34" s="55"/>
      <c r="H34" s="56">
        <v>5953.0971421090708</v>
      </c>
      <c r="I34" s="57">
        <v>4802816.4952319022</v>
      </c>
      <c r="J34" s="56">
        <f t="shared" si="0"/>
        <v>7837.2523875865918</v>
      </c>
      <c r="K34" s="57">
        <f t="shared" si="1"/>
        <v>6322907.9159727991</v>
      </c>
      <c r="L34" s="59"/>
      <c r="M34" s="11">
        <v>1.1182504</v>
      </c>
      <c r="N34" s="56">
        <f t="shared" si="7"/>
        <v>7008.4950451049172</v>
      </c>
      <c r="O34" s="59"/>
      <c r="P34" s="56">
        <f t="shared" si="2"/>
        <v>7013.1362702967108</v>
      </c>
      <c r="Q34" s="59"/>
      <c r="R34" s="31">
        <v>5324.4628571233307</v>
      </c>
      <c r="S34" s="31">
        <v>5954.0827197633071</v>
      </c>
      <c r="T34" s="59"/>
      <c r="U34" s="31">
        <v>7010.815657700814</v>
      </c>
      <c r="V34" s="60">
        <v>1.1067529</v>
      </c>
      <c r="W34" s="31">
        <v>7759.2405605257836</v>
      </c>
      <c r="X34" s="59"/>
      <c r="Y34" s="31">
        <f t="shared" si="3"/>
        <v>7011.9759639987624</v>
      </c>
      <c r="Z34" s="60">
        <f>VLOOKUP(B34,'WI_IME Rate Modifier'!$A$7:$N$35,14,FALSE)</f>
        <v>1.1758725000000001</v>
      </c>
      <c r="AA34" s="31">
        <f t="shared" si="8"/>
        <v>8245.1897067271348</v>
      </c>
      <c r="AB34" s="59"/>
      <c r="AC34" s="61">
        <f t="shared" si="9"/>
        <v>7013.1362702967108</v>
      </c>
      <c r="AD34" s="64">
        <v>1.1182504</v>
      </c>
      <c r="AE34" s="31">
        <f t="shared" si="10"/>
        <v>7842.4424395138049</v>
      </c>
      <c r="AF34" s="59"/>
      <c r="AG34" s="62">
        <v>4803611.6357280333</v>
      </c>
      <c r="AH34" s="62">
        <f t="shared" si="4"/>
        <v>6259969.8383828057</v>
      </c>
      <c r="AI34" s="62">
        <f t="shared" si="5"/>
        <v>6652021.9953534622</v>
      </c>
      <c r="AJ34" s="62">
        <f t="shared" si="6"/>
        <v>6327095.125825434</v>
      </c>
    </row>
    <row r="35" spans="1:36">
      <c r="A35" s="5" t="s">
        <v>7</v>
      </c>
      <c r="B35" s="34" t="s">
        <v>170</v>
      </c>
      <c r="C35" s="1" t="s">
        <v>33</v>
      </c>
      <c r="D35" s="1" t="s">
        <v>171</v>
      </c>
      <c r="E35" s="53">
        <v>1190</v>
      </c>
      <c r="F35" s="63">
        <v>0.60629999999999995</v>
      </c>
      <c r="G35" s="55"/>
      <c r="H35" s="56">
        <v>7667.4118697196564</v>
      </c>
      <c r="I35" s="57">
        <v>5532014.6617671223</v>
      </c>
      <c r="J35" s="56">
        <f t="shared" si="0"/>
        <v>10094.147726485928</v>
      </c>
      <c r="K35" s="57">
        <f t="shared" si="1"/>
        <v>7282897.3022164172</v>
      </c>
      <c r="L35" s="59"/>
      <c r="M35" s="11">
        <v>1.3132323690508387</v>
      </c>
      <c r="N35" s="56">
        <f t="shared" si="7"/>
        <v>7686.4901934922964</v>
      </c>
      <c r="O35" s="59"/>
      <c r="P35" s="56">
        <f t="shared" si="2"/>
        <v>7013.1362702967108</v>
      </c>
      <c r="Q35" s="59"/>
      <c r="R35" s="31">
        <v>5710.7115174275723</v>
      </c>
      <c r="S35" s="31">
        <v>7499.4912149973206</v>
      </c>
      <c r="T35" s="59"/>
      <c r="U35" s="31">
        <v>7349.8132318945036</v>
      </c>
      <c r="V35" s="60">
        <v>1.2705899284536266</v>
      </c>
      <c r="W35" s="31">
        <v>9338.5986684603558</v>
      </c>
      <c r="X35" s="59"/>
      <c r="Y35" s="31">
        <f t="shared" si="3"/>
        <v>7181.4747510956076</v>
      </c>
      <c r="Z35" s="60">
        <f>VLOOKUP(B35,'WI_IME Rate Modifier'!$A$7:$N$35,14,FALSE)</f>
        <v>1.3183884989474155</v>
      </c>
      <c r="AA35" s="31">
        <f t="shared" si="8"/>
        <v>9467.9737173257017</v>
      </c>
      <c r="AB35" s="59"/>
      <c r="AC35" s="61">
        <f t="shared" si="9"/>
        <v>7013.1362702967108</v>
      </c>
      <c r="AD35" s="64">
        <v>1.3132323690508387</v>
      </c>
      <c r="AE35" s="31">
        <f t="shared" si="10"/>
        <v>9209.8775587181135</v>
      </c>
      <c r="AF35" s="59"/>
      <c r="AG35" s="62">
        <v>5410860.4131469214</v>
      </c>
      <c r="AH35" s="62">
        <f t="shared" si="4"/>
        <v>6737770.9234981406</v>
      </c>
      <c r="AI35" s="62">
        <f t="shared" si="5"/>
        <v>6831114.6331293406</v>
      </c>
      <c r="AJ35" s="62">
        <f t="shared" si="6"/>
        <v>6644899.0289824428</v>
      </c>
    </row>
    <row r="36" spans="1:36">
      <c r="A36" s="4" t="s">
        <v>4</v>
      </c>
      <c r="B36" s="65" t="s">
        <v>172</v>
      </c>
      <c r="C36" s="3" t="s">
        <v>30</v>
      </c>
      <c r="D36" s="3" t="s">
        <v>173</v>
      </c>
      <c r="E36" s="66">
        <v>3081</v>
      </c>
      <c r="F36" s="67">
        <v>0.69269999999999998</v>
      </c>
      <c r="G36" s="55"/>
      <c r="H36" s="68">
        <v>8529.1280337443641</v>
      </c>
      <c r="I36" s="69">
        <v>18202939.253031116</v>
      </c>
      <c r="J36" s="68">
        <f t="shared" si="0"/>
        <v>11228.597056424456</v>
      </c>
      <c r="K36" s="69">
        <f t="shared" si="1"/>
        <v>23964169.526615467</v>
      </c>
      <c r="L36" s="59"/>
      <c r="M36" s="70">
        <v>1.3784983423153099</v>
      </c>
      <c r="N36" s="68">
        <f t="shared" si="7"/>
        <v>8145.5281531677683</v>
      </c>
      <c r="O36" s="59"/>
      <c r="P36" s="68">
        <f t="shared" si="2"/>
        <v>7013.1362702967108</v>
      </c>
      <c r="Q36" s="59"/>
      <c r="R36" s="71">
        <v>5972.2219388150415</v>
      </c>
      <c r="S36" s="71">
        <v>8232.6980425956608</v>
      </c>
      <c r="T36" s="59"/>
      <c r="U36" s="71">
        <v>7579.3322117322396</v>
      </c>
      <c r="V36" s="72">
        <v>1.3540629229107761</v>
      </c>
      <c r="W36" s="71">
        <v>10262.892728329954</v>
      </c>
      <c r="X36" s="59"/>
      <c r="Y36" s="71">
        <f t="shared" si="3"/>
        <v>7296.2342410144756</v>
      </c>
      <c r="Z36" s="72">
        <f>VLOOKUP(B36,'WI_IME Rate Modifier'!$A$7:$N$35,14,FALSE)</f>
        <v>1.3367425067837695</v>
      </c>
      <c r="AA36" s="71">
        <f t="shared" si="8"/>
        <v>9753.1864494152633</v>
      </c>
      <c r="AB36" s="59"/>
      <c r="AC36" s="71">
        <f t="shared" si="9"/>
        <v>7013.1362702967108</v>
      </c>
      <c r="AD36" s="72">
        <v>1.3784983423153099</v>
      </c>
      <c r="AE36" s="71">
        <f t="shared" si="10"/>
        <v>9667.5967230353908</v>
      </c>
      <c r="AF36" s="59"/>
      <c r="AG36" s="73">
        <v>17570295.786980629</v>
      </c>
      <c r="AH36" s="73">
        <f t="shared" si="4"/>
        <v>21903154.947968528</v>
      </c>
      <c r="AI36" s="73">
        <f t="shared" si="5"/>
        <v>20815335.373064164</v>
      </c>
      <c r="AJ36" s="74">
        <f t="shared" si="6"/>
        <v>20632669.034393623</v>
      </c>
    </row>
    <row r="37" spans="1:36">
      <c r="A37" s="5" t="s">
        <v>17</v>
      </c>
      <c r="B37" s="34" t="s">
        <v>174</v>
      </c>
      <c r="C37" s="1" t="s">
        <v>42</v>
      </c>
      <c r="D37" s="1" t="s">
        <v>175</v>
      </c>
      <c r="E37" s="53">
        <v>2227</v>
      </c>
      <c r="F37" s="63">
        <v>0.63949999999999996</v>
      </c>
      <c r="G37" s="55"/>
      <c r="H37" s="56">
        <v>10170.913592149825</v>
      </c>
      <c r="I37" s="57">
        <v>14485074.412334442</v>
      </c>
      <c r="J37" s="56">
        <f t="shared" si="0"/>
        <v>13390.007744065246</v>
      </c>
      <c r="K37" s="57">
        <f t="shared" si="1"/>
        <v>19069600.463838294</v>
      </c>
      <c r="L37" s="59"/>
      <c r="M37" s="11">
        <v>1.3568324506522391</v>
      </c>
      <c r="N37" s="56">
        <f t="shared" si="7"/>
        <v>9868.5786425793194</v>
      </c>
      <c r="O37" s="59"/>
      <c r="P37" s="56">
        <f t="shared" si="2"/>
        <v>7013.1362702967108</v>
      </c>
      <c r="Q37" s="59"/>
      <c r="R37" s="31">
        <v>6953.8306490760851</v>
      </c>
      <c r="S37" s="31">
        <v>9435.1830810065549</v>
      </c>
      <c r="T37" s="59"/>
      <c r="U37" s="31">
        <v>8440.8574564380142</v>
      </c>
      <c r="V37" s="60">
        <v>1.3263047569978421</v>
      </c>
      <c r="W37" s="31">
        <v>11195.149397614445</v>
      </c>
      <c r="X37" s="59"/>
      <c r="Y37" s="31">
        <f t="shared" si="3"/>
        <v>7726.9968633673634</v>
      </c>
      <c r="Z37" s="60">
        <f>VLOOKUP(B37,'WI_IME Rate Modifier'!$A$7:$N$35,14,FALSE)</f>
        <v>1.3143185315308417</v>
      </c>
      <c r="AA37" s="31">
        <f t="shared" si="8"/>
        <v>10155.735170604412</v>
      </c>
      <c r="AB37" s="59"/>
      <c r="AC37" s="75">
        <f t="shared" si="9"/>
        <v>7013.1362702967108</v>
      </c>
      <c r="AD37" s="64">
        <v>1.3568324506522391</v>
      </c>
      <c r="AE37" s="31">
        <f t="shared" si="10"/>
        <v>9515.650872384791</v>
      </c>
      <c r="AF37" s="59"/>
      <c r="AG37" s="62">
        <v>13437271.66533632</v>
      </c>
      <c r="AH37" s="62">
        <f t="shared" si="4"/>
        <v>15943756.734577671</v>
      </c>
      <c r="AI37" s="62">
        <f t="shared" si="5"/>
        <v>14463457.812846586</v>
      </c>
      <c r="AJ37" s="62">
        <f t="shared" si="6"/>
        <v>13551871.198146192</v>
      </c>
    </row>
    <row r="38" spans="1:36">
      <c r="A38" s="5" t="s">
        <v>9</v>
      </c>
      <c r="B38" s="65" t="s">
        <v>176</v>
      </c>
      <c r="C38" s="3" t="s">
        <v>35</v>
      </c>
      <c r="D38" s="3" t="s">
        <v>177</v>
      </c>
      <c r="E38" s="66">
        <v>3246</v>
      </c>
      <c r="F38" s="67">
        <v>0.7258</v>
      </c>
      <c r="G38" s="39"/>
      <c r="H38" s="68">
        <v>6002.1917766501447</v>
      </c>
      <c r="I38" s="69">
        <v>14140844.509185225</v>
      </c>
      <c r="J38" s="68">
        <f t="shared" si="0"/>
        <v>7901.8854739599155</v>
      </c>
      <c r="K38" s="69">
        <f t="shared" si="1"/>
        <v>18616421.796342347</v>
      </c>
      <c r="L38" s="78"/>
      <c r="M38" s="70">
        <v>1.2050328950366043</v>
      </c>
      <c r="N38" s="68">
        <f t="shared" si="7"/>
        <v>6557.4022970716387</v>
      </c>
      <c r="O38" s="78"/>
      <c r="P38" s="68">
        <f t="shared" si="2"/>
        <v>7013.1362702967108</v>
      </c>
      <c r="Q38" s="78"/>
      <c r="R38" s="71">
        <v>5067.4787621556443</v>
      </c>
      <c r="S38" s="71">
        <v>6106.4786032969241</v>
      </c>
      <c r="T38" s="78"/>
      <c r="U38" s="71">
        <v>6785.2692836841743</v>
      </c>
      <c r="V38" s="72">
        <v>1.2016873027413544</v>
      </c>
      <c r="W38" s="71">
        <v>8153.7719438841968</v>
      </c>
      <c r="X38" s="78"/>
      <c r="Y38" s="71">
        <f t="shared" si="3"/>
        <v>6899.2027769904435</v>
      </c>
      <c r="Z38" s="72">
        <f>VLOOKUP(B38,'WI_IME Rate Modifier'!$A$7:$N$35,14,FALSE)</f>
        <v>1.2749810759245048</v>
      </c>
      <c r="AA38" s="71">
        <f t="shared" si="8"/>
        <v>8796.3529796286075</v>
      </c>
      <c r="AB38" s="78"/>
      <c r="AC38" s="71">
        <f t="shared" si="9"/>
        <v>7013.1362702967108</v>
      </c>
      <c r="AD38" s="72">
        <v>1.2050328950366043</v>
      </c>
      <c r="AE38" s="71">
        <f t="shared" si="10"/>
        <v>8451.0599030818594</v>
      </c>
      <c r="AF38" s="78"/>
      <c r="AG38" s="73">
        <v>14386538.724705856</v>
      </c>
      <c r="AH38" s="73">
        <f t="shared" si="4"/>
        <v>19209852.919123754</v>
      </c>
      <c r="AI38" s="73">
        <f t="shared" si="5"/>
        <v>20723739.654026486</v>
      </c>
      <c r="AJ38" s="73">
        <f t="shared" si="6"/>
        <v>19910247.535274018</v>
      </c>
    </row>
    <row r="39" spans="1:36" s="8" customFormat="1">
      <c r="E39" s="79">
        <f>SUM(E12:E38)</f>
        <v>73472</v>
      </c>
      <c r="F39" s="80">
        <f>SUMPRODUCT(F12:F38,E12:E38)/E39</f>
        <v>0.84576283209930325</v>
      </c>
      <c r="G39" s="81"/>
      <c r="H39" s="82">
        <f>K39/F39/E39</f>
        <v>9371.4401804428744</v>
      </c>
      <c r="I39" s="83">
        <f>SUM(I12:I38)</f>
        <v>442339712.84898722</v>
      </c>
      <c r="J39" s="82"/>
      <c r="K39" s="83">
        <f>SUM(K12:K38)</f>
        <v>582340231.96569192</v>
      </c>
      <c r="M39" s="84">
        <f>SUMPRODUCT(M12:M38,E12:E38,F12:F38)/SUMPRODUCT(E12:E38,F12:F38)</f>
        <v>1.3362695118494241</v>
      </c>
      <c r="N39" s="82">
        <f>K39/F39/E39/M39</f>
        <v>7013.136270296709</v>
      </c>
      <c r="P39" s="85">
        <f>K$39/M$39/F$39/E$39</f>
        <v>7013.1362702967108</v>
      </c>
      <c r="S39" s="86"/>
      <c r="W39" s="87"/>
      <c r="Y39" s="87"/>
      <c r="AA39" s="87"/>
      <c r="AC39" s="87"/>
      <c r="AD39" s="88"/>
      <c r="AE39" s="87"/>
      <c r="AG39" s="89">
        <f>SUM(AG12:AG38)</f>
        <v>442339712.84898734</v>
      </c>
      <c r="AH39" s="89">
        <f>SUM(AH12:AH38)</f>
        <v>572175267.82189059</v>
      </c>
      <c r="AI39" s="89">
        <f>SUM(AI12:AI38)</f>
        <v>591309990.52594388</v>
      </c>
      <c r="AJ39" s="89">
        <f>SUM(AJ12:AJ38)</f>
        <v>582340231.96569192</v>
      </c>
    </row>
    <row r="40" spans="1:36">
      <c r="E40" s="79"/>
      <c r="F40" s="90"/>
      <c r="G40" s="90"/>
      <c r="H40" s="91">
        <v>7118.4505738267153</v>
      </c>
      <c r="I40" s="92">
        <v>442339712.84898722</v>
      </c>
      <c r="J40" s="91"/>
      <c r="K40" s="83">
        <v>442339712.84898722</v>
      </c>
      <c r="M40" s="60">
        <v>1.3362695118494241</v>
      </c>
      <c r="N40" s="6">
        <v>5327.1069276845474</v>
      </c>
      <c r="O40" s="93"/>
      <c r="P40" s="82">
        <v>5327.1069276845483</v>
      </c>
      <c r="Q40" s="93"/>
      <c r="R40" s="93"/>
      <c r="S40" s="93"/>
      <c r="T40" s="93"/>
      <c r="U40" s="93"/>
      <c r="W40" s="31"/>
      <c r="X40" s="93"/>
      <c r="Y40" s="31"/>
      <c r="AA40" s="31"/>
      <c r="AB40" s="93"/>
      <c r="AC40" s="31"/>
      <c r="AD40" s="93"/>
      <c r="AE40" s="31"/>
      <c r="AG40" s="9"/>
      <c r="AH40" s="9"/>
      <c r="AI40" s="9"/>
      <c r="AJ40" s="9"/>
    </row>
    <row r="41" spans="1:36" ht="18.75">
      <c r="B41" s="94" t="s">
        <v>178</v>
      </c>
      <c r="E41" s="79"/>
      <c r="F41" s="90"/>
      <c r="G41" s="90"/>
      <c r="H41" s="91"/>
      <c r="I41" s="95">
        <f>R5/I39</f>
        <v>0.31650000000000056</v>
      </c>
      <c r="J41" s="91"/>
      <c r="K41" s="83"/>
      <c r="M41" s="96"/>
      <c r="N41" s="83"/>
      <c r="P41" s="83"/>
      <c r="Q41" s="6"/>
      <c r="S41" s="96"/>
      <c r="W41" s="31"/>
      <c r="Y41" s="31"/>
      <c r="AA41" s="31"/>
      <c r="AC41" s="31"/>
      <c r="AD41" s="93"/>
      <c r="AE41" s="31"/>
      <c r="AG41" s="93"/>
      <c r="AH41" s="93"/>
      <c r="AI41" s="93"/>
      <c r="AJ41" s="93"/>
    </row>
    <row r="42" spans="1:36">
      <c r="E42" s="79"/>
      <c r="F42" s="90"/>
      <c r="G42" s="90"/>
      <c r="H42" s="91"/>
      <c r="I42" s="91"/>
      <c r="J42" s="91"/>
      <c r="K42" s="83"/>
      <c r="M42" s="96"/>
      <c r="N42" s="83"/>
      <c r="P42" s="83"/>
      <c r="Q42" s="6"/>
      <c r="S42" s="96"/>
      <c r="W42" s="31"/>
      <c r="Y42" s="31"/>
      <c r="AA42" s="31"/>
      <c r="AC42" s="31"/>
      <c r="AD42" s="93"/>
      <c r="AE42" s="31"/>
      <c r="AG42" s="93"/>
      <c r="AH42" s="93"/>
      <c r="AI42" s="93"/>
      <c r="AJ42" s="97"/>
    </row>
    <row r="43" spans="1:36">
      <c r="B43" s="98" t="s">
        <v>179</v>
      </c>
      <c r="C43" s="99" t="s">
        <v>180</v>
      </c>
      <c r="D43" s="99" t="s">
        <v>181</v>
      </c>
      <c r="E43" s="100">
        <v>3390</v>
      </c>
      <c r="F43" s="101">
        <v>1.5115000000000001</v>
      </c>
      <c r="G43" s="37"/>
      <c r="H43" s="102">
        <v>10776.131353677689</v>
      </c>
      <c r="I43" s="102">
        <v>55216735.414274178</v>
      </c>
      <c r="J43" s="214">
        <f>H43</f>
        <v>10776.131353677689</v>
      </c>
      <c r="K43" s="103">
        <f>E43*F43*J43</f>
        <v>55216735.414274178</v>
      </c>
      <c r="L43" s="104"/>
      <c r="M43" s="105">
        <v>1.3587873581531946</v>
      </c>
      <c r="N43" s="102">
        <f>J43/M43</f>
        <v>7930.6973891221242</v>
      </c>
      <c r="O43" s="104"/>
      <c r="P43" s="102">
        <f>N43</f>
        <v>7930.6973891221242</v>
      </c>
      <c r="Q43" s="104"/>
      <c r="R43" s="106">
        <f>(1/4*(P43))+((3/4*(N43)))</f>
        <v>7930.6973891221242</v>
      </c>
      <c r="S43" s="106">
        <f>R43*M43</f>
        <v>10776.131353677689</v>
      </c>
      <c r="T43" s="104"/>
      <c r="U43" s="106">
        <v>7930.6973891221242</v>
      </c>
      <c r="V43" s="107">
        <v>1.3597480288855213</v>
      </c>
      <c r="W43" s="106">
        <v>10783.750142546358</v>
      </c>
      <c r="X43" s="104"/>
      <c r="Y43" s="106">
        <f>U43</f>
        <v>7930.6973891221242</v>
      </c>
      <c r="Z43" s="107">
        <f>VLOOKUP(B43,'WI_IME Rate Modifier'!$A$7:$N$35,14,FALSE)</f>
        <v>1.4449683309179102</v>
      </c>
      <c r="AA43" s="106">
        <f>Y43*Z43</f>
        <v>11459.606569374824</v>
      </c>
      <c r="AB43" s="104"/>
      <c r="AC43" s="106">
        <f>U43</f>
        <v>7930.6973891221242</v>
      </c>
      <c r="AD43" s="107">
        <v>1.3587873581531946</v>
      </c>
      <c r="AE43" s="106">
        <f>AC43*AD43</f>
        <v>10776.131353677689</v>
      </c>
      <c r="AF43" s="104"/>
      <c r="AG43" s="108">
        <f>S43*F43*E43</f>
        <v>55216735.414274171</v>
      </c>
      <c r="AH43" s="108">
        <f>W43*E43*F43</f>
        <v>55255773.974155404</v>
      </c>
      <c r="AI43" s="108">
        <f>AA43*F43*E43</f>
        <v>58718852.167378061</v>
      </c>
      <c r="AJ43" s="74">
        <f>E43*F43*AE43</f>
        <v>55216735.414274178</v>
      </c>
    </row>
    <row r="44" spans="1:36">
      <c r="E44" s="79"/>
      <c r="F44" s="90"/>
      <c r="G44" s="90"/>
      <c r="H44" s="91"/>
      <c r="I44" s="91"/>
      <c r="J44" s="215"/>
      <c r="K44" s="83"/>
      <c r="M44" s="109"/>
      <c r="N44" s="83"/>
      <c r="P44" s="83"/>
      <c r="Q44" s="6"/>
      <c r="R44" s="31"/>
      <c r="S44" s="31"/>
      <c r="U44" s="31"/>
      <c r="W44" s="31"/>
      <c r="Y44" s="31"/>
      <c r="Z44" s="60"/>
      <c r="AA44" s="31"/>
      <c r="AC44" s="31"/>
      <c r="AD44" s="60"/>
      <c r="AE44" s="31"/>
      <c r="AG44" s="62"/>
      <c r="AH44" s="62"/>
      <c r="AI44" s="62"/>
      <c r="AJ44" s="62"/>
    </row>
    <row r="45" spans="1:36">
      <c r="E45" s="79"/>
      <c r="F45" s="90"/>
      <c r="G45" s="90"/>
      <c r="H45" s="91"/>
      <c r="I45" s="91"/>
      <c r="J45" s="215"/>
      <c r="K45" s="83"/>
      <c r="M45" s="109"/>
      <c r="N45" s="83"/>
      <c r="P45" s="83"/>
      <c r="Q45" s="6"/>
      <c r="R45" s="31"/>
      <c r="S45" s="31"/>
      <c r="U45" s="31"/>
      <c r="W45" s="31"/>
      <c r="Y45" s="31"/>
      <c r="Z45" s="60"/>
      <c r="AA45" s="31"/>
      <c r="AC45" s="31"/>
      <c r="AD45" s="60"/>
      <c r="AE45" s="31"/>
      <c r="AG45" s="62"/>
      <c r="AH45" s="62"/>
      <c r="AI45" s="62"/>
      <c r="AJ45" s="73"/>
    </row>
    <row r="46" spans="1:36">
      <c r="B46" s="98" t="s">
        <v>182</v>
      </c>
      <c r="C46" s="99" t="s">
        <v>183</v>
      </c>
      <c r="D46" s="99" t="s">
        <v>184</v>
      </c>
      <c r="E46" s="100">
        <v>1826</v>
      </c>
      <c r="F46" s="101">
        <v>1.0744</v>
      </c>
      <c r="G46" s="37"/>
      <c r="H46" s="110">
        <v>11229.001823050128</v>
      </c>
      <c r="I46" s="102">
        <v>22029666.634158913</v>
      </c>
      <c r="J46" s="214">
        <f>H46</f>
        <v>11229.001823050128</v>
      </c>
      <c r="K46" s="103">
        <f>E46*F46*J46</f>
        <v>22029666.634158913</v>
      </c>
      <c r="L46" s="104"/>
      <c r="M46" s="105">
        <v>1.7215633771685392</v>
      </c>
      <c r="N46" s="102">
        <f>J46/M46</f>
        <v>6522.5608141818766</v>
      </c>
      <c r="O46" s="104"/>
      <c r="P46" s="102">
        <f>N46</f>
        <v>6522.5608141818766</v>
      </c>
      <c r="Q46" s="104"/>
      <c r="R46" s="106">
        <f>(1/4*(P46))+((3/4*(N46)))</f>
        <v>6522.5608141818766</v>
      </c>
      <c r="S46" s="106">
        <f>R46*M46</f>
        <v>11229.001823050128</v>
      </c>
      <c r="T46" s="104"/>
      <c r="U46" s="106">
        <v>6522.5608141818766</v>
      </c>
      <c r="V46" s="107">
        <v>1.7487627318586725</v>
      </c>
      <c r="W46" s="106">
        <v>11406.411268123025</v>
      </c>
      <c r="X46" s="104"/>
      <c r="Y46" s="106">
        <f>U46</f>
        <v>6522.5608141818766</v>
      </c>
      <c r="Z46" s="107">
        <f>VLOOKUP(B46,'WI_IME Rate Modifier'!$A$7:$N$35,14,FALSE)</f>
        <v>1.8210469797815516</v>
      </c>
      <c r="AA46" s="106">
        <f>Y46*Z46</f>
        <v>11877.889671107405</v>
      </c>
      <c r="AB46" s="104"/>
      <c r="AC46" s="106">
        <f>U46</f>
        <v>6522.5608141818766</v>
      </c>
      <c r="AD46" s="107">
        <v>1.7215633771685392</v>
      </c>
      <c r="AE46" s="106">
        <f>AC46*AD46</f>
        <v>11229.001823050128</v>
      </c>
      <c r="AF46" s="104"/>
      <c r="AG46" s="108">
        <f>S46*F46*E46</f>
        <v>22029666.634158917</v>
      </c>
      <c r="AH46" s="108">
        <f>W46*E46*F46</f>
        <v>22377718.134576738</v>
      </c>
      <c r="AI46" s="108">
        <f>AA46*F46*E46</f>
        <v>23302690.113976616</v>
      </c>
      <c r="AJ46" s="111">
        <f>E46*F46*AE46</f>
        <v>22029666.634158913</v>
      </c>
    </row>
    <row r="47" spans="1:36">
      <c r="E47" s="79"/>
      <c r="F47" s="90"/>
      <c r="G47" s="90"/>
      <c r="H47" s="93"/>
      <c r="I47" s="93"/>
      <c r="J47" s="93"/>
      <c r="K47" s="83"/>
      <c r="M47" s="96"/>
      <c r="N47" s="83"/>
      <c r="P47" s="83"/>
      <c r="S47" s="96"/>
      <c r="AF47" s="93"/>
      <c r="AH47" s="93"/>
      <c r="AI47" s="93"/>
      <c r="AJ47" s="93"/>
    </row>
    <row r="48" spans="1:36">
      <c r="D48" s="8" t="s">
        <v>185</v>
      </c>
      <c r="E48" s="79">
        <f>E39+E43+E46</f>
        <v>78688</v>
      </c>
      <c r="F48" s="80">
        <f>((E39*F39)+(E43*F43)+(E46*F46))/E48</f>
        <v>0.87974946878812532</v>
      </c>
      <c r="G48" s="90"/>
      <c r="H48" s="93"/>
      <c r="I48" s="83">
        <f>I39+I43+I46</f>
        <v>519586114.89742029</v>
      </c>
      <c r="J48" s="93"/>
      <c r="K48" s="83">
        <f>K39+K43+K46</f>
        <v>659586634.01412511</v>
      </c>
      <c r="M48" s="96"/>
      <c r="N48" s="83"/>
      <c r="P48" s="83"/>
      <c r="S48" s="112"/>
      <c r="AF48" s="93"/>
      <c r="AG48" s="89">
        <f>AG46+AG43+AG39</f>
        <v>519586114.89742041</v>
      </c>
      <c r="AH48" s="89">
        <f>AH46+AH43+AH39</f>
        <v>649808759.9306227</v>
      </c>
      <c r="AI48" s="89">
        <f>AI46+AI43+AI39</f>
        <v>673331532.80729854</v>
      </c>
      <c r="AJ48" s="89">
        <f>AJ39+AJ43+AJ46</f>
        <v>659586634.01412511</v>
      </c>
    </row>
    <row r="49" spans="2:36">
      <c r="E49" s="79"/>
      <c r="F49" s="90"/>
      <c r="G49" s="90"/>
      <c r="H49" s="93"/>
      <c r="I49" s="93"/>
      <c r="J49" s="93"/>
      <c r="K49" s="83"/>
      <c r="M49" s="96"/>
      <c r="N49" s="83"/>
      <c r="P49" s="83"/>
      <c r="S49" s="112"/>
      <c r="AF49" s="93"/>
      <c r="AG49" s="62"/>
      <c r="AH49" s="62"/>
      <c r="AI49" s="62"/>
      <c r="AJ49" s="62"/>
    </row>
    <row r="50" spans="2:36">
      <c r="B50" s="6" t="s">
        <v>186</v>
      </c>
      <c r="E50" s="79"/>
      <c r="F50" s="90"/>
      <c r="G50" s="90"/>
      <c r="H50" s="93"/>
      <c r="I50" s="93"/>
      <c r="J50" s="93"/>
      <c r="K50" s="83"/>
      <c r="M50" s="96"/>
      <c r="N50" s="83"/>
      <c r="P50" s="83"/>
      <c r="S50" s="96"/>
      <c r="AF50" s="93"/>
      <c r="AH50" s="93"/>
      <c r="AI50" s="93"/>
      <c r="AJ50" s="93"/>
    </row>
    <row r="51" spans="2:36">
      <c r="B51" s="6" t="s">
        <v>371</v>
      </c>
      <c r="E51" s="79"/>
      <c r="F51" s="90"/>
      <c r="G51" s="90"/>
      <c r="H51" s="93"/>
      <c r="I51" s="93"/>
      <c r="J51" s="93"/>
      <c r="K51" s="83"/>
      <c r="M51" s="96"/>
      <c r="N51" s="83"/>
      <c r="P51" s="83"/>
      <c r="S51" s="96"/>
      <c r="AF51" s="93"/>
      <c r="AH51" s="93"/>
      <c r="AI51" s="93"/>
      <c r="AJ51" s="93"/>
    </row>
    <row r="53" spans="2:36">
      <c r="D53" s="6" t="s">
        <v>49</v>
      </c>
    </row>
    <row r="54" spans="2:36">
      <c r="D54" s="6" t="s">
        <v>372</v>
      </c>
      <c r="AG54" s="62">
        <f>+AG38+AG31+AG30+AG28+AG24+AG20</f>
        <v>88595146.698860496</v>
      </c>
      <c r="AH54" s="62">
        <f>+AH38+AH31+AH30+AH28+AH24+AH20</f>
        <v>116785428.46226045</v>
      </c>
      <c r="AI54" s="62">
        <f t="shared" ref="AI54:AJ54" si="11">+AI38+AI31+AI30+AI28+AI24+AI20</f>
        <v>123084453.40932864</v>
      </c>
      <c r="AJ54" s="62">
        <f t="shared" si="11"/>
        <v>119513938.53949428</v>
      </c>
    </row>
    <row r="55" spans="2:36">
      <c r="D55" s="6" t="s">
        <v>374</v>
      </c>
      <c r="AG55" s="62">
        <f>+AG29+AG25+AG19+AG17</f>
        <v>188095252.29282081</v>
      </c>
      <c r="AH55" s="62">
        <f>+AH29+AH25+AH19+AH17</f>
        <v>243542289.83296719</v>
      </c>
      <c r="AI55" s="62">
        <f>+AI29+AI25+AI19+AI17</f>
        <v>254108555.8350077</v>
      </c>
      <c r="AJ55" s="62">
        <f>+AJ29+AJ25+AJ19+AJ17</f>
        <v>255758899.39051491</v>
      </c>
    </row>
    <row r="56" spans="2:36">
      <c r="D56" s="6" t="s">
        <v>373</v>
      </c>
      <c r="AG56" s="62">
        <f>+AG12+AG18+AG23</f>
        <v>60194302.54208757</v>
      </c>
      <c r="AH56" s="62">
        <f>+AH12+AH18+AH23</f>
        <v>77206999.61190173</v>
      </c>
      <c r="AI56" s="62">
        <f>+AI12+AI18+AI23</f>
        <v>79739373.639381349</v>
      </c>
      <c r="AJ56" s="62">
        <f>+AJ12+AJ18+AJ23</f>
        <v>75181334.318708241</v>
      </c>
    </row>
    <row r="57" spans="2:36">
      <c r="D57" s="6" t="s">
        <v>187</v>
      </c>
      <c r="AG57" s="62">
        <f>+AG15+AG21+AG32</f>
        <v>21755919.905583173</v>
      </c>
      <c r="AH57" s="62">
        <f>+AH15+AH21+AH32</f>
        <v>27980808.321244583</v>
      </c>
      <c r="AI57" s="62">
        <f>+AI15+AI21+AI32</f>
        <v>28866832.197027408</v>
      </c>
      <c r="AJ57" s="62">
        <f>+AJ15+AJ21+AJ32</f>
        <v>27033454.959695898</v>
      </c>
    </row>
    <row r="58" spans="2:36">
      <c r="D58" s="6" t="s">
        <v>188</v>
      </c>
      <c r="AG58" s="62">
        <f>+AG37+AG36+AG22</f>
        <v>31471388.071648985</v>
      </c>
      <c r="AH58" s="62">
        <f>+AH37+AH36+AH22</f>
        <v>38417790.809181385</v>
      </c>
      <c r="AI58" s="62">
        <f>+AI37+AI36+AI22</f>
        <v>35851963.516470231</v>
      </c>
      <c r="AJ58" s="62">
        <f>+AJ37+AJ36+AJ22</f>
        <v>34690628.962946936</v>
      </c>
    </row>
    <row r="60" spans="2:36">
      <c r="AG60" s="62">
        <f>SUM(AG54:AG59)</f>
        <v>390112009.51100099</v>
      </c>
      <c r="AH60" s="62">
        <f>SUM(AH54:AH59)</f>
        <v>503933317.0375554</v>
      </c>
      <c r="AI60" s="62">
        <f>SUM(AI54:AI59)</f>
        <v>521651178.59721535</v>
      </c>
      <c r="AJ60" s="62">
        <f>SUM(AJ54:AJ59)</f>
        <v>512178256.17136025</v>
      </c>
    </row>
  </sheetData>
  <mergeCells count="10">
    <mergeCell ref="AG9:AJ9"/>
    <mergeCell ref="P2:R2"/>
    <mergeCell ref="R8:AE8"/>
    <mergeCell ref="E9:F9"/>
    <mergeCell ref="H9:K9"/>
    <mergeCell ref="M9:N9"/>
    <mergeCell ref="R9:S9"/>
    <mergeCell ref="U9:W9"/>
    <mergeCell ref="Y9:AA9"/>
    <mergeCell ref="AC9:AE9"/>
  </mergeCells>
  <pageMargins left="0.25" right="0.25" top="0.75" bottom="0.75" header="0.3" footer="0.3"/>
  <pageSetup paperSize="5" scale="54" fitToWidth="2" orientation="landscape" r:id="rId1"/>
  <headerFooter>
    <oddHeader>&amp;R&amp;P of &amp;N</oddHeader>
    <oddFooter>&amp;LMyers and Stauffer LC&amp;C&amp;F [&amp;A]&amp;R&amp;D</oddFoot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9" sqref="B9"/>
    </sheetView>
  </sheetViews>
  <sheetFormatPr defaultColWidth="9.140625" defaultRowHeight="15"/>
  <cols>
    <col min="1" max="1" width="9.5703125" style="6" customWidth="1"/>
    <col min="2" max="2" width="12.28515625" style="6" customWidth="1"/>
    <col min="3" max="3" width="25.85546875" style="6" customWidth="1"/>
    <col min="4" max="4" width="10.7109375" style="6" customWidth="1"/>
    <col min="5" max="5" width="13.5703125" style="6" customWidth="1"/>
    <col min="6" max="6" width="12.5703125" style="117" customWidth="1"/>
    <col min="7" max="7" width="2.7109375" style="117" customWidth="1"/>
    <col min="8" max="8" width="10.7109375" style="6" customWidth="1"/>
    <col min="9" max="9" width="12.85546875" style="6" customWidth="1"/>
    <col min="10" max="10" width="15.5703125" style="6" customWidth="1"/>
    <col min="11" max="11" width="2.7109375" style="6" customWidth="1"/>
    <col min="12" max="12" width="10.7109375" style="6" customWidth="1"/>
    <col min="13" max="13" width="13.42578125" style="6" customWidth="1"/>
    <col min="14" max="14" width="14.42578125" style="6" customWidth="1"/>
    <col min="15" max="15" width="2.7109375" style="6" customWidth="1"/>
    <col min="16" max="16" width="10.7109375" style="6" customWidth="1"/>
    <col min="17" max="17" width="13.140625" style="6" customWidth="1"/>
    <col min="18" max="18" width="12.42578125" style="6" customWidth="1"/>
    <col min="19" max="19" width="24.42578125" style="6" customWidth="1"/>
    <col min="20" max="20" width="16.42578125" style="6" customWidth="1"/>
    <col min="21" max="21" width="9.140625" style="6"/>
    <col min="22" max="22" width="11.7109375" style="6" customWidth="1"/>
    <col min="23" max="35" width="9.140625" style="6"/>
    <col min="36" max="36" width="11.5703125" style="6" bestFit="1" customWidth="1"/>
    <col min="37" max="16384" width="9.140625" style="6"/>
  </cols>
  <sheetData>
    <row r="1" spans="1:18" ht="18">
      <c r="A1" s="10" t="s">
        <v>50</v>
      </c>
    </row>
    <row r="2" spans="1:18" ht="15.75">
      <c r="A2" s="15" t="s">
        <v>196</v>
      </c>
      <c r="H2" s="6" t="s">
        <v>375</v>
      </c>
    </row>
    <row r="5" spans="1:18" ht="45">
      <c r="A5" s="35" t="s">
        <v>70</v>
      </c>
      <c r="B5" s="36" t="s">
        <v>71</v>
      </c>
      <c r="C5" s="36" t="s">
        <v>0</v>
      </c>
      <c r="D5" s="36" t="s">
        <v>337</v>
      </c>
      <c r="E5" s="36" t="s">
        <v>197</v>
      </c>
      <c r="F5" s="118" t="s">
        <v>198</v>
      </c>
      <c r="G5" s="37"/>
      <c r="H5" s="35" t="s">
        <v>336</v>
      </c>
      <c r="I5" s="36" t="s">
        <v>199</v>
      </c>
      <c r="J5" s="118" t="s">
        <v>200</v>
      </c>
      <c r="K5" s="37"/>
      <c r="L5" s="35" t="s">
        <v>201</v>
      </c>
      <c r="M5" s="36" t="s">
        <v>202</v>
      </c>
      <c r="N5" s="118" t="s">
        <v>203</v>
      </c>
      <c r="O5" s="37"/>
      <c r="P5" s="35" t="s">
        <v>204</v>
      </c>
      <c r="Q5" s="36" t="s">
        <v>205</v>
      </c>
      <c r="R5" s="118" t="s">
        <v>206</v>
      </c>
    </row>
    <row r="6" spans="1:18">
      <c r="A6" s="44" t="s">
        <v>96</v>
      </c>
      <c r="B6" s="45" t="s">
        <v>97</v>
      </c>
      <c r="C6" s="45" t="s">
        <v>98</v>
      </c>
      <c r="D6" s="119" t="s">
        <v>99</v>
      </c>
      <c r="E6" s="120" t="s">
        <v>100</v>
      </c>
      <c r="F6" s="121" t="s">
        <v>207</v>
      </c>
      <c r="G6" s="46"/>
      <c r="H6" s="204" t="s">
        <v>102</v>
      </c>
      <c r="I6" s="204" t="s">
        <v>189</v>
      </c>
      <c r="J6" s="204" t="s">
        <v>208</v>
      </c>
      <c r="K6" s="46"/>
      <c r="L6" s="48" t="s">
        <v>191</v>
      </c>
      <c r="M6" s="204" t="s">
        <v>209</v>
      </c>
      <c r="N6" s="48" t="s">
        <v>210</v>
      </c>
      <c r="O6" s="46"/>
      <c r="P6" s="48" t="s">
        <v>107</v>
      </c>
      <c r="Q6" s="204" t="s">
        <v>211</v>
      </c>
      <c r="R6" s="122" t="s">
        <v>212</v>
      </c>
    </row>
    <row r="7" spans="1:18">
      <c r="A7" s="34" t="s">
        <v>123</v>
      </c>
      <c r="B7" s="52" t="s">
        <v>43</v>
      </c>
      <c r="C7" s="1" t="s">
        <v>124</v>
      </c>
      <c r="D7" s="11">
        <v>1.1182504</v>
      </c>
      <c r="E7" s="123">
        <v>0.14280117652200949</v>
      </c>
      <c r="F7" s="117">
        <f>D7*(1+E7)</f>
        <v>1.2779378727662076</v>
      </c>
      <c r="G7" s="55"/>
      <c r="H7" s="205">
        <v>1.1067529</v>
      </c>
      <c r="I7" s="124">
        <v>0.14542256896440775</v>
      </c>
      <c r="J7" s="206">
        <f>H7*(1+I7)</f>
        <v>1.2676997499268083</v>
      </c>
      <c r="K7" s="55"/>
      <c r="L7" s="11">
        <f>VLOOKUP(A7,'CT Wage Index'!$A$7:$Q$36,17,FALSE)</f>
        <v>1.1758725000000001</v>
      </c>
      <c r="M7" s="124">
        <f>VLOOKUP(A7,'IME 2019'!$A$7:$N$35,14,FALSE)</f>
        <v>0.14097126120781744</v>
      </c>
      <c r="N7" s="117">
        <f>L7*(1+M7)</f>
        <v>1.3416367293445897</v>
      </c>
      <c r="O7" s="55"/>
      <c r="P7" s="11">
        <v>1.1182504</v>
      </c>
      <c r="Q7" s="124">
        <v>0.14280117652200949</v>
      </c>
      <c r="R7" s="125">
        <f>P7*(1+Q7)</f>
        <v>1.2779378727662076</v>
      </c>
    </row>
    <row r="8" spans="1:18">
      <c r="A8" s="34" t="s">
        <v>125</v>
      </c>
      <c r="B8" s="1" t="s">
        <v>31</v>
      </c>
      <c r="C8" s="1" t="s">
        <v>126</v>
      </c>
      <c r="D8" s="11">
        <v>1.1182504</v>
      </c>
      <c r="E8" s="123">
        <v>0</v>
      </c>
      <c r="F8" s="117">
        <f t="shared" ref="F8:F35" si="0">D8*(1+E8)</f>
        <v>1.1182504</v>
      </c>
      <c r="G8" s="55"/>
      <c r="H8" s="205">
        <v>1.1262866999999999</v>
      </c>
      <c r="I8" s="124">
        <v>0</v>
      </c>
      <c r="J8" s="206">
        <f t="shared" ref="J8:J35" si="1">H8*(1+I8)</f>
        <v>1.1262866999999999</v>
      </c>
      <c r="K8" s="55"/>
      <c r="L8" s="11">
        <f>VLOOKUP(A8,'CT Wage Index'!$A$7:$Q$36,17,FALSE)</f>
        <v>1.1758725000000001</v>
      </c>
      <c r="M8" s="124">
        <f>VLOOKUP(A8,'IME 2019'!$A$7:$N$35,14,FALSE)</f>
        <v>0</v>
      </c>
      <c r="N8" s="117">
        <f t="shared" ref="N8:N35" si="2">L8*(1+M8)</f>
        <v>1.1758725000000001</v>
      </c>
      <c r="O8" s="55"/>
      <c r="P8" s="11">
        <v>1.1182504</v>
      </c>
      <c r="Q8" s="124">
        <v>0</v>
      </c>
      <c r="R8" s="125">
        <f t="shared" ref="R8:R35" si="3">P8*(1+Q8)</f>
        <v>1.1182504</v>
      </c>
    </row>
    <row r="9" spans="1:18">
      <c r="A9" s="34" t="s">
        <v>127</v>
      </c>
      <c r="B9" s="52" t="s">
        <v>377</v>
      </c>
      <c r="C9" s="1" t="s">
        <v>128</v>
      </c>
      <c r="D9" s="11">
        <v>1.1182504</v>
      </c>
      <c r="E9" s="123">
        <v>0</v>
      </c>
      <c r="F9" s="117">
        <f t="shared" si="0"/>
        <v>1.1182504</v>
      </c>
      <c r="G9" s="55"/>
      <c r="H9" s="205">
        <v>1.1067529</v>
      </c>
      <c r="I9" s="124">
        <v>0</v>
      </c>
      <c r="J9" s="206">
        <f t="shared" si="1"/>
        <v>1.1067529</v>
      </c>
      <c r="K9" s="55"/>
      <c r="L9" s="11">
        <f>VLOOKUP(A9,'CT Wage Index'!$A$7:$Q$36,17,FALSE)</f>
        <v>1.1758725000000001</v>
      </c>
      <c r="M9" s="124">
        <f>VLOOKUP(A9,'IME 2019'!$A$7:$N$35,14,FALSE)</f>
        <v>0</v>
      </c>
      <c r="N9" s="117">
        <f t="shared" si="2"/>
        <v>1.1758725000000001</v>
      </c>
      <c r="O9" s="55"/>
      <c r="P9" s="11">
        <v>1.1182504</v>
      </c>
      <c r="Q9" s="124">
        <v>0</v>
      </c>
      <c r="R9" s="125">
        <f t="shared" si="3"/>
        <v>1.1182504</v>
      </c>
    </row>
    <row r="10" spans="1:18">
      <c r="A10" s="34" t="s">
        <v>129</v>
      </c>
      <c r="B10" s="1" t="s">
        <v>338</v>
      </c>
      <c r="C10" s="1" t="s">
        <v>130</v>
      </c>
      <c r="D10" s="11">
        <v>1.1539552</v>
      </c>
      <c r="E10" s="123">
        <v>8.3637175571762992E-2</v>
      </c>
      <c r="F10" s="117">
        <f t="shared" si="0"/>
        <v>1.2504687536643488</v>
      </c>
      <c r="G10" s="55"/>
      <c r="H10" s="205">
        <v>1.1288138000000001</v>
      </c>
      <c r="I10" s="124">
        <v>0.10219988687753338</v>
      </c>
      <c r="J10" s="206">
        <f t="shared" si="1"/>
        <v>1.2441784426657987</v>
      </c>
      <c r="K10" s="55"/>
      <c r="L10" s="11">
        <f>VLOOKUP(A10,'CT Wage Index'!$A$7:$Q$36,17,FALSE)</f>
        <v>1.1758725000000001</v>
      </c>
      <c r="M10" s="124">
        <f>VLOOKUP(A10,'IME 2019'!$A$7:$N$35,14,FALSE)</f>
        <v>9.4583455534251459E-2</v>
      </c>
      <c r="N10" s="117">
        <f t="shared" si="2"/>
        <v>1.2870905843176992</v>
      </c>
      <c r="O10" s="55"/>
      <c r="P10" s="11">
        <v>1.1539552</v>
      </c>
      <c r="Q10" s="124">
        <v>8.3637175571762992E-2</v>
      </c>
      <c r="R10" s="125">
        <f t="shared" si="3"/>
        <v>1.2504687536643488</v>
      </c>
    </row>
    <row r="11" spans="1:18">
      <c r="A11" s="65" t="s">
        <v>131</v>
      </c>
      <c r="B11" s="3" t="s">
        <v>46</v>
      </c>
      <c r="C11" s="3" t="s">
        <v>132</v>
      </c>
      <c r="D11" s="70">
        <v>1.2279399999999998</v>
      </c>
      <c r="E11" s="113">
        <v>0.11161532944677556</v>
      </c>
      <c r="F11" s="126">
        <f t="shared" si="0"/>
        <v>1.3649969276408735</v>
      </c>
      <c r="G11" s="55"/>
      <c r="H11" s="207">
        <v>1.2040120999999999</v>
      </c>
      <c r="I11" s="128">
        <v>0.11243632063624634</v>
      </c>
      <c r="J11" s="208">
        <f t="shared" si="1"/>
        <v>1.3393867905255203</v>
      </c>
      <c r="K11" s="55"/>
      <c r="L11" s="127">
        <f>VLOOKUP(A11,'CT Wage Index'!$A$7:$Q$36,17,FALSE)</f>
        <v>1.181678</v>
      </c>
      <c r="M11" s="128">
        <f>VLOOKUP(A11,'IME 2019'!$A$7:$N$35,14,FALSE)</f>
        <v>0.11022947426439927</v>
      </c>
      <c r="N11" s="126">
        <f t="shared" si="2"/>
        <v>1.3119337446898067</v>
      </c>
      <c r="O11" s="55"/>
      <c r="P11" s="127">
        <v>1.2279399999999998</v>
      </c>
      <c r="Q11" s="128">
        <v>0.11161532944677556</v>
      </c>
      <c r="R11" s="126">
        <f t="shared" si="3"/>
        <v>1.3649969276408735</v>
      </c>
    </row>
    <row r="12" spans="1:18">
      <c r="A12" s="34" t="s">
        <v>133</v>
      </c>
      <c r="B12" s="1" t="s">
        <v>38</v>
      </c>
      <c r="C12" s="1" t="s">
        <v>134</v>
      </c>
      <c r="D12" s="11">
        <v>1.1187375999999998</v>
      </c>
      <c r="E12" s="123">
        <v>2.3335745932091092E-3</v>
      </c>
      <c r="F12" s="117">
        <f t="shared" si="0"/>
        <v>1.1213482576398275</v>
      </c>
      <c r="G12" s="55"/>
      <c r="H12" s="205">
        <v>1.1444544999999997</v>
      </c>
      <c r="I12" s="124">
        <v>2.3236570187734175E-3</v>
      </c>
      <c r="J12" s="206">
        <f t="shared" si="1"/>
        <v>1.1471138197315915</v>
      </c>
      <c r="K12" s="55"/>
      <c r="L12" s="11">
        <f>VLOOKUP(A12,'CT Wage Index'!$A$7:$Q$36,17,FALSE)</f>
        <v>1.1758725000000001</v>
      </c>
      <c r="M12" s="124">
        <f>VLOOKUP(A12,'IME 2019'!$A$7:$N$35,14,FALSE)</f>
        <v>2.175710473301451E-3</v>
      </c>
      <c r="N12" s="117">
        <f t="shared" si="2"/>
        <v>1.1784308581135172</v>
      </c>
      <c r="O12" s="55"/>
      <c r="P12" s="11">
        <v>1.1187375999999998</v>
      </c>
      <c r="Q12" s="124">
        <v>2.3335745932091092E-3</v>
      </c>
      <c r="R12" s="125">
        <f t="shared" si="3"/>
        <v>1.1213482576398275</v>
      </c>
    </row>
    <row r="13" spans="1:18">
      <c r="A13" s="34" t="s">
        <v>135</v>
      </c>
      <c r="B13" s="1" t="s">
        <v>37</v>
      </c>
      <c r="C13" s="1" t="s">
        <v>136</v>
      </c>
      <c r="D13" s="11">
        <v>1.1182504</v>
      </c>
      <c r="E13" s="123">
        <v>0</v>
      </c>
      <c r="F13" s="117">
        <f t="shared" si="0"/>
        <v>1.1182504</v>
      </c>
      <c r="G13" s="55"/>
      <c r="H13" s="205">
        <v>1.1067529</v>
      </c>
      <c r="I13" s="124">
        <v>0</v>
      </c>
      <c r="J13" s="206">
        <f t="shared" si="1"/>
        <v>1.1067529</v>
      </c>
      <c r="K13" s="55"/>
      <c r="L13" s="11">
        <f>VLOOKUP(A13,'CT Wage Index'!$A$7:$Q$36,17,FALSE)</f>
        <v>1.1758725000000001</v>
      </c>
      <c r="M13" s="124">
        <f>VLOOKUP(A13,'IME 2019'!$A$7:$N$35,14,FALSE)</f>
        <v>0</v>
      </c>
      <c r="N13" s="117">
        <f t="shared" si="2"/>
        <v>1.1758725000000001</v>
      </c>
      <c r="O13" s="55"/>
      <c r="P13" s="11">
        <v>1.1182504</v>
      </c>
      <c r="Q13" s="124">
        <v>0</v>
      </c>
      <c r="R13" s="125">
        <f t="shared" si="3"/>
        <v>1.1182504</v>
      </c>
    </row>
    <row r="14" spans="1:18">
      <c r="A14" s="34" t="s">
        <v>137</v>
      </c>
      <c r="B14" s="1" t="s">
        <v>28</v>
      </c>
      <c r="C14" s="1" t="s">
        <v>138</v>
      </c>
      <c r="D14" s="11">
        <v>1.2279399999999998</v>
      </c>
      <c r="E14" s="123">
        <v>0.15245295312289536</v>
      </c>
      <c r="F14" s="117">
        <f t="shared" si="0"/>
        <v>1.4151430792577278</v>
      </c>
      <c r="G14" s="55"/>
      <c r="H14" s="205">
        <v>1.2040120999999999</v>
      </c>
      <c r="I14" s="124">
        <v>0.15497189915859536</v>
      </c>
      <c r="J14" s="206">
        <f t="shared" si="1"/>
        <v>1.3906001417469285</v>
      </c>
      <c r="K14" s="55"/>
      <c r="L14" s="11">
        <f>VLOOKUP(A14,'CT Wage Index'!$A$7:$Q$36,17,FALSE)</f>
        <v>1.181678</v>
      </c>
      <c r="M14" s="124">
        <f>VLOOKUP(A14,'IME 2019'!$A$7:$N$35,14,FALSE)</f>
        <v>0.15954726569189095</v>
      </c>
      <c r="N14" s="117">
        <f t="shared" si="2"/>
        <v>1.3702114938282624</v>
      </c>
      <c r="O14" s="55"/>
      <c r="P14" s="11">
        <v>1.2279399999999998</v>
      </c>
      <c r="Q14" s="124">
        <v>0.15245295312289536</v>
      </c>
      <c r="R14" s="125">
        <f t="shared" si="3"/>
        <v>1.4151430792577278</v>
      </c>
    </row>
    <row r="15" spans="1:18">
      <c r="A15" s="76" t="s">
        <v>139</v>
      </c>
      <c r="B15" s="4" t="s">
        <v>36</v>
      </c>
      <c r="C15" s="1" t="s">
        <v>140</v>
      </c>
      <c r="D15" s="11">
        <v>1.1182504</v>
      </c>
      <c r="E15" s="123">
        <v>0</v>
      </c>
      <c r="F15" s="117">
        <f t="shared" si="0"/>
        <v>1.1182504</v>
      </c>
      <c r="G15" s="55"/>
      <c r="H15" s="205">
        <v>1.1067529</v>
      </c>
      <c r="I15" s="124">
        <v>0</v>
      </c>
      <c r="J15" s="206">
        <f t="shared" si="1"/>
        <v>1.1067529</v>
      </c>
      <c r="K15" s="55"/>
      <c r="L15" s="11">
        <f>VLOOKUP(A15,'CT Wage Index'!$A$7:$Q$36,17,FALSE)</f>
        <v>1.1758725000000001</v>
      </c>
      <c r="M15" s="124">
        <f>VLOOKUP(A15,'IME 2019'!$A$7:$N$35,14,FALSE)</f>
        <v>0</v>
      </c>
      <c r="N15" s="117">
        <f t="shared" si="2"/>
        <v>1.1758725000000001</v>
      </c>
      <c r="O15" s="55"/>
      <c r="P15" s="11">
        <v>1.1182504</v>
      </c>
      <c r="Q15" s="124">
        <v>0</v>
      </c>
      <c r="R15" s="125">
        <f t="shared" si="3"/>
        <v>1.1182504</v>
      </c>
    </row>
    <row r="16" spans="1:18">
      <c r="A16" s="65" t="s">
        <v>141</v>
      </c>
      <c r="B16" s="3" t="s">
        <v>339</v>
      </c>
      <c r="C16" s="3" t="s">
        <v>142</v>
      </c>
      <c r="D16" s="70">
        <v>1.1182504</v>
      </c>
      <c r="E16" s="113">
        <v>6.7293114659538475E-3</v>
      </c>
      <c r="F16" s="126">
        <f t="shared" si="0"/>
        <v>1.1257754552385275</v>
      </c>
      <c r="G16" s="55"/>
      <c r="H16" s="207">
        <v>1.1067529</v>
      </c>
      <c r="I16" s="128">
        <v>6.0905369647312087E-3</v>
      </c>
      <c r="J16" s="208">
        <f t="shared" si="1"/>
        <v>1.1134936194482736</v>
      </c>
      <c r="K16" s="55"/>
      <c r="L16" s="127">
        <f>VLOOKUP(A16,'CT Wage Index'!$A$7:$Q$36,17,FALSE)</f>
        <v>1.1758725000000001</v>
      </c>
      <c r="M16" s="128">
        <f>VLOOKUP(A16,'IME 2019'!$A$7:$N$35,14,FALSE)</f>
        <v>6.250272028583837E-3</v>
      </c>
      <c r="N16" s="126">
        <f t="shared" si="2"/>
        <v>1.1832220229959309</v>
      </c>
      <c r="O16" s="55"/>
      <c r="P16" s="127">
        <v>1.1182504</v>
      </c>
      <c r="Q16" s="128">
        <v>6.7293114659538475E-3</v>
      </c>
      <c r="R16" s="126">
        <f t="shared" si="3"/>
        <v>1.1257754552385275</v>
      </c>
    </row>
    <row r="17" spans="1:18">
      <c r="A17" s="34" t="s">
        <v>143</v>
      </c>
      <c r="B17" s="1" t="s">
        <v>144</v>
      </c>
      <c r="C17" s="1" t="s">
        <v>145</v>
      </c>
      <c r="D17" s="11">
        <v>1.1182504</v>
      </c>
      <c r="E17" s="123">
        <v>0.12261050402732217</v>
      </c>
      <c r="F17" s="117">
        <f t="shared" si="0"/>
        <v>1.2553596451727547</v>
      </c>
      <c r="G17" s="55"/>
      <c r="H17" s="205">
        <v>1.1067529</v>
      </c>
      <c r="I17" s="124">
        <v>0.12462567686053673</v>
      </c>
      <c r="J17" s="206">
        <f t="shared" si="1"/>
        <v>1.2446827292798619</v>
      </c>
      <c r="K17" s="55"/>
      <c r="L17" s="11">
        <f>VLOOKUP(A17,'CT Wage Index'!$A$7:$Q$36,17,FALSE)</f>
        <v>1.1758725000000001</v>
      </c>
      <c r="M17" s="124">
        <f>VLOOKUP(A17,'IME 2019'!$A$7:$N$35,14,FALSE)</f>
        <v>0.13122399400155493</v>
      </c>
      <c r="N17" s="117">
        <f t="shared" si="2"/>
        <v>1.3301751858865936</v>
      </c>
      <c r="O17" s="55"/>
      <c r="P17" s="11">
        <v>1.1182504</v>
      </c>
      <c r="Q17" s="124">
        <v>0.12261050402732217</v>
      </c>
      <c r="R17" s="125">
        <f t="shared" si="3"/>
        <v>1.2553596451727547</v>
      </c>
    </row>
    <row r="18" spans="1:18">
      <c r="A18" s="34" t="s">
        <v>146</v>
      </c>
      <c r="B18" s="1" t="s">
        <v>44</v>
      </c>
      <c r="C18" s="1" t="s">
        <v>147</v>
      </c>
      <c r="D18" s="11">
        <v>1.1539552</v>
      </c>
      <c r="E18" s="123">
        <v>0.13806427732664506</v>
      </c>
      <c r="F18" s="117">
        <f t="shared" si="0"/>
        <v>1.3132751907553242</v>
      </c>
      <c r="G18" s="55"/>
      <c r="H18" s="205">
        <v>1.1288138000000001</v>
      </c>
      <c r="I18" s="124">
        <v>0.15107450127913852</v>
      </c>
      <c r="J18" s="206">
        <f t="shared" si="1"/>
        <v>1.2993487818720093</v>
      </c>
      <c r="K18" s="55"/>
      <c r="L18" s="11">
        <f>VLOOKUP(A18,'CT Wage Index'!$A$7:$Q$36,17,FALSE)</f>
        <v>1.1758725000000001</v>
      </c>
      <c r="M18" s="124">
        <f>VLOOKUP(A18,'IME 2019'!$A$7:$N$35,14,FALSE)</f>
        <v>0.14149147406438253</v>
      </c>
      <c r="N18" s="117">
        <f t="shared" si="2"/>
        <v>1.3422484333367706</v>
      </c>
      <c r="O18" s="55"/>
      <c r="P18" s="11">
        <v>1.1539552</v>
      </c>
      <c r="Q18" s="124">
        <v>0.13806427732664506</v>
      </c>
      <c r="R18" s="125">
        <f t="shared" si="3"/>
        <v>1.3132751907553242</v>
      </c>
    </row>
    <row r="19" spans="1:18">
      <c r="A19" s="34" t="s">
        <v>148</v>
      </c>
      <c r="B19" s="1" t="s">
        <v>40</v>
      </c>
      <c r="C19" s="1" t="s">
        <v>149</v>
      </c>
      <c r="D19" s="11">
        <v>1.1539552</v>
      </c>
      <c r="E19" s="123">
        <v>0</v>
      </c>
      <c r="F19" s="117">
        <f t="shared" si="0"/>
        <v>1.1539552</v>
      </c>
      <c r="G19" s="55"/>
      <c r="H19" s="205">
        <v>1.1288138000000001</v>
      </c>
      <c r="I19" s="124">
        <v>0</v>
      </c>
      <c r="J19" s="206">
        <f t="shared" si="1"/>
        <v>1.1288138000000001</v>
      </c>
      <c r="K19" s="55"/>
      <c r="L19" s="11">
        <f>VLOOKUP(A19,'CT Wage Index'!$A$7:$Q$36,17,FALSE)</f>
        <v>1.1758725000000001</v>
      </c>
      <c r="M19" s="124">
        <f>VLOOKUP(A19,'IME 2019'!$A$7:$N$35,14,FALSE)</f>
        <v>0</v>
      </c>
      <c r="N19" s="117">
        <f t="shared" si="2"/>
        <v>1.1758725000000001</v>
      </c>
      <c r="O19" s="55"/>
      <c r="P19" s="11">
        <v>1.1539552</v>
      </c>
      <c r="Q19" s="124">
        <v>0</v>
      </c>
      <c r="R19" s="125">
        <f t="shared" si="3"/>
        <v>1.1539552</v>
      </c>
    </row>
    <row r="20" spans="1:18">
      <c r="A20" s="34" t="s">
        <v>150</v>
      </c>
      <c r="B20" s="1" t="s">
        <v>32</v>
      </c>
      <c r="C20" s="1" t="s">
        <v>151</v>
      </c>
      <c r="D20" s="11">
        <v>1.2279399999999998</v>
      </c>
      <c r="E20" s="123">
        <v>6.4128378760819865E-2</v>
      </c>
      <c r="F20" s="117">
        <f t="shared" si="0"/>
        <v>1.3066858014155609</v>
      </c>
      <c r="G20" s="55"/>
      <c r="H20" s="205">
        <v>1.2040120999999999</v>
      </c>
      <c r="I20" s="124">
        <v>6.1933134137395852E-2</v>
      </c>
      <c r="J20" s="206">
        <f t="shared" si="1"/>
        <v>1.2785803428923477</v>
      </c>
      <c r="K20" s="55"/>
      <c r="L20" s="11">
        <f>VLOOKUP(A20,'CT Wage Index'!$A$7:$Q$36,17,FALSE)</f>
        <v>1.181678</v>
      </c>
      <c r="M20" s="124">
        <f>VLOOKUP(A20,'IME 2019'!$A$7:$N$35,14,FALSE)</f>
        <v>7.1290574321716899E-2</v>
      </c>
      <c r="N20" s="117">
        <f t="shared" si="2"/>
        <v>1.2659205032833378</v>
      </c>
      <c r="O20" s="55"/>
      <c r="P20" s="11">
        <v>1.2279399999999998</v>
      </c>
      <c r="Q20" s="124">
        <v>6.4128378760819865E-2</v>
      </c>
      <c r="R20" s="125">
        <f t="shared" si="3"/>
        <v>1.3066858014155609</v>
      </c>
    </row>
    <row r="21" spans="1:18">
      <c r="A21" s="65" t="s">
        <v>152</v>
      </c>
      <c r="B21" s="3" t="s">
        <v>41</v>
      </c>
      <c r="C21" s="3" t="s">
        <v>153</v>
      </c>
      <c r="D21" s="70">
        <v>1.1539552</v>
      </c>
      <c r="E21" s="113">
        <v>0</v>
      </c>
      <c r="F21" s="126">
        <f t="shared" si="0"/>
        <v>1.1539552</v>
      </c>
      <c r="G21" s="55"/>
      <c r="H21" s="207">
        <v>1.1288138000000001</v>
      </c>
      <c r="I21" s="128">
        <v>0</v>
      </c>
      <c r="J21" s="208">
        <f t="shared" si="1"/>
        <v>1.1288138000000001</v>
      </c>
      <c r="K21" s="55"/>
      <c r="L21" s="127">
        <f>VLOOKUP(A21,'CT Wage Index'!$A$7:$Q$36,17,FALSE)</f>
        <v>1.1758725000000001</v>
      </c>
      <c r="M21" s="128">
        <f>VLOOKUP(A21,'IME 2019'!$A$7:$N$35,14,FALSE)</f>
        <v>0</v>
      </c>
      <c r="N21" s="126">
        <f t="shared" si="2"/>
        <v>1.1758725000000001</v>
      </c>
      <c r="O21" s="55"/>
      <c r="P21" s="127">
        <v>1.1539552</v>
      </c>
      <c r="Q21" s="128">
        <v>0</v>
      </c>
      <c r="R21" s="126">
        <f t="shared" si="3"/>
        <v>1.1539552</v>
      </c>
    </row>
    <row r="22" spans="1:18">
      <c r="A22" s="34" t="s">
        <v>154</v>
      </c>
      <c r="B22" s="1" t="s">
        <v>39</v>
      </c>
      <c r="C22" s="1" t="s">
        <v>155</v>
      </c>
      <c r="D22" s="11">
        <v>1.1182504</v>
      </c>
      <c r="E22" s="123">
        <v>5.6282751421275014E-2</v>
      </c>
      <c r="F22" s="117">
        <f t="shared" si="0"/>
        <v>1.1811886092899413</v>
      </c>
      <c r="G22" s="55"/>
      <c r="H22" s="205">
        <v>1.1067529</v>
      </c>
      <c r="I22" s="124">
        <v>5.8640769059641142E-2</v>
      </c>
      <c r="J22" s="206">
        <f t="shared" si="1"/>
        <v>1.1716537412149881</v>
      </c>
      <c r="K22" s="55"/>
      <c r="L22" s="11">
        <f>VLOOKUP(A22,'CT Wage Index'!$A$7:$Q$36,17,FALSE)</f>
        <v>1.1758725000000001</v>
      </c>
      <c r="M22" s="124">
        <f>VLOOKUP(A22,'IME 2019'!$A$7:$N$35,14,FALSE)</f>
        <v>5.9313424202321455E-2</v>
      </c>
      <c r="N22" s="117">
        <f t="shared" si="2"/>
        <v>1.2456175244003442</v>
      </c>
      <c r="O22" s="55"/>
      <c r="P22" s="11">
        <v>1.1182504</v>
      </c>
      <c r="Q22" s="124">
        <v>5.6282751421275014E-2</v>
      </c>
      <c r="R22" s="125">
        <f t="shared" si="3"/>
        <v>1.1811886092899413</v>
      </c>
    </row>
    <row r="23" spans="1:18">
      <c r="A23" s="34" t="s">
        <v>156</v>
      </c>
      <c r="B23" s="1" t="s">
        <v>47</v>
      </c>
      <c r="C23" s="1" t="s">
        <v>157</v>
      </c>
      <c r="D23" s="11">
        <v>1.1182504</v>
      </c>
      <c r="E23" s="123">
        <v>0</v>
      </c>
      <c r="F23" s="117">
        <f t="shared" si="0"/>
        <v>1.1182504</v>
      </c>
      <c r="G23" s="55"/>
      <c r="H23" s="205">
        <v>1.1262866999999999</v>
      </c>
      <c r="I23" s="124">
        <v>0</v>
      </c>
      <c r="J23" s="206">
        <f t="shared" si="1"/>
        <v>1.1262866999999999</v>
      </c>
      <c r="K23" s="55"/>
      <c r="L23" s="11">
        <f>VLOOKUP(A23,'CT Wage Index'!$A$7:$Q$36,17,FALSE)</f>
        <v>1.1758725000000001</v>
      </c>
      <c r="M23" s="124">
        <f>VLOOKUP(A23,'IME 2019'!$A$7:$N$35,14,FALSE)</f>
        <v>0</v>
      </c>
      <c r="N23" s="117">
        <f t="shared" si="2"/>
        <v>1.1758725000000001</v>
      </c>
      <c r="O23" s="55"/>
      <c r="P23" s="11">
        <v>1.1182504</v>
      </c>
      <c r="Q23" s="124">
        <v>0</v>
      </c>
      <c r="R23" s="125">
        <f t="shared" si="3"/>
        <v>1.1182504</v>
      </c>
    </row>
    <row r="24" spans="1:18">
      <c r="A24" s="34" t="s">
        <v>158</v>
      </c>
      <c r="B24" s="1" t="s">
        <v>48</v>
      </c>
      <c r="C24" s="1" t="s">
        <v>159</v>
      </c>
      <c r="D24" s="11">
        <v>1.1539552</v>
      </c>
      <c r="E24" s="123">
        <v>0.27838713132843718</v>
      </c>
      <c r="F24" s="117">
        <f t="shared" si="0"/>
        <v>1.475201477809533</v>
      </c>
      <c r="G24" s="55"/>
      <c r="H24" s="205">
        <v>1.1288138000000001</v>
      </c>
      <c r="I24" s="124">
        <v>0.26230207365777336</v>
      </c>
      <c r="J24" s="206">
        <f t="shared" si="1"/>
        <v>1.424904000513511</v>
      </c>
      <c r="K24" s="55"/>
      <c r="L24" s="11">
        <f>VLOOKUP(A24,'CT Wage Index'!$A$7:$Q$36,17,FALSE)</f>
        <v>1.1758725000000001</v>
      </c>
      <c r="M24" s="124">
        <f>VLOOKUP(A24,'IME 2019'!$A$7:$N$35,14,FALSE)</f>
        <v>0.2665166148761377</v>
      </c>
      <c r="N24" s="117">
        <f t="shared" si="2"/>
        <v>1.4892620582259415</v>
      </c>
      <c r="O24" s="55"/>
      <c r="P24" s="11">
        <v>1.1539552</v>
      </c>
      <c r="Q24" s="124">
        <v>0.27838713132843718</v>
      </c>
      <c r="R24" s="125">
        <f t="shared" si="3"/>
        <v>1.475201477809533</v>
      </c>
    </row>
    <row r="25" spans="1:18">
      <c r="A25" s="34" t="s">
        <v>160</v>
      </c>
      <c r="B25" s="1" t="s">
        <v>27</v>
      </c>
      <c r="C25" s="1" t="s">
        <v>161</v>
      </c>
      <c r="D25" s="11">
        <v>1.1187375999999998</v>
      </c>
      <c r="E25" s="123">
        <v>0</v>
      </c>
      <c r="F25" s="117">
        <f t="shared" si="0"/>
        <v>1.1187375999999998</v>
      </c>
      <c r="G25" s="55"/>
      <c r="H25" s="205">
        <v>1.1444544999999997</v>
      </c>
      <c r="I25" s="124">
        <v>0</v>
      </c>
      <c r="J25" s="206">
        <f t="shared" si="1"/>
        <v>1.1444544999999997</v>
      </c>
      <c r="K25" s="55"/>
      <c r="L25" s="11">
        <f>VLOOKUP(A25,'CT Wage Index'!$A$7:$Q$36,17,FALSE)</f>
        <v>1.1758725000000001</v>
      </c>
      <c r="M25" s="124">
        <f>VLOOKUP(A25,'IME 2019'!$A$7:$N$35,14,FALSE)</f>
        <v>0</v>
      </c>
      <c r="N25" s="117">
        <f t="shared" si="2"/>
        <v>1.1758725000000001</v>
      </c>
      <c r="O25" s="55"/>
      <c r="P25" s="11">
        <v>1.1187375999999998</v>
      </c>
      <c r="Q25" s="124">
        <v>0</v>
      </c>
      <c r="R25" s="125">
        <f t="shared" si="3"/>
        <v>1.1187375999999998</v>
      </c>
    </row>
    <row r="26" spans="1:18">
      <c r="A26" s="65" t="s">
        <v>162</v>
      </c>
      <c r="B26" s="3" t="s">
        <v>34</v>
      </c>
      <c r="C26" s="3" t="s">
        <v>163</v>
      </c>
      <c r="D26" s="70">
        <v>1.1182504</v>
      </c>
      <c r="E26" s="113">
        <v>0.16568658044275578</v>
      </c>
      <c r="F26" s="126">
        <f t="shared" si="0"/>
        <v>1.3035294848547438</v>
      </c>
      <c r="G26" s="55"/>
      <c r="H26" s="207">
        <v>1.1067529</v>
      </c>
      <c r="I26" s="128">
        <v>0.16372306228495034</v>
      </c>
      <c r="J26" s="208">
        <f t="shared" si="1"/>
        <v>1.2879538739807495</v>
      </c>
      <c r="K26" s="55"/>
      <c r="L26" s="127">
        <f>VLOOKUP(A26,'CT Wage Index'!$A$7:$Q$36,17,FALSE)</f>
        <v>1.1758725000000001</v>
      </c>
      <c r="M26" s="128">
        <f>VLOOKUP(A26,'IME 2019'!$A$7:$N$35,14,FALSE)</f>
        <v>0.14349812670571646</v>
      </c>
      <c r="N26" s="126">
        <f t="shared" si="2"/>
        <v>1.3446080009947676</v>
      </c>
      <c r="O26" s="55"/>
      <c r="P26" s="127">
        <v>1.1182504</v>
      </c>
      <c r="Q26" s="128">
        <v>0.16568658044275578</v>
      </c>
      <c r="R26" s="126">
        <f t="shared" si="3"/>
        <v>1.3035294848547438</v>
      </c>
    </row>
    <row r="27" spans="1:18">
      <c r="A27" s="34" t="s">
        <v>164</v>
      </c>
      <c r="B27" s="1" t="s">
        <v>340</v>
      </c>
      <c r="C27" s="1" t="s">
        <v>165</v>
      </c>
      <c r="D27" s="11">
        <v>1.1182504</v>
      </c>
      <c r="E27" s="123">
        <v>7.3140130580401835E-2</v>
      </c>
      <c r="F27" s="117">
        <f t="shared" si="0"/>
        <v>1.2000393802775866</v>
      </c>
      <c r="G27" s="55"/>
      <c r="H27" s="205">
        <v>1.1067529</v>
      </c>
      <c r="I27" s="124">
        <v>8.2201832479331022E-2</v>
      </c>
      <c r="J27" s="206">
        <f t="shared" si="1"/>
        <v>1.1977300164818139</v>
      </c>
      <c r="K27" s="55"/>
      <c r="L27" s="11">
        <f>VLOOKUP(A27,'CT Wage Index'!$A$7:$Q$36,17,FALSE)</f>
        <v>1.1758725000000001</v>
      </c>
      <c r="M27" s="124">
        <f>VLOOKUP(A27,'IME 2019'!$A$7:$N$35,14,FALSE)</f>
        <v>0.10288305132683023</v>
      </c>
      <c r="N27" s="117">
        <f t="shared" si="2"/>
        <v>1.2968498507713082</v>
      </c>
      <c r="O27" s="55"/>
      <c r="P27" s="11">
        <v>1.1182504</v>
      </c>
      <c r="Q27" s="124">
        <v>7.3140130580401835E-2</v>
      </c>
      <c r="R27" s="125">
        <f t="shared" si="3"/>
        <v>1.2000393802775866</v>
      </c>
    </row>
    <row r="28" spans="1:18">
      <c r="A28" s="34" t="s">
        <v>166</v>
      </c>
      <c r="B28" s="1" t="s">
        <v>45</v>
      </c>
      <c r="C28" s="1" t="s">
        <v>167</v>
      </c>
      <c r="D28" s="11">
        <v>1.2279399999999998</v>
      </c>
      <c r="E28" s="123">
        <v>7.1941802549488842E-2</v>
      </c>
      <c r="F28" s="117">
        <f t="shared" si="0"/>
        <v>1.3162802170226191</v>
      </c>
      <c r="G28" s="55"/>
      <c r="H28" s="205">
        <v>1.2040120999999999</v>
      </c>
      <c r="I28" s="124">
        <v>8.0654562894914295E-2</v>
      </c>
      <c r="J28" s="206">
        <f t="shared" si="1"/>
        <v>1.3011211696456877</v>
      </c>
      <c r="K28" s="55"/>
      <c r="L28" s="11">
        <f>VLOOKUP(A28,'CT Wage Index'!$A$7:$Q$36,17,FALSE)</f>
        <v>1.181678</v>
      </c>
      <c r="M28" s="124">
        <f>VLOOKUP(A28,'IME 2019'!$A$7:$N$35,14,FALSE)</f>
        <v>8.706298627813519E-2</v>
      </c>
      <c r="N28" s="117">
        <f t="shared" si="2"/>
        <v>1.2845584154991743</v>
      </c>
      <c r="O28" s="55"/>
      <c r="P28" s="11">
        <v>1.2279399999999998</v>
      </c>
      <c r="Q28" s="124">
        <v>7.1941802549488842E-2</v>
      </c>
      <c r="R28" s="125">
        <f t="shared" si="3"/>
        <v>1.3162802170226191</v>
      </c>
    </row>
    <row r="29" spans="1:18">
      <c r="A29" s="34" t="s">
        <v>168</v>
      </c>
      <c r="B29" s="1" t="s">
        <v>29</v>
      </c>
      <c r="C29" s="1" t="s">
        <v>169</v>
      </c>
      <c r="D29" s="11">
        <v>1.1182504</v>
      </c>
      <c r="E29" s="123">
        <v>0</v>
      </c>
      <c r="F29" s="117">
        <f t="shared" si="0"/>
        <v>1.1182504</v>
      </c>
      <c r="G29" s="55"/>
      <c r="H29" s="205">
        <v>1.1067529</v>
      </c>
      <c r="I29" s="124">
        <v>0</v>
      </c>
      <c r="J29" s="206">
        <f t="shared" si="1"/>
        <v>1.1067529</v>
      </c>
      <c r="K29" s="55"/>
      <c r="L29" s="11">
        <f>VLOOKUP(A29,'CT Wage Index'!$A$7:$Q$36,17,FALSE)</f>
        <v>1.1758725000000001</v>
      </c>
      <c r="M29" s="124">
        <f>VLOOKUP(A29,'IME 2019'!$A$7:$N$35,14,FALSE)</f>
        <v>0</v>
      </c>
      <c r="N29" s="117">
        <f t="shared" si="2"/>
        <v>1.1758725000000001</v>
      </c>
      <c r="O29" s="55"/>
      <c r="P29" s="11">
        <v>1.1182504</v>
      </c>
      <c r="Q29" s="124">
        <v>0</v>
      </c>
      <c r="R29" s="125">
        <f t="shared" si="3"/>
        <v>1.1182504</v>
      </c>
    </row>
    <row r="30" spans="1:18">
      <c r="A30" s="34" t="s">
        <v>170</v>
      </c>
      <c r="B30" s="1" t="s">
        <v>33</v>
      </c>
      <c r="C30" s="1" t="s">
        <v>171</v>
      </c>
      <c r="D30" s="11">
        <v>1.1539552</v>
      </c>
      <c r="E30" s="123">
        <v>0.13802716868977133</v>
      </c>
      <c r="F30" s="117">
        <f t="shared" si="0"/>
        <v>1.3132323690508387</v>
      </c>
      <c r="G30" s="55"/>
      <c r="H30" s="205">
        <v>1.1288138000000001</v>
      </c>
      <c r="I30" s="124">
        <v>0.1255974443735775</v>
      </c>
      <c r="J30" s="206">
        <f t="shared" si="1"/>
        <v>1.2705899284536266</v>
      </c>
      <c r="K30" s="55"/>
      <c r="L30" s="11">
        <f>VLOOKUP(A30,'CT Wage Index'!$A$7:$Q$36,17,FALSE)</f>
        <v>1.1758725000000001</v>
      </c>
      <c r="M30" s="124">
        <f>VLOOKUP(A30,'IME 2019'!$A$7:$N$35,14,FALSE)</f>
        <v>0.12120021426422961</v>
      </c>
      <c r="N30" s="117">
        <f t="shared" si="2"/>
        <v>1.3183884989474155</v>
      </c>
      <c r="O30" s="55"/>
      <c r="P30" s="11">
        <v>1.1539552</v>
      </c>
      <c r="Q30" s="124">
        <v>0.13802716868977133</v>
      </c>
      <c r="R30" s="125">
        <f t="shared" si="3"/>
        <v>1.3132323690508387</v>
      </c>
    </row>
    <row r="31" spans="1:18">
      <c r="A31" s="65" t="s">
        <v>172</v>
      </c>
      <c r="B31" s="3" t="s">
        <v>30</v>
      </c>
      <c r="C31" s="3" t="s">
        <v>173</v>
      </c>
      <c r="D31" s="70">
        <v>1.2279399999999998</v>
      </c>
      <c r="E31" s="113">
        <v>0.12261050402732217</v>
      </c>
      <c r="F31" s="126">
        <f t="shared" si="0"/>
        <v>1.3784983423153099</v>
      </c>
      <c r="G31" s="55"/>
      <c r="H31" s="207">
        <v>1.2040120999999999</v>
      </c>
      <c r="I31" s="128">
        <v>0.12462567686053673</v>
      </c>
      <c r="J31" s="208">
        <f t="shared" si="1"/>
        <v>1.3540629229107761</v>
      </c>
      <c r="K31" s="55"/>
      <c r="L31" s="127">
        <f>VLOOKUP(A31,'CT Wage Index'!$A$7:$Q$36,17,FALSE)</f>
        <v>1.181678</v>
      </c>
      <c r="M31" s="128">
        <f>VLOOKUP(A31,'IME 2019'!$A$7:$N$35,14,FALSE)</f>
        <v>0.13122399400155493</v>
      </c>
      <c r="N31" s="126">
        <f t="shared" si="2"/>
        <v>1.3367425067837695</v>
      </c>
      <c r="O31" s="55"/>
      <c r="P31" s="127">
        <v>1.2279399999999998</v>
      </c>
      <c r="Q31" s="128">
        <v>0.12261050402732217</v>
      </c>
      <c r="R31" s="126">
        <f t="shared" si="3"/>
        <v>1.3784983423153099</v>
      </c>
    </row>
    <row r="32" spans="1:18">
      <c r="A32" s="34" t="s">
        <v>174</v>
      </c>
      <c r="B32" s="1" t="s">
        <v>42</v>
      </c>
      <c r="C32" s="1" t="s">
        <v>175</v>
      </c>
      <c r="D32" s="11">
        <v>1.2279399999999998</v>
      </c>
      <c r="E32" s="123">
        <v>0.10496640768460958</v>
      </c>
      <c r="F32" s="117">
        <f t="shared" si="0"/>
        <v>1.3568324506522391</v>
      </c>
      <c r="G32" s="55"/>
      <c r="H32" s="205">
        <v>1.2040120999999999</v>
      </c>
      <c r="I32" s="124">
        <v>0.1015709534794892</v>
      </c>
      <c r="J32" s="206">
        <f t="shared" si="1"/>
        <v>1.3263047569978421</v>
      </c>
      <c r="K32" s="55"/>
      <c r="L32" s="11">
        <f>VLOOKUP(A32,'CT Wage Index'!$A$7:$Q$36,17,FALSE)</f>
        <v>1.181678</v>
      </c>
      <c r="M32" s="124">
        <f>VLOOKUP(A32,'IME 2019'!$A$7:$N$35,14,FALSE)</f>
        <v>0.11224761020416864</v>
      </c>
      <c r="N32" s="117">
        <f t="shared" si="2"/>
        <v>1.3143185315308417</v>
      </c>
      <c r="O32" s="55"/>
      <c r="P32" s="11">
        <v>1.2279399999999998</v>
      </c>
      <c r="Q32" s="124">
        <v>0.10496640768460958</v>
      </c>
      <c r="R32" s="125">
        <f t="shared" si="3"/>
        <v>1.3568324506522391</v>
      </c>
    </row>
    <row r="33" spans="1:18">
      <c r="A33" s="34" t="s">
        <v>176</v>
      </c>
      <c r="B33" s="1" t="s">
        <v>35</v>
      </c>
      <c r="C33" s="1" t="s">
        <v>177</v>
      </c>
      <c r="D33" s="11">
        <v>1.1182504</v>
      </c>
      <c r="E33" s="123">
        <v>7.7605601604617547E-2</v>
      </c>
      <c r="F33" s="117">
        <f t="shared" si="0"/>
        <v>1.2050328950366043</v>
      </c>
      <c r="G33" s="55"/>
      <c r="H33" s="205">
        <v>1.1067529</v>
      </c>
      <c r="I33" s="124">
        <v>8.5777414941812402E-2</v>
      </c>
      <c r="J33" s="206">
        <f t="shared" si="1"/>
        <v>1.2016873027413544</v>
      </c>
      <c r="K33" s="55"/>
      <c r="L33" s="11">
        <f>VLOOKUP(A33,'CT Wage Index'!$A$7:$Q$36,17,FALSE)</f>
        <v>1.1758725000000001</v>
      </c>
      <c r="M33" s="124">
        <f>VLOOKUP(A33,'IME 2019'!$A$7:$N$35,14,FALSE)</f>
        <v>8.4285137992856154E-2</v>
      </c>
      <c r="N33" s="117">
        <f t="shared" si="2"/>
        <v>1.2749810759245048</v>
      </c>
      <c r="O33" s="55"/>
      <c r="P33" s="11">
        <v>1.1182504</v>
      </c>
      <c r="Q33" s="124">
        <v>7.7605601604617547E-2</v>
      </c>
      <c r="R33" s="125">
        <f t="shared" si="3"/>
        <v>1.2050328950366043</v>
      </c>
    </row>
    <row r="34" spans="1:18">
      <c r="A34" s="34" t="s">
        <v>182</v>
      </c>
      <c r="B34" s="1" t="s">
        <v>183</v>
      </c>
      <c r="C34" s="1" t="s">
        <v>184</v>
      </c>
      <c r="D34" s="129">
        <v>1.1182504</v>
      </c>
      <c r="E34" s="123">
        <v>0.53951510070422448</v>
      </c>
      <c r="F34" s="117">
        <f t="shared" si="0"/>
        <v>1.7215633771685392</v>
      </c>
      <c r="G34" s="55"/>
      <c r="H34" s="205">
        <v>1.1067529</v>
      </c>
      <c r="I34" s="124">
        <v>0.58008416500076243</v>
      </c>
      <c r="J34" s="206">
        <f t="shared" si="1"/>
        <v>1.7487627318586725</v>
      </c>
      <c r="K34" s="55"/>
      <c r="L34" s="11">
        <f>VLOOKUP(A34,'CT Wage Index'!$A$7:$Q$36,17,FALSE)</f>
        <v>1.1758725000000001</v>
      </c>
      <c r="M34" s="124">
        <f>VLOOKUP(A34,'IME 2019'!$A$7:$N$35,14,FALSE)</f>
        <v>0.54867724160702069</v>
      </c>
      <c r="N34" s="117">
        <f t="shared" si="2"/>
        <v>1.8210469797815516</v>
      </c>
      <c r="O34" s="55"/>
      <c r="P34" s="11">
        <v>1.1182504</v>
      </c>
      <c r="Q34" s="124">
        <v>0.53951510070422448</v>
      </c>
      <c r="R34" s="125">
        <f t="shared" si="3"/>
        <v>1.7215633771685392</v>
      </c>
    </row>
    <row r="35" spans="1:18">
      <c r="A35" s="65" t="s">
        <v>179</v>
      </c>
      <c r="B35" s="3" t="s">
        <v>180</v>
      </c>
      <c r="C35" s="3" t="s">
        <v>213</v>
      </c>
      <c r="D35" s="70">
        <v>1.1182504</v>
      </c>
      <c r="E35" s="113">
        <v>0.21510115994878662</v>
      </c>
      <c r="F35" s="126">
        <f t="shared" si="0"/>
        <v>1.3587873581531946</v>
      </c>
      <c r="G35" s="39"/>
      <c r="H35" s="207">
        <v>1.1067529</v>
      </c>
      <c r="I35" s="128">
        <v>0.22859224392863225</v>
      </c>
      <c r="J35" s="208">
        <f t="shared" si="1"/>
        <v>1.3597480288855213</v>
      </c>
      <c r="K35" s="39"/>
      <c r="L35" s="127">
        <f>VLOOKUP(A35,'CT Wage Index'!$A$7:$Q$36,17,FALSE)</f>
        <v>1.1758725000000001</v>
      </c>
      <c r="M35" s="128">
        <f>VLOOKUP(A35,'IME 2019'!$A$7:$N$35,14,FALSE)</f>
        <v>0.22884779677891109</v>
      </c>
      <c r="N35" s="126">
        <f t="shared" si="2"/>
        <v>1.4449683309179102</v>
      </c>
      <c r="O35" s="39"/>
      <c r="P35" s="127">
        <v>1.1182504</v>
      </c>
      <c r="Q35" s="128">
        <v>0.21510115994878662</v>
      </c>
      <c r="R35" s="126">
        <f t="shared" si="3"/>
        <v>1.3587873581531946</v>
      </c>
    </row>
    <row r="36" spans="1:18">
      <c r="E36" s="114"/>
      <c r="H36" s="219"/>
      <c r="I36" s="219"/>
      <c r="J36" s="5"/>
      <c r="M36" s="114"/>
      <c r="Q36" s="114"/>
    </row>
    <row r="37" spans="1:18">
      <c r="A37" s="1"/>
      <c r="B37" s="1"/>
      <c r="C37" s="1"/>
      <c r="D37" s="1"/>
      <c r="H37" s="209"/>
      <c r="I37" s="5"/>
      <c r="J37" s="5"/>
    </row>
    <row r="38" spans="1:18">
      <c r="A38" s="1"/>
      <c r="B38" s="1"/>
      <c r="C38" s="1"/>
      <c r="D38" s="1"/>
      <c r="H38" s="220"/>
      <c r="I38" s="5"/>
      <c r="J38" s="5"/>
    </row>
    <row r="39" spans="1:18">
      <c r="A39" s="1"/>
      <c r="B39" s="1"/>
      <c r="C39" s="1"/>
      <c r="D39" s="1"/>
      <c r="H39" s="210"/>
      <c r="I39" s="5"/>
      <c r="J39" s="5"/>
    </row>
    <row r="40" spans="1:18" s="1" customFormat="1">
      <c r="F40" s="130"/>
      <c r="G40" s="130"/>
      <c r="H40" s="4"/>
      <c r="I40" s="4"/>
      <c r="J40" s="4"/>
    </row>
    <row r="41" spans="1:18" s="1" customFormat="1">
      <c r="F41" s="130"/>
      <c r="G41" s="130"/>
      <c r="I41" s="1" t="s">
        <v>55</v>
      </c>
    </row>
    <row r="42" spans="1:18" s="1" customFormat="1">
      <c r="F42" s="130"/>
      <c r="G42" s="130"/>
      <c r="L42" s="252"/>
      <c r="M42" s="252"/>
    </row>
    <row r="43" spans="1:18" s="1" customFormat="1">
      <c r="F43" s="130"/>
      <c r="G43" s="130"/>
    </row>
    <row r="44" spans="1:18" s="1" customFormat="1">
      <c r="F44" s="130"/>
      <c r="G44" s="130"/>
    </row>
    <row r="45" spans="1:18" s="1" customFormat="1">
      <c r="F45" s="130"/>
      <c r="G45" s="130"/>
    </row>
    <row r="69" spans="21:23">
      <c r="U69" s="112"/>
      <c r="V69" s="112"/>
    </row>
    <row r="70" spans="21:23">
      <c r="W70" s="93"/>
    </row>
    <row r="85" spans="2:7">
      <c r="B85" s="112"/>
      <c r="C85" s="112"/>
    </row>
    <row r="96" spans="2:7">
      <c r="F96" s="6"/>
      <c r="G96" s="6"/>
    </row>
    <row r="97" spans="6:7">
      <c r="F97" s="6"/>
      <c r="G97" s="6"/>
    </row>
    <row r="98" spans="6:7">
      <c r="F98" s="6"/>
      <c r="G98" s="6"/>
    </row>
    <row r="99" spans="6:7">
      <c r="F99" s="6"/>
      <c r="G99" s="6"/>
    </row>
    <row r="100" spans="6:7">
      <c r="F100" s="6"/>
      <c r="G100" s="6"/>
    </row>
    <row r="101" spans="6:7">
      <c r="F101" s="6"/>
      <c r="G101" s="6"/>
    </row>
    <row r="102" spans="6:7">
      <c r="F102" s="6"/>
      <c r="G102" s="6"/>
    </row>
    <row r="103" spans="6:7">
      <c r="F103" s="6"/>
      <c r="G103" s="6"/>
    </row>
    <row r="104" spans="6:7">
      <c r="F104" s="6"/>
      <c r="G104" s="6"/>
    </row>
    <row r="105" spans="6:7">
      <c r="F105" s="6"/>
      <c r="G105" s="6"/>
    </row>
    <row r="106" spans="6:7">
      <c r="F106" s="6"/>
      <c r="G106" s="6"/>
    </row>
    <row r="107" spans="6:7">
      <c r="F107" s="6"/>
      <c r="G107" s="6"/>
    </row>
    <row r="108" spans="6:7">
      <c r="F108" s="6"/>
      <c r="G108" s="6"/>
    </row>
    <row r="109" spans="6:7">
      <c r="F109" s="6"/>
      <c r="G109" s="6"/>
    </row>
    <row r="110" spans="6:7">
      <c r="F110" s="6"/>
      <c r="G110" s="6"/>
    </row>
    <row r="111" spans="6:7">
      <c r="F111" s="6"/>
      <c r="G111" s="6"/>
    </row>
  </sheetData>
  <mergeCells count="1">
    <mergeCell ref="L42:M42"/>
  </mergeCells>
  <pageMargins left="0.245" right="0.245" top="0.75" bottom="0.75" header="0.3" footer="0.3"/>
  <pageSetup scale="64" orientation="landscape" r:id="rId1"/>
  <headerFooter>
    <oddHeader>&amp;R&amp;P of &amp;N</oddHeader>
    <oddFooter>&amp;C&amp;Z&amp;F  (&amp;A)</oddFooter>
  </headerFooter>
  <rowBreaks count="2" manualBreakCount="2">
    <brk id="41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Normal="100" workbookViewId="0">
      <selection activeCell="B11" sqref="B11"/>
    </sheetView>
  </sheetViews>
  <sheetFormatPr defaultRowHeight="15"/>
  <cols>
    <col min="1" max="1" width="10" style="6" customWidth="1"/>
    <col min="2" max="2" width="10.5703125" style="6" customWidth="1"/>
    <col min="3" max="3" width="22.140625" style="6" customWidth="1"/>
    <col min="4" max="4" width="19.140625" style="6" bestFit="1" customWidth="1"/>
    <col min="5" max="5" width="11.140625" style="6" customWidth="1"/>
    <col min="6" max="6" width="29.5703125" style="6" customWidth="1"/>
    <col min="7" max="7" width="8.85546875" style="6" customWidth="1"/>
    <col min="8" max="8" width="12.85546875" style="6" customWidth="1"/>
    <col min="9" max="9" width="15.7109375" style="6" customWidth="1"/>
    <col min="10" max="10" width="1.7109375" style="6" customWidth="1"/>
    <col min="11" max="11" width="9" style="6" bestFit="1" customWidth="1"/>
    <col min="12" max="12" width="12.7109375" style="6" customWidth="1"/>
    <col min="13" max="13" width="15.7109375" style="6" customWidth="1"/>
    <col min="14" max="14" width="1.7109375" style="6" customWidth="1"/>
    <col min="15" max="15" width="8" style="6" bestFit="1" customWidth="1"/>
    <col min="16" max="16" width="12.5703125" style="6" customWidth="1"/>
    <col min="17" max="17" width="15.7109375" style="6" customWidth="1"/>
    <col min="18" max="18" width="1.7109375" style="6" customWidth="1"/>
    <col min="19" max="19" width="8" style="6" bestFit="1" customWidth="1"/>
    <col min="20" max="20" width="12.42578125" style="6" customWidth="1"/>
    <col min="21" max="21" width="15.7109375" style="6" customWidth="1"/>
    <col min="22" max="16384" width="9.140625" style="6"/>
  </cols>
  <sheetData>
    <row r="1" spans="1:21" ht="18.75" thickBot="1">
      <c r="A1" s="10" t="s">
        <v>50</v>
      </c>
      <c r="G1" s="5"/>
      <c r="H1" s="5"/>
      <c r="I1" s="5"/>
      <c r="J1" s="5"/>
      <c r="K1" s="5"/>
      <c r="L1" s="163"/>
      <c r="M1" s="164"/>
    </row>
    <row r="2" spans="1:21" ht="16.5" thickBot="1">
      <c r="A2" s="15" t="s">
        <v>237</v>
      </c>
      <c r="E2" s="6" t="s">
        <v>55</v>
      </c>
      <c r="K2" s="6" t="s">
        <v>238</v>
      </c>
      <c r="M2" s="165">
        <v>0.68300000000000005</v>
      </c>
      <c r="O2" s="6" t="s">
        <v>239</v>
      </c>
      <c r="Q2" s="165">
        <v>0.68300000000000005</v>
      </c>
      <c r="S2" s="6" t="s">
        <v>240</v>
      </c>
      <c r="U2" s="165">
        <v>0.69599999999999995</v>
      </c>
    </row>
    <row r="3" spans="1:21" ht="15.75">
      <c r="A3" s="15" t="s">
        <v>343</v>
      </c>
      <c r="F3" s="6" t="s">
        <v>55</v>
      </c>
      <c r="U3" s="29" t="s">
        <v>376</v>
      </c>
    </row>
    <row r="4" spans="1:21">
      <c r="G4" s="253">
        <v>2017</v>
      </c>
      <c r="H4" s="254"/>
      <c r="I4" s="255"/>
      <c r="K4" s="253">
        <v>2018</v>
      </c>
      <c r="L4" s="254"/>
      <c r="M4" s="255"/>
      <c r="O4" s="253">
        <v>2019</v>
      </c>
      <c r="P4" s="254"/>
      <c r="Q4" s="255"/>
      <c r="S4" s="253">
        <v>2020</v>
      </c>
      <c r="T4" s="254"/>
      <c r="U4" s="255"/>
    </row>
    <row r="5" spans="1:21" ht="43.9" customHeight="1">
      <c r="A5" s="166" t="s">
        <v>70</v>
      </c>
      <c r="B5" s="167" t="s">
        <v>71</v>
      </c>
      <c r="C5" s="167" t="s">
        <v>216</v>
      </c>
      <c r="D5" s="167" t="s">
        <v>241</v>
      </c>
      <c r="E5" s="168" t="s">
        <v>341</v>
      </c>
      <c r="F5" s="168" t="s">
        <v>242</v>
      </c>
      <c r="G5" s="169" t="s">
        <v>243</v>
      </c>
      <c r="H5" s="169" t="s">
        <v>342</v>
      </c>
      <c r="I5" s="170" t="s">
        <v>244</v>
      </c>
      <c r="J5" s="171"/>
      <c r="K5" s="168" t="s">
        <v>243</v>
      </c>
      <c r="L5" s="168" t="s">
        <v>342</v>
      </c>
      <c r="M5" s="172" t="s">
        <v>245</v>
      </c>
      <c r="N5" s="171"/>
      <c r="O5" s="168" t="s">
        <v>243</v>
      </c>
      <c r="P5" s="168" t="s">
        <v>342</v>
      </c>
      <c r="Q5" s="168" t="s">
        <v>246</v>
      </c>
      <c r="R5" s="171"/>
      <c r="S5" s="168" t="s">
        <v>243</v>
      </c>
      <c r="T5" s="168" t="s">
        <v>342</v>
      </c>
      <c r="U5" s="172" t="s">
        <v>247</v>
      </c>
    </row>
    <row r="6" spans="1:21" s="2" customFormat="1">
      <c r="A6" s="173" t="s">
        <v>96</v>
      </c>
      <c r="B6" s="174" t="s">
        <v>97</v>
      </c>
      <c r="C6" s="174" t="s">
        <v>98</v>
      </c>
      <c r="D6" s="174" t="s">
        <v>99</v>
      </c>
      <c r="E6" s="175" t="s">
        <v>100</v>
      </c>
      <c r="F6" s="175" t="s">
        <v>101</v>
      </c>
      <c r="G6" s="175" t="s">
        <v>102</v>
      </c>
      <c r="H6" s="175" t="s">
        <v>189</v>
      </c>
      <c r="I6" s="176" t="s">
        <v>248</v>
      </c>
      <c r="J6" s="177"/>
      <c r="K6" s="175" t="s">
        <v>191</v>
      </c>
      <c r="L6" s="175" t="s">
        <v>105</v>
      </c>
      <c r="M6" s="176" t="s">
        <v>249</v>
      </c>
      <c r="N6" s="177"/>
      <c r="O6" s="175" t="s">
        <v>107</v>
      </c>
      <c r="P6" s="175" t="s">
        <v>250</v>
      </c>
      <c r="Q6" s="175" t="s">
        <v>251</v>
      </c>
      <c r="R6" s="177"/>
      <c r="S6" s="175" t="s">
        <v>193</v>
      </c>
      <c r="T6" s="175" t="s">
        <v>111</v>
      </c>
      <c r="U6" s="176" t="s">
        <v>252</v>
      </c>
    </row>
    <row r="7" spans="1:21">
      <c r="A7" s="178" t="s">
        <v>253</v>
      </c>
      <c r="B7" s="1">
        <v>4041612</v>
      </c>
      <c r="C7" s="1" t="s">
        <v>254</v>
      </c>
      <c r="D7" s="1" t="s">
        <v>255</v>
      </c>
      <c r="E7" s="179" t="s">
        <v>344</v>
      </c>
      <c r="F7" s="1" t="s">
        <v>345</v>
      </c>
      <c r="G7" s="63">
        <v>1.2211999999999998</v>
      </c>
      <c r="H7" s="63">
        <v>0.69599999999999995</v>
      </c>
      <c r="I7" s="180">
        <f>(H7*G7)+(1-H7)</f>
        <v>1.1539552</v>
      </c>
      <c r="J7" s="181"/>
      <c r="K7" s="211">
        <v>1.1885999999999999</v>
      </c>
      <c r="L7" s="63">
        <f>M$2</f>
        <v>0.68300000000000005</v>
      </c>
      <c r="M7" s="180">
        <f>(L7*K7)+(1-L7)</f>
        <v>1.1288138000000001</v>
      </c>
      <c r="N7" s="181"/>
      <c r="O7" s="63">
        <f>VLOOKUP(VALUE(E7),Sheet2!$A$2:$C$6,3,FALSE)</f>
        <v>1.2575000000000001</v>
      </c>
      <c r="P7" s="63">
        <f>+L7</f>
        <v>0.68300000000000005</v>
      </c>
      <c r="Q7" s="64">
        <f>(P7*O7)+(1-P7)</f>
        <v>1.1758725000000001</v>
      </c>
      <c r="R7" s="181"/>
      <c r="S7" s="63">
        <v>1.2211999999999998</v>
      </c>
      <c r="T7" s="63">
        <v>0.69599999999999995</v>
      </c>
      <c r="U7" s="180">
        <f>(T7*S7)+(1-T7)</f>
        <v>1.1539552</v>
      </c>
    </row>
    <row r="8" spans="1:21">
      <c r="A8" s="178" t="s">
        <v>123</v>
      </c>
      <c r="B8" s="1">
        <v>4041620</v>
      </c>
      <c r="C8" s="1" t="s">
        <v>124</v>
      </c>
      <c r="D8" s="1" t="s">
        <v>256</v>
      </c>
      <c r="E8" s="115" t="s">
        <v>266</v>
      </c>
      <c r="F8" s="1" t="s">
        <v>346</v>
      </c>
      <c r="G8" s="63">
        <v>1.1698999999999999</v>
      </c>
      <c r="H8" s="63">
        <v>0.69599999999999995</v>
      </c>
      <c r="I8" s="182">
        <f t="shared" ref="I8:I36" si="0">(H8*G8)+(1-H8)</f>
        <v>1.1182504</v>
      </c>
      <c r="J8" s="181"/>
      <c r="K8" s="211">
        <v>1.1562999999999999</v>
      </c>
      <c r="L8" s="63">
        <f t="shared" ref="L8:L36" si="1">M$2</f>
        <v>0.68300000000000005</v>
      </c>
      <c r="M8" s="182">
        <f t="shared" ref="M8:M36" si="2">(L8*K8)+(1-L8)</f>
        <v>1.1067529</v>
      </c>
      <c r="N8" s="181"/>
      <c r="O8" s="63">
        <f>VLOOKUP(VALUE(E8),Sheet2!$A$2:$C$6,3,FALSE)</f>
        <v>1.2575000000000001</v>
      </c>
      <c r="P8" s="63">
        <v>0.68300000000000005</v>
      </c>
      <c r="Q8" s="63">
        <f t="shared" ref="Q8:Q36" si="3">(P8*O8)+(1-P8)</f>
        <v>1.1758725000000001</v>
      </c>
      <c r="R8" s="181"/>
      <c r="S8" s="63">
        <v>1.1698999999999999</v>
      </c>
      <c r="T8" s="63">
        <v>0.69599999999999995</v>
      </c>
      <c r="U8" s="182">
        <f t="shared" ref="U8:U36" si="4">(T8*S8)+(1-T8)</f>
        <v>1.1182504</v>
      </c>
    </row>
    <row r="9" spans="1:21">
      <c r="A9" s="178" t="s">
        <v>125</v>
      </c>
      <c r="B9" s="1">
        <v>4041638</v>
      </c>
      <c r="C9" s="1" t="s">
        <v>126</v>
      </c>
      <c r="D9" s="1" t="s">
        <v>257</v>
      </c>
      <c r="E9" s="115" t="s">
        <v>347</v>
      </c>
      <c r="F9" s="183" t="s">
        <v>348</v>
      </c>
      <c r="G9" s="63">
        <v>1.1698999999999999</v>
      </c>
      <c r="H9" s="63">
        <v>0.69599999999999995</v>
      </c>
      <c r="I9" s="182">
        <f t="shared" si="0"/>
        <v>1.1182504</v>
      </c>
      <c r="J9" s="181"/>
      <c r="K9" s="211">
        <v>1.1848999999999998</v>
      </c>
      <c r="L9" s="63">
        <f t="shared" si="1"/>
        <v>0.68300000000000005</v>
      </c>
      <c r="M9" s="182">
        <f t="shared" si="2"/>
        <v>1.1262866999999999</v>
      </c>
      <c r="N9" s="181"/>
      <c r="O9" s="63">
        <f>VLOOKUP(VALUE(E9),Sheet2!$A$2:$C$6,3,FALSE)</f>
        <v>1.2575000000000001</v>
      </c>
      <c r="P9" s="63">
        <v>0.68300000000000005</v>
      </c>
      <c r="Q9" s="63">
        <f t="shared" si="3"/>
        <v>1.1758725000000001</v>
      </c>
      <c r="R9" s="181"/>
      <c r="S9" s="63">
        <v>1.1698999999999999</v>
      </c>
      <c r="T9" s="63">
        <v>0.69599999999999995</v>
      </c>
      <c r="U9" s="182">
        <f t="shared" si="4"/>
        <v>1.1182504</v>
      </c>
    </row>
    <row r="10" spans="1:21">
      <c r="A10" s="178" t="s">
        <v>127</v>
      </c>
      <c r="B10" s="52">
        <v>8074563</v>
      </c>
      <c r="C10" s="1" t="s">
        <v>128</v>
      </c>
      <c r="D10" s="1" t="s">
        <v>258</v>
      </c>
      <c r="E10" s="184" t="s">
        <v>349</v>
      </c>
      <c r="F10" s="1" t="s">
        <v>350</v>
      </c>
      <c r="G10" s="63">
        <v>1.1698999999999999</v>
      </c>
      <c r="H10" s="63">
        <v>0.69599999999999995</v>
      </c>
      <c r="I10" s="182">
        <f t="shared" si="0"/>
        <v>1.1182504</v>
      </c>
      <c r="J10" s="181"/>
      <c r="K10" s="211">
        <v>1.1562999999999999</v>
      </c>
      <c r="L10" s="63">
        <f t="shared" si="1"/>
        <v>0.68300000000000005</v>
      </c>
      <c r="M10" s="182">
        <f t="shared" si="2"/>
        <v>1.1067529</v>
      </c>
      <c r="N10" s="181"/>
      <c r="O10" s="63">
        <f>+O9</f>
        <v>1.2575000000000001</v>
      </c>
      <c r="P10" s="63">
        <v>0.68300000000000005</v>
      </c>
      <c r="Q10" s="63">
        <f t="shared" si="3"/>
        <v>1.1758725000000001</v>
      </c>
      <c r="R10" s="181"/>
      <c r="S10" s="63">
        <v>1.1698999999999999</v>
      </c>
      <c r="T10" s="63">
        <v>0.69599999999999995</v>
      </c>
      <c r="U10" s="182">
        <f t="shared" si="4"/>
        <v>1.1182504</v>
      </c>
    </row>
    <row r="11" spans="1:21">
      <c r="A11" s="185" t="s">
        <v>129</v>
      </c>
      <c r="B11" s="3">
        <v>8069222</v>
      </c>
      <c r="C11" s="3" t="s">
        <v>130</v>
      </c>
      <c r="D11" s="3" t="s">
        <v>255</v>
      </c>
      <c r="E11" s="186" t="s">
        <v>344</v>
      </c>
      <c r="F11" s="3" t="s">
        <v>345</v>
      </c>
      <c r="G11" s="67">
        <v>1.2211999999999998</v>
      </c>
      <c r="H11" s="67">
        <v>0.69599999999999995</v>
      </c>
      <c r="I11" s="187">
        <f t="shared" si="0"/>
        <v>1.1539552</v>
      </c>
      <c r="J11" s="181"/>
      <c r="K11" s="212">
        <v>1.1885999999999999</v>
      </c>
      <c r="L11" s="67">
        <f t="shared" si="1"/>
        <v>0.68300000000000005</v>
      </c>
      <c r="M11" s="187">
        <f t="shared" si="2"/>
        <v>1.1288138000000001</v>
      </c>
      <c r="N11" s="181"/>
      <c r="O11" s="67">
        <f>VLOOKUP(VALUE(E11),Sheet2!$A$2:$C$6,3,FALSE)</f>
        <v>1.2575000000000001</v>
      </c>
      <c r="P11" s="67">
        <v>0.68300000000000005</v>
      </c>
      <c r="Q11" s="67">
        <f t="shared" si="3"/>
        <v>1.1758725000000001</v>
      </c>
      <c r="R11" s="181"/>
      <c r="S11" s="67">
        <v>1.2211999999999998</v>
      </c>
      <c r="T11" s="67">
        <v>0.69599999999999995</v>
      </c>
      <c r="U11" s="187">
        <f t="shared" si="4"/>
        <v>1.1539552</v>
      </c>
    </row>
    <row r="12" spans="1:21">
      <c r="A12" s="178" t="s">
        <v>131</v>
      </c>
      <c r="B12" s="1">
        <v>4041661</v>
      </c>
      <c r="C12" s="1" t="s">
        <v>132</v>
      </c>
      <c r="D12" s="1" t="s">
        <v>259</v>
      </c>
      <c r="E12" s="115" t="s">
        <v>351</v>
      </c>
      <c r="F12" s="1" t="s">
        <v>352</v>
      </c>
      <c r="G12" s="63">
        <v>1.3274999999999999</v>
      </c>
      <c r="H12" s="63">
        <v>0.69599999999999995</v>
      </c>
      <c r="I12" s="182">
        <f t="shared" si="0"/>
        <v>1.2279399999999998</v>
      </c>
      <c r="J12" s="181"/>
      <c r="K12" s="211">
        <v>1.2987</v>
      </c>
      <c r="L12" s="63">
        <f t="shared" si="1"/>
        <v>0.68300000000000005</v>
      </c>
      <c r="M12" s="182">
        <f t="shared" si="2"/>
        <v>1.2040120999999999</v>
      </c>
      <c r="N12" s="181"/>
      <c r="O12" s="63">
        <f>VLOOKUP(VALUE(E12),Sheet2!$A$2:$C$6,3,FALSE)</f>
        <v>1.266</v>
      </c>
      <c r="P12" s="63">
        <v>0.68300000000000005</v>
      </c>
      <c r="Q12" s="63">
        <f t="shared" si="3"/>
        <v>1.181678</v>
      </c>
      <c r="R12" s="181"/>
      <c r="S12" s="63">
        <v>1.3274999999999999</v>
      </c>
      <c r="T12" s="63">
        <v>0.69599999999999995</v>
      </c>
      <c r="U12" s="182">
        <f t="shared" si="4"/>
        <v>1.2279399999999998</v>
      </c>
    </row>
    <row r="13" spans="1:21">
      <c r="A13" s="178" t="s">
        <v>133</v>
      </c>
      <c r="B13" s="1">
        <v>4041679</v>
      </c>
      <c r="C13" s="1" t="s">
        <v>134</v>
      </c>
      <c r="D13" s="1" t="s">
        <v>260</v>
      </c>
      <c r="E13" s="115" t="s">
        <v>353</v>
      </c>
      <c r="F13" s="1" t="s">
        <v>354</v>
      </c>
      <c r="G13" s="63">
        <v>1.1705999999999999</v>
      </c>
      <c r="H13" s="63">
        <v>0.69599999999999995</v>
      </c>
      <c r="I13" s="182">
        <f t="shared" si="0"/>
        <v>1.1187375999999998</v>
      </c>
      <c r="J13" s="181"/>
      <c r="K13" s="211">
        <v>1.2114999999999998</v>
      </c>
      <c r="L13" s="63">
        <f t="shared" si="1"/>
        <v>0.68300000000000005</v>
      </c>
      <c r="M13" s="182">
        <f t="shared" si="2"/>
        <v>1.1444544999999997</v>
      </c>
      <c r="N13" s="181"/>
      <c r="O13" s="63">
        <f>VLOOKUP(VALUE(E13),Sheet2!$A$2:$C$6,3,FALSE)</f>
        <v>1.2575000000000001</v>
      </c>
      <c r="P13" s="63">
        <v>0.68300000000000005</v>
      </c>
      <c r="Q13" s="63">
        <f t="shared" si="3"/>
        <v>1.1758725000000001</v>
      </c>
      <c r="R13" s="181"/>
      <c r="S13" s="63">
        <v>1.1705999999999999</v>
      </c>
      <c r="T13" s="63">
        <v>0.69599999999999995</v>
      </c>
      <c r="U13" s="182">
        <f t="shared" si="4"/>
        <v>1.1187375999999998</v>
      </c>
    </row>
    <row r="14" spans="1:21">
      <c r="A14" s="178" t="s">
        <v>135</v>
      </c>
      <c r="B14" s="1">
        <v>4041687</v>
      </c>
      <c r="C14" s="1" t="s">
        <v>136</v>
      </c>
      <c r="D14" s="1" t="s">
        <v>261</v>
      </c>
      <c r="E14" s="115" t="s">
        <v>266</v>
      </c>
      <c r="F14" s="1" t="s">
        <v>346</v>
      </c>
      <c r="G14" s="63">
        <v>1.1698999999999999</v>
      </c>
      <c r="H14" s="63">
        <v>0.69599999999999995</v>
      </c>
      <c r="I14" s="182">
        <f t="shared" si="0"/>
        <v>1.1182504</v>
      </c>
      <c r="J14" s="181"/>
      <c r="K14" s="211">
        <v>1.1562999999999999</v>
      </c>
      <c r="L14" s="63">
        <f t="shared" si="1"/>
        <v>0.68300000000000005</v>
      </c>
      <c r="M14" s="182">
        <f t="shared" si="2"/>
        <v>1.1067529</v>
      </c>
      <c r="N14" s="181"/>
      <c r="O14" s="63">
        <f>VLOOKUP(VALUE(E14),Sheet2!$A$2:$C$6,3,FALSE)</f>
        <v>1.2575000000000001</v>
      </c>
      <c r="P14" s="63">
        <v>0.68300000000000005</v>
      </c>
      <c r="Q14" s="63">
        <f t="shared" si="3"/>
        <v>1.1758725000000001</v>
      </c>
      <c r="R14" s="181"/>
      <c r="S14" s="63">
        <v>1.1698999999999999</v>
      </c>
      <c r="T14" s="63">
        <v>0.69599999999999995</v>
      </c>
      <c r="U14" s="182">
        <f t="shared" si="4"/>
        <v>1.1182504</v>
      </c>
    </row>
    <row r="15" spans="1:21">
      <c r="A15" s="178" t="s">
        <v>137</v>
      </c>
      <c r="B15" s="1">
        <v>4041703</v>
      </c>
      <c r="C15" s="1" t="s">
        <v>138</v>
      </c>
      <c r="D15" s="1" t="s">
        <v>259</v>
      </c>
      <c r="E15" s="115" t="s">
        <v>351</v>
      </c>
      <c r="F15" s="1" t="s">
        <v>352</v>
      </c>
      <c r="G15" s="63">
        <v>1.3274999999999999</v>
      </c>
      <c r="H15" s="63">
        <v>0.69599999999999995</v>
      </c>
      <c r="I15" s="180">
        <f t="shared" si="0"/>
        <v>1.2279399999999998</v>
      </c>
      <c r="J15" s="181"/>
      <c r="K15" s="211">
        <v>1.2987</v>
      </c>
      <c r="L15" s="63">
        <f t="shared" si="1"/>
        <v>0.68300000000000005</v>
      </c>
      <c r="M15" s="180">
        <f t="shared" si="2"/>
        <v>1.2040120999999999</v>
      </c>
      <c r="N15" s="181"/>
      <c r="O15" s="63">
        <f>VLOOKUP(VALUE(E15),Sheet2!$A$2:$C$6,3,FALSE)</f>
        <v>1.266</v>
      </c>
      <c r="P15" s="63">
        <v>0.68300000000000005</v>
      </c>
      <c r="Q15" s="64">
        <f t="shared" si="3"/>
        <v>1.181678</v>
      </c>
      <c r="R15" s="181"/>
      <c r="S15" s="63">
        <v>1.3274999999999999</v>
      </c>
      <c r="T15" s="63">
        <v>0.69599999999999995</v>
      </c>
      <c r="U15" s="180">
        <f t="shared" si="4"/>
        <v>1.2279399999999998</v>
      </c>
    </row>
    <row r="16" spans="1:21">
      <c r="A16" s="185" t="s">
        <v>139</v>
      </c>
      <c r="B16" s="3">
        <v>4041711</v>
      </c>
      <c r="C16" s="3" t="s">
        <v>140</v>
      </c>
      <c r="D16" s="3" t="s">
        <v>258</v>
      </c>
      <c r="E16" s="188" t="s">
        <v>349</v>
      </c>
      <c r="F16" s="3" t="s">
        <v>350</v>
      </c>
      <c r="G16" s="67">
        <v>1.1698999999999999</v>
      </c>
      <c r="H16" s="67">
        <v>0.69599999999999995</v>
      </c>
      <c r="I16" s="187">
        <f t="shared" si="0"/>
        <v>1.1182504</v>
      </c>
      <c r="J16" s="181"/>
      <c r="K16" s="212">
        <v>1.1562999999999999</v>
      </c>
      <c r="L16" s="67">
        <f t="shared" si="1"/>
        <v>0.68300000000000005</v>
      </c>
      <c r="M16" s="187">
        <f t="shared" si="2"/>
        <v>1.1067529</v>
      </c>
      <c r="N16" s="181"/>
      <c r="O16" s="67">
        <f>+O14</f>
        <v>1.2575000000000001</v>
      </c>
      <c r="P16" s="67">
        <v>0.68300000000000005</v>
      </c>
      <c r="Q16" s="67">
        <f t="shared" si="3"/>
        <v>1.1758725000000001</v>
      </c>
      <c r="R16" s="181"/>
      <c r="S16" s="67">
        <v>1.1698999999999999</v>
      </c>
      <c r="T16" s="67">
        <v>0.69599999999999995</v>
      </c>
      <c r="U16" s="187">
        <f t="shared" si="4"/>
        <v>1.1182504</v>
      </c>
    </row>
    <row r="17" spans="1:21">
      <c r="A17" s="178" t="s">
        <v>141</v>
      </c>
      <c r="B17" s="1">
        <v>8069217</v>
      </c>
      <c r="C17" s="1" t="s">
        <v>142</v>
      </c>
      <c r="D17" s="1" t="s">
        <v>261</v>
      </c>
      <c r="E17" s="115" t="s">
        <v>266</v>
      </c>
      <c r="F17" s="1" t="s">
        <v>346</v>
      </c>
      <c r="G17" s="63">
        <v>1.1698999999999999</v>
      </c>
      <c r="H17" s="63">
        <v>0.69599999999999995</v>
      </c>
      <c r="I17" s="182">
        <f t="shared" si="0"/>
        <v>1.1182504</v>
      </c>
      <c r="J17" s="181"/>
      <c r="K17" s="211">
        <v>1.1562999999999999</v>
      </c>
      <c r="L17" s="63">
        <f t="shared" si="1"/>
        <v>0.68300000000000005</v>
      </c>
      <c r="M17" s="182">
        <f t="shared" si="2"/>
        <v>1.1067529</v>
      </c>
      <c r="N17" s="181"/>
      <c r="O17" s="63">
        <f>VLOOKUP(VALUE(E17),Sheet2!$A$2:$C$6,3,FALSE)</f>
        <v>1.2575000000000001</v>
      </c>
      <c r="P17" s="63">
        <v>0.68300000000000005</v>
      </c>
      <c r="Q17" s="63">
        <f t="shared" si="3"/>
        <v>1.1758725000000001</v>
      </c>
      <c r="R17" s="181"/>
      <c r="S17" s="63">
        <v>1.1698999999999999</v>
      </c>
      <c r="T17" s="63">
        <v>0.69599999999999995</v>
      </c>
      <c r="U17" s="182">
        <f t="shared" si="4"/>
        <v>1.1182504</v>
      </c>
    </row>
    <row r="18" spans="1:21">
      <c r="A18" s="178" t="s">
        <v>143</v>
      </c>
      <c r="B18" s="1">
        <v>4041752</v>
      </c>
      <c r="C18" s="1" t="s">
        <v>145</v>
      </c>
      <c r="D18" s="1" t="s">
        <v>258</v>
      </c>
      <c r="E18" s="184" t="s">
        <v>349</v>
      </c>
      <c r="F18" s="1" t="s">
        <v>350</v>
      </c>
      <c r="G18" s="63">
        <v>1.1698999999999999</v>
      </c>
      <c r="H18" s="63">
        <v>0.69599999999999995</v>
      </c>
      <c r="I18" s="182">
        <f t="shared" si="0"/>
        <v>1.1182504</v>
      </c>
      <c r="J18" s="181"/>
      <c r="K18" s="211">
        <v>1.1562999999999999</v>
      </c>
      <c r="L18" s="63">
        <f t="shared" si="1"/>
        <v>0.68300000000000005</v>
      </c>
      <c r="M18" s="182">
        <f t="shared" si="2"/>
        <v>1.1067529</v>
      </c>
      <c r="N18" s="181"/>
      <c r="O18" s="63">
        <f>+O17</f>
        <v>1.2575000000000001</v>
      </c>
      <c r="P18" s="63">
        <v>0.68300000000000005</v>
      </c>
      <c r="Q18" s="63">
        <f t="shared" si="3"/>
        <v>1.1758725000000001</v>
      </c>
      <c r="R18" s="181"/>
      <c r="S18" s="63">
        <v>1.1698999999999999</v>
      </c>
      <c r="T18" s="63">
        <v>0.69599999999999995</v>
      </c>
      <c r="U18" s="182">
        <f t="shared" si="4"/>
        <v>1.1182504</v>
      </c>
    </row>
    <row r="19" spans="1:21">
      <c r="A19" s="178" t="s">
        <v>146</v>
      </c>
      <c r="B19" s="1">
        <v>4041760</v>
      </c>
      <c r="C19" s="1" t="s">
        <v>262</v>
      </c>
      <c r="D19" s="1" t="s">
        <v>255</v>
      </c>
      <c r="E19" s="179" t="s">
        <v>344</v>
      </c>
      <c r="F19" s="1" t="s">
        <v>345</v>
      </c>
      <c r="G19" s="63">
        <v>1.2211999999999998</v>
      </c>
      <c r="H19" s="63">
        <v>0.69599999999999995</v>
      </c>
      <c r="I19" s="182">
        <f t="shared" si="0"/>
        <v>1.1539552</v>
      </c>
      <c r="J19" s="181"/>
      <c r="K19" s="211">
        <v>1.1885999999999999</v>
      </c>
      <c r="L19" s="63">
        <f t="shared" si="1"/>
        <v>0.68300000000000005</v>
      </c>
      <c r="M19" s="182">
        <f t="shared" si="2"/>
        <v>1.1288138000000001</v>
      </c>
      <c r="N19" s="181"/>
      <c r="O19" s="63">
        <f>VLOOKUP(VALUE(E19),Sheet2!$A$2:$C$6,3,FALSE)</f>
        <v>1.2575000000000001</v>
      </c>
      <c r="P19" s="63">
        <v>0.68300000000000005</v>
      </c>
      <c r="Q19" s="63">
        <f t="shared" si="3"/>
        <v>1.1758725000000001</v>
      </c>
      <c r="R19" s="181"/>
      <c r="S19" s="63">
        <v>1.2211999999999998</v>
      </c>
      <c r="T19" s="63">
        <v>0.69599999999999995</v>
      </c>
      <c r="U19" s="182">
        <f t="shared" si="4"/>
        <v>1.1539552</v>
      </c>
    </row>
    <row r="20" spans="1:21">
      <c r="A20" s="178" t="s">
        <v>148</v>
      </c>
      <c r="B20" s="1">
        <v>4041778</v>
      </c>
      <c r="C20" s="1" t="s">
        <v>149</v>
      </c>
      <c r="D20" s="1" t="s">
        <v>255</v>
      </c>
      <c r="E20" s="179" t="s">
        <v>344</v>
      </c>
      <c r="F20" s="1" t="s">
        <v>345</v>
      </c>
      <c r="G20" s="63">
        <v>1.2211999999999998</v>
      </c>
      <c r="H20" s="63">
        <v>0.69599999999999995</v>
      </c>
      <c r="I20" s="182">
        <f t="shared" si="0"/>
        <v>1.1539552</v>
      </c>
      <c r="J20" s="181"/>
      <c r="K20" s="211">
        <v>1.1885999999999999</v>
      </c>
      <c r="L20" s="63">
        <f t="shared" si="1"/>
        <v>0.68300000000000005</v>
      </c>
      <c r="M20" s="182">
        <f t="shared" si="2"/>
        <v>1.1288138000000001</v>
      </c>
      <c r="N20" s="181"/>
      <c r="O20" s="63">
        <f>VLOOKUP(VALUE(E20),Sheet2!$A$2:$C$6,3,FALSE)</f>
        <v>1.2575000000000001</v>
      </c>
      <c r="P20" s="63">
        <v>0.68300000000000005</v>
      </c>
      <c r="Q20" s="63">
        <f t="shared" si="3"/>
        <v>1.1758725000000001</v>
      </c>
      <c r="R20" s="181"/>
      <c r="S20" s="63">
        <v>1.2211999999999998</v>
      </c>
      <c r="T20" s="63">
        <v>0.69599999999999995</v>
      </c>
      <c r="U20" s="182">
        <f t="shared" si="4"/>
        <v>1.1539552</v>
      </c>
    </row>
    <row r="21" spans="1:21">
      <c r="A21" s="185" t="s">
        <v>150</v>
      </c>
      <c r="B21" s="3">
        <v>4041786</v>
      </c>
      <c r="C21" s="3" t="s">
        <v>151</v>
      </c>
      <c r="D21" s="3" t="s">
        <v>259</v>
      </c>
      <c r="E21" s="131" t="s">
        <v>351</v>
      </c>
      <c r="F21" s="3" t="s">
        <v>352</v>
      </c>
      <c r="G21" s="67">
        <v>1.3274999999999999</v>
      </c>
      <c r="H21" s="67">
        <v>0.69599999999999995</v>
      </c>
      <c r="I21" s="187">
        <f t="shared" si="0"/>
        <v>1.2279399999999998</v>
      </c>
      <c r="J21" s="181"/>
      <c r="K21" s="212">
        <v>1.2987</v>
      </c>
      <c r="L21" s="67">
        <f t="shared" si="1"/>
        <v>0.68300000000000005</v>
      </c>
      <c r="M21" s="187">
        <f t="shared" si="2"/>
        <v>1.2040120999999999</v>
      </c>
      <c r="N21" s="181"/>
      <c r="O21" s="67">
        <f>VLOOKUP(VALUE(E21),Sheet2!$A$2:$C$6,3,FALSE)</f>
        <v>1.266</v>
      </c>
      <c r="P21" s="67">
        <v>0.68300000000000005</v>
      </c>
      <c r="Q21" s="67">
        <f t="shared" si="3"/>
        <v>1.181678</v>
      </c>
      <c r="R21" s="181"/>
      <c r="S21" s="67">
        <v>1.3274999999999999</v>
      </c>
      <c r="T21" s="67">
        <v>0.69599999999999995</v>
      </c>
      <c r="U21" s="187">
        <f t="shared" si="4"/>
        <v>1.2279399999999998</v>
      </c>
    </row>
    <row r="22" spans="1:21">
      <c r="A22" s="178" t="s">
        <v>152</v>
      </c>
      <c r="B22" s="1">
        <v>4041794</v>
      </c>
      <c r="C22" s="1" t="s">
        <v>153</v>
      </c>
      <c r="D22" s="1" t="s">
        <v>255</v>
      </c>
      <c r="E22" s="179" t="s">
        <v>344</v>
      </c>
      <c r="F22" s="1" t="s">
        <v>345</v>
      </c>
      <c r="G22" s="63">
        <v>1.2211999999999998</v>
      </c>
      <c r="H22" s="63">
        <v>0.69599999999999995</v>
      </c>
      <c r="I22" s="182">
        <f t="shared" si="0"/>
        <v>1.1539552</v>
      </c>
      <c r="J22" s="181"/>
      <c r="K22" s="211">
        <v>1.1885999999999999</v>
      </c>
      <c r="L22" s="63">
        <f t="shared" si="1"/>
        <v>0.68300000000000005</v>
      </c>
      <c r="M22" s="182">
        <f t="shared" si="2"/>
        <v>1.1288138000000001</v>
      </c>
      <c r="N22" s="181"/>
      <c r="O22" s="63">
        <f>VLOOKUP(VALUE(E22),Sheet2!$A$2:$C$6,3,FALSE)</f>
        <v>1.2575000000000001</v>
      </c>
      <c r="P22" s="63">
        <v>0.68300000000000005</v>
      </c>
      <c r="Q22" s="63">
        <f t="shared" si="3"/>
        <v>1.1758725000000001</v>
      </c>
      <c r="R22" s="181"/>
      <c r="S22" s="63">
        <v>1.2211999999999998</v>
      </c>
      <c r="T22" s="63">
        <v>0.69599999999999995</v>
      </c>
      <c r="U22" s="182">
        <f t="shared" si="4"/>
        <v>1.1539552</v>
      </c>
    </row>
    <row r="23" spans="1:21">
      <c r="A23" s="178" t="s">
        <v>154</v>
      </c>
      <c r="B23" s="1">
        <v>4041810</v>
      </c>
      <c r="C23" s="1" t="s">
        <v>155</v>
      </c>
      <c r="D23" s="1" t="s">
        <v>263</v>
      </c>
      <c r="E23" s="115" t="s">
        <v>266</v>
      </c>
      <c r="F23" s="1" t="s">
        <v>346</v>
      </c>
      <c r="G23" s="63">
        <v>1.1698999999999999</v>
      </c>
      <c r="H23" s="63">
        <v>0.69599999999999995</v>
      </c>
      <c r="I23" s="182">
        <f t="shared" si="0"/>
        <v>1.1182504</v>
      </c>
      <c r="J23" s="181"/>
      <c r="K23" s="211">
        <v>1.1562999999999999</v>
      </c>
      <c r="L23" s="63">
        <f t="shared" si="1"/>
        <v>0.68300000000000005</v>
      </c>
      <c r="M23" s="182">
        <f t="shared" si="2"/>
        <v>1.1067529</v>
      </c>
      <c r="N23" s="181"/>
      <c r="O23" s="63">
        <f>VLOOKUP(VALUE(E23),Sheet2!$A$2:$C$6,3,FALSE)</f>
        <v>1.2575000000000001</v>
      </c>
      <c r="P23" s="63">
        <v>0.68300000000000005</v>
      </c>
      <c r="Q23" s="63">
        <f t="shared" si="3"/>
        <v>1.1758725000000001</v>
      </c>
      <c r="R23" s="181"/>
      <c r="S23" s="63">
        <v>1.1698999999999999</v>
      </c>
      <c r="T23" s="63">
        <v>0.69599999999999995</v>
      </c>
      <c r="U23" s="182">
        <f t="shared" si="4"/>
        <v>1.1182504</v>
      </c>
    </row>
    <row r="24" spans="1:21">
      <c r="A24" s="178" t="s">
        <v>156</v>
      </c>
      <c r="B24" s="1">
        <v>4041828</v>
      </c>
      <c r="C24" s="1" t="s">
        <v>157</v>
      </c>
      <c r="D24" s="1" t="s">
        <v>257</v>
      </c>
      <c r="E24" s="115" t="s">
        <v>347</v>
      </c>
      <c r="F24" s="183" t="s">
        <v>348</v>
      </c>
      <c r="G24" s="63">
        <v>1.1698999999999999</v>
      </c>
      <c r="H24" s="63">
        <v>0.69599999999999995</v>
      </c>
      <c r="I24" s="182">
        <f t="shared" si="0"/>
        <v>1.1182504</v>
      </c>
      <c r="J24" s="181"/>
      <c r="K24" s="211">
        <v>1.1848999999999998</v>
      </c>
      <c r="L24" s="63">
        <f t="shared" si="1"/>
        <v>0.68300000000000005</v>
      </c>
      <c r="M24" s="182">
        <f t="shared" si="2"/>
        <v>1.1262866999999999</v>
      </c>
      <c r="N24" s="181"/>
      <c r="O24" s="63">
        <f>VLOOKUP(VALUE(E24),Sheet2!$A$2:$C$6,3,FALSE)</f>
        <v>1.2575000000000001</v>
      </c>
      <c r="P24" s="63">
        <v>0.68300000000000005</v>
      </c>
      <c r="Q24" s="63">
        <f t="shared" si="3"/>
        <v>1.1758725000000001</v>
      </c>
      <c r="R24" s="181"/>
      <c r="S24" s="63">
        <v>1.1698999999999999</v>
      </c>
      <c r="T24" s="63">
        <v>0.69599999999999995</v>
      </c>
      <c r="U24" s="182">
        <f t="shared" si="4"/>
        <v>1.1182504</v>
      </c>
    </row>
    <row r="25" spans="1:21">
      <c r="A25" s="178" t="s">
        <v>158</v>
      </c>
      <c r="B25" s="1">
        <v>4041836</v>
      </c>
      <c r="C25" s="1" t="s">
        <v>159</v>
      </c>
      <c r="D25" s="1" t="s">
        <v>255</v>
      </c>
      <c r="E25" s="179" t="s">
        <v>344</v>
      </c>
      <c r="F25" s="1" t="s">
        <v>345</v>
      </c>
      <c r="G25" s="63">
        <v>1.2211999999999998</v>
      </c>
      <c r="H25" s="63">
        <v>0.69599999999999995</v>
      </c>
      <c r="I25" s="182">
        <f t="shared" si="0"/>
        <v>1.1539552</v>
      </c>
      <c r="J25" s="181"/>
      <c r="K25" s="211">
        <v>1.1885999999999999</v>
      </c>
      <c r="L25" s="63">
        <f t="shared" si="1"/>
        <v>0.68300000000000005</v>
      </c>
      <c r="M25" s="182">
        <f t="shared" si="2"/>
        <v>1.1288138000000001</v>
      </c>
      <c r="N25" s="181"/>
      <c r="O25" s="63">
        <f>VLOOKUP(VALUE(E25),Sheet2!$A$2:$C$6,3,FALSE)</f>
        <v>1.2575000000000001</v>
      </c>
      <c r="P25" s="63">
        <v>0.68300000000000005</v>
      </c>
      <c r="Q25" s="63">
        <f t="shared" si="3"/>
        <v>1.1758725000000001</v>
      </c>
      <c r="R25" s="181"/>
      <c r="S25" s="63">
        <v>1.2211999999999998</v>
      </c>
      <c r="T25" s="63">
        <v>0.69599999999999995</v>
      </c>
      <c r="U25" s="182">
        <f t="shared" si="4"/>
        <v>1.1539552</v>
      </c>
    </row>
    <row r="26" spans="1:21">
      <c r="A26" s="185" t="s">
        <v>160</v>
      </c>
      <c r="B26" s="3">
        <v>4041851</v>
      </c>
      <c r="C26" s="3" t="s">
        <v>161</v>
      </c>
      <c r="D26" s="3" t="s">
        <v>260</v>
      </c>
      <c r="E26" s="131" t="s">
        <v>353</v>
      </c>
      <c r="F26" s="3" t="s">
        <v>354</v>
      </c>
      <c r="G26" s="67">
        <v>1.1705999999999999</v>
      </c>
      <c r="H26" s="67">
        <v>0.69599999999999995</v>
      </c>
      <c r="I26" s="187">
        <f t="shared" si="0"/>
        <v>1.1187375999999998</v>
      </c>
      <c r="J26" s="181"/>
      <c r="K26" s="212">
        <v>1.2114999999999998</v>
      </c>
      <c r="L26" s="67">
        <f t="shared" si="1"/>
        <v>0.68300000000000005</v>
      </c>
      <c r="M26" s="187">
        <f t="shared" si="2"/>
        <v>1.1444544999999997</v>
      </c>
      <c r="N26" s="181"/>
      <c r="O26" s="67">
        <f>VLOOKUP(VALUE(E26),Sheet2!$A$2:$C$6,3,FALSE)</f>
        <v>1.2575000000000001</v>
      </c>
      <c r="P26" s="67">
        <v>0.68300000000000005</v>
      </c>
      <c r="Q26" s="67">
        <f t="shared" si="3"/>
        <v>1.1758725000000001</v>
      </c>
      <c r="R26" s="181"/>
      <c r="S26" s="67">
        <v>1.1705999999999999</v>
      </c>
      <c r="T26" s="67">
        <v>0.69599999999999995</v>
      </c>
      <c r="U26" s="187">
        <f t="shared" si="4"/>
        <v>1.1187375999999998</v>
      </c>
    </row>
    <row r="27" spans="1:21">
      <c r="A27" s="178" t="s">
        <v>162</v>
      </c>
      <c r="B27" s="1">
        <v>4041869</v>
      </c>
      <c r="C27" s="1" t="s">
        <v>163</v>
      </c>
      <c r="D27" s="1" t="s">
        <v>256</v>
      </c>
      <c r="E27" s="115" t="s">
        <v>266</v>
      </c>
      <c r="F27" s="1" t="s">
        <v>346</v>
      </c>
      <c r="G27" s="63">
        <v>1.1698999999999999</v>
      </c>
      <c r="H27" s="63">
        <v>0.69599999999999995</v>
      </c>
      <c r="I27" s="182">
        <f t="shared" si="0"/>
        <v>1.1182504</v>
      </c>
      <c r="J27" s="181"/>
      <c r="K27" s="211">
        <v>1.1562999999999999</v>
      </c>
      <c r="L27" s="63">
        <f t="shared" si="1"/>
        <v>0.68300000000000005</v>
      </c>
      <c r="M27" s="182">
        <f t="shared" si="2"/>
        <v>1.1067529</v>
      </c>
      <c r="N27" s="181"/>
      <c r="O27" s="63">
        <f>VLOOKUP(VALUE(E27),Sheet2!$A$2:$C$6,3,FALSE)</f>
        <v>1.2575000000000001</v>
      </c>
      <c r="P27" s="63">
        <v>0.68300000000000005</v>
      </c>
      <c r="Q27" s="63">
        <f t="shared" si="3"/>
        <v>1.1758725000000001</v>
      </c>
      <c r="R27" s="181"/>
      <c r="S27" s="63">
        <v>1.1698999999999999</v>
      </c>
      <c r="T27" s="63">
        <v>0.69599999999999995</v>
      </c>
      <c r="U27" s="182">
        <f t="shared" si="4"/>
        <v>1.1182504</v>
      </c>
    </row>
    <row r="28" spans="1:21">
      <c r="A28" s="178" t="s">
        <v>164</v>
      </c>
      <c r="B28" s="1">
        <v>8069211</v>
      </c>
      <c r="C28" s="1" t="s">
        <v>165</v>
      </c>
      <c r="D28" s="1" t="s">
        <v>256</v>
      </c>
      <c r="E28" s="115" t="s">
        <v>266</v>
      </c>
      <c r="F28" s="1" t="s">
        <v>346</v>
      </c>
      <c r="G28" s="63">
        <v>1.1698999999999999</v>
      </c>
      <c r="H28" s="63">
        <v>0.69599999999999995</v>
      </c>
      <c r="I28" s="182">
        <f t="shared" si="0"/>
        <v>1.1182504</v>
      </c>
      <c r="J28" s="181"/>
      <c r="K28" s="211">
        <v>1.1562999999999999</v>
      </c>
      <c r="L28" s="63">
        <f t="shared" si="1"/>
        <v>0.68300000000000005</v>
      </c>
      <c r="M28" s="182">
        <f t="shared" si="2"/>
        <v>1.1067529</v>
      </c>
      <c r="N28" s="181"/>
      <c r="O28" s="63">
        <f>VLOOKUP(VALUE(E28),Sheet2!$A$2:$C$6,3,FALSE)</f>
        <v>1.2575000000000001</v>
      </c>
      <c r="P28" s="63">
        <v>0.68300000000000005</v>
      </c>
      <c r="Q28" s="63">
        <f t="shared" si="3"/>
        <v>1.1758725000000001</v>
      </c>
      <c r="R28" s="181"/>
      <c r="S28" s="63">
        <v>1.1698999999999999</v>
      </c>
      <c r="T28" s="63">
        <v>0.69599999999999995</v>
      </c>
      <c r="U28" s="182">
        <f t="shared" si="4"/>
        <v>1.1182504</v>
      </c>
    </row>
    <row r="29" spans="1:21">
      <c r="A29" s="178" t="s">
        <v>166</v>
      </c>
      <c r="B29" s="1">
        <v>4041893</v>
      </c>
      <c r="C29" s="1" t="s">
        <v>264</v>
      </c>
      <c r="D29" s="1" t="s">
        <v>259</v>
      </c>
      <c r="E29" s="115" t="s">
        <v>351</v>
      </c>
      <c r="F29" s="1" t="s">
        <v>352</v>
      </c>
      <c r="G29" s="63">
        <v>1.3274999999999999</v>
      </c>
      <c r="H29" s="63">
        <v>0.69599999999999995</v>
      </c>
      <c r="I29" s="182">
        <f t="shared" si="0"/>
        <v>1.2279399999999998</v>
      </c>
      <c r="J29" s="181"/>
      <c r="K29" s="211">
        <v>1.2987</v>
      </c>
      <c r="L29" s="63">
        <f t="shared" si="1"/>
        <v>0.68300000000000005</v>
      </c>
      <c r="M29" s="182">
        <f t="shared" si="2"/>
        <v>1.2040120999999999</v>
      </c>
      <c r="N29" s="181"/>
      <c r="O29" s="63">
        <f>VLOOKUP(VALUE(E29),Sheet2!$A$2:$C$6,3,FALSE)</f>
        <v>1.266</v>
      </c>
      <c r="P29" s="63">
        <v>0.68300000000000005</v>
      </c>
      <c r="Q29" s="63">
        <f t="shared" si="3"/>
        <v>1.181678</v>
      </c>
      <c r="R29" s="181"/>
      <c r="S29" s="63">
        <v>1.3274999999999999</v>
      </c>
      <c r="T29" s="63">
        <v>0.69599999999999995</v>
      </c>
      <c r="U29" s="182">
        <f t="shared" si="4"/>
        <v>1.2279399999999998</v>
      </c>
    </row>
    <row r="30" spans="1:21">
      <c r="A30" s="178" t="s">
        <v>168</v>
      </c>
      <c r="B30" s="1">
        <v>4041901</v>
      </c>
      <c r="C30" s="1" t="s">
        <v>169</v>
      </c>
      <c r="D30" s="1" t="s">
        <v>256</v>
      </c>
      <c r="E30" s="115" t="s">
        <v>266</v>
      </c>
      <c r="F30" s="1" t="s">
        <v>346</v>
      </c>
      <c r="G30" s="63">
        <v>1.1698999999999999</v>
      </c>
      <c r="H30" s="63">
        <v>0.69599999999999995</v>
      </c>
      <c r="I30" s="182">
        <f t="shared" si="0"/>
        <v>1.1182504</v>
      </c>
      <c r="J30" s="181"/>
      <c r="K30" s="211">
        <v>1.1562999999999999</v>
      </c>
      <c r="L30" s="63">
        <f t="shared" si="1"/>
        <v>0.68300000000000005</v>
      </c>
      <c r="M30" s="182">
        <f t="shared" si="2"/>
        <v>1.1067529</v>
      </c>
      <c r="N30" s="181"/>
      <c r="O30" s="63">
        <f>VLOOKUP(VALUE(E30),Sheet2!$A$2:$C$6,3,FALSE)</f>
        <v>1.2575000000000001</v>
      </c>
      <c r="P30" s="63">
        <v>0.68300000000000005</v>
      </c>
      <c r="Q30" s="63">
        <f t="shared" si="3"/>
        <v>1.1758725000000001</v>
      </c>
      <c r="R30" s="181"/>
      <c r="S30" s="63">
        <v>1.1698999999999999</v>
      </c>
      <c r="T30" s="63">
        <v>0.69599999999999995</v>
      </c>
      <c r="U30" s="182">
        <f t="shared" si="4"/>
        <v>1.1182504</v>
      </c>
    </row>
    <row r="31" spans="1:21">
      <c r="A31" s="185" t="s">
        <v>170</v>
      </c>
      <c r="B31" s="3">
        <v>4041927</v>
      </c>
      <c r="C31" s="3" t="s">
        <v>171</v>
      </c>
      <c r="D31" s="3" t="s">
        <v>255</v>
      </c>
      <c r="E31" s="186" t="s">
        <v>344</v>
      </c>
      <c r="F31" s="3" t="s">
        <v>345</v>
      </c>
      <c r="G31" s="67">
        <v>1.2211999999999998</v>
      </c>
      <c r="H31" s="67">
        <v>0.69599999999999995</v>
      </c>
      <c r="I31" s="187">
        <f t="shared" si="0"/>
        <v>1.1539552</v>
      </c>
      <c r="J31" s="181"/>
      <c r="K31" s="212">
        <v>1.1885999999999999</v>
      </c>
      <c r="L31" s="67">
        <f t="shared" si="1"/>
        <v>0.68300000000000005</v>
      </c>
      <c r="M31" s="187">
        <f t="shared" si="2"/>
        <v>1.1288138000000001</v>
      </c>
      <c r="N31" s="181"/>
      <c r="O31" s="67">
        <f>VLOOKUP(VALUE(E31),Sheet2!$A$2:$C$6,3,FALSE)</f>
        <v>1.2575000000000001</v>
      </c>
      <c r="P31" s="67">
        <v>0.68300000000000005</v>
      </c>
      <c r="Q31" s="67">
        <f t="shared" si="3"/>
        <v>1.1758725000000001</v>
      </c>
      <c r="R31" s="181"/>
      <c r="S31" s="67">
        <v>1.2211999999999998</v>
      </c>
      <c r="T31" s="67">
        <v>0.69599999999999995</v>
      </c>
      <c r="U31" s="187">
        <f t="shared" si="4"/>
        <v>1.1539552</v>
      </c>
    </row>
    <row r="32" spans="1:21">
      <c r="A32" s="178" t="s">
        <v>172</v>
      </c>
      <c r="B32" s="1">
        <v>4041935</v>
      </c>
      <c r="C32" s="1" t="s">
        <v>173</v>
      </c>
      <c r="D32" s="1" t="s">
        <v>259</v>
      </c>
      <c r="E32" s="115" t="s">
        <v>351</v>
      </c>
      <c r="F32" s="1" t="s">
        <v>352</v>
      </c>
      <c r="G32" s="63">
        <v>1.3274999999999999</v>
      </c>
      <c r="H32" s="63">
        <v>0.69599999999999995</v>
      </c>
      <c r="I32" s="182">
        <f t="shared" si="0"/>
        <v>1.2279399999999998</v>
      </c>
      <c r="J32" s="181"/>
      <c r="K32" s="211">
        <v>1.2987</v>
      </c>
      <c r="L32" s="63">
        <f t="shared" si="1"/>
        <v>0.68300000000000005</v>
      </c>
      <c r="M32" s="182">
        <f t="shared" si="2"/>
        <v>1.2040120999999999</v>
      </c>
      <c r="N32" s="181"/>
      <c r="O32" s="63">
        <f>VLOOKUP(VALUE(E32),Sheet2!$A$2:$C$6,3,FALSE)</f>
        <v>1.266</v>
      </c>
      <c r="P32" s="63">
        <v>0.68300000000000005</v>
      </c>
      <c r="Q32" s="63">
        <f t="shared" si="3"/>
        <v>1.181678</v>
      </c>
      <c r="R32" s="181"/>
      <c r="S32" s="63">
        <v>1.3274999999999999</v>
      </c>
      <c r="T32" s="63">
        <v>0.69599999999999995</v>
      </c>
      <c r="U32" s="182">
        <f t="shared" si="4"/>
        <v>1.2279399999999998</v>
      </c>
    </row>
    <row r="33" spans="1:21">
      <c r="A33" s="178" t="s">
        <v>174</v>
      </c>
      <c r="B33" s="1">
        <v>4041943</v>
      </c>
      <c r="C33" s="1" t="s">
        <v>175</v>
      </c>
      <c r="D33" s="1" t="s">
        <v>259</v>
      </c>
      <c r="E33" s="115" t="s">
        <v>351</v>
      </c>
      <c r="F33" s="1" t="s">
        <v>352</v>
      </c>
      <c r="G33" s="63">
        <v>1.3274999999999999</v>
      </c>
      <c r="H33" s="63">
        <v>0.69599999999999995</v>
      </c>
      <c r="I33" s="182">
        <f t="shared" si="0"/>
        <v>1.2279399999999998</v>
      </c>
      <c r="J33" s="181"/>
      <c r="K33" s="211">
        <v>1.2987</v>
      </c>
      <c r="L33" s="63">
        <f t="shared" si="1"/>
        <v>0.68300000000000005</v>
      </c>
      <c r="M33" s="182">
        <f t="shared" si="2"/>
        <v>1.2040120999999999</v>
      </c>
      <c r="N33" s="181"/>
      <c r="O33" s="63">
        <f>VLOOKUP(VALUE(E33),Sheet2!$A$2:$C$6,3,FALSE)</f>
        <v>1.266</v>
      </c>
      <c r="P33" s="63">
        <v>0.68300000000000005</v>
      </c>
      <c r="Q33" s="63">
        <f t="shared" si="3"/>
        <v>1.181678</v>
      </c>
      <c r="R33" s="181"/>
      <c r="S33" s="63">
        <v>1.3274999999999999</v>
      </c>
      <c r="T33" s="63">
        <v>0.69599999999999995</v>
      </c>
      <c r="U33" s="182">
        <f t="shared" si="4"/>
        <v>1.2279399999999998</v>
      </c>
    </row>
    <row r="34" spans="1:21">
      <c r="A34" s="178" t="s">
        <v>176</v>
      </c>
      <c r="B34" s="1">
        <v>4041950</v>
      </c>
      <c r="C34" s="1" t="s">
        <v>177</v>
      </c>
      <c r="D34" s="1" t="s">
        <v>256</v>
      </c>
      <c r="E34" s="179" t="s">
        <v>266</v>
      </c>
      <c r="F34" s="1" t="s">
        <v>346</v>
      </c>
      <c r="G34" s="63">
        <v>1.1698999999999999</v>
      </c>
      <c r="H34" s="63">
        <v>0.69599999999999995</v>
      </c>
      <c r="I34" s="182">
        <f t="shared" si="0"/>
        <v>1.1182504</v>
      </c>
      <c r="J34" s="181"/>
      <c r="K34" s="211">
        <v>1.1562999999999999</v>
      </c>
      <c r="L34" s="63">
        <f t="shared" si="1"/>
        <v>0.68300000000000005</v>
      </c>
      <c r="M34" s="182">
        <f t="shared" si="2"/>
        <v>1.1067529</v>
      </c>
      <c r="N34" s="181"/>
      <c r="O34" s="63">
        <f>VLOOKUP(VALUE(E34),Sheet2!$A$2:$C$6,3,FALSE)</f>
        <v>1.2575000000000001</v>
      </c>
      <c r="P34" s="63">
        <v>0.68300000000000005</v>
      </c>
      <c r="Q34" s="63">
        <f t="shared" si="3"/>
        <v>1.1758725000000001</v>
      </c>
      <c r="R34" s="181"/>
      <c r="S34" s="63">
        <v>1.1698999999999999</v>
      </c>
      <c r="T34" s="63">
        <v>0.69599999999999995</v>
      </c>
      <c r="U34" s="182">
        <f t="shared" si="4"/>
        <v>1.1182504</v>
      </c>
    </row>
    <row r="35" spans="1:21">
      <c r="A35" s="178" t="s">
        <v>182</v>
      </c>
      <c r="B35" s="1">
        <v>4041968</v>
      </c>
      <c r="C35" s="1" t="s">
        <v>184</v>
      </c>
      <c r="D35" s="1" t="s">
        <v>256</v>
      </c>
      <c r="E35" s="115" t="s">
        <v>266</v>
      </c>
      <c r="F35" s="1" t="s">
        <v>346</v>
      </c>
      <c r="G35" s="63">
        <v>1.1698999999999999</v>
      </c>
      <c r="H35" s="63">
        <v>0.69599999999999995</v>
      </c>
      <c r="I35" s="182">
        <f t="shared" si="0"/>
        <v>1.1182504</v>
      </c>
      <c r="J35" s="181"/>
      <c r="K35" s="211">
        <v>1.1562999999999999</v>
      </c>
      <c r="L35" s="63">
        <f t="shared" si="1"/>
        <v>0.68300000000000005</v>
      </c>
      <c r="M35" s="182">
        <f t="shared" si="2"/>
        <v>1.1067529</v>
      </c>
      <c r="N35" s="181"/>
      <c r="O35" s="63">
        <f>VLOOKUP(VALUE(E35),Sheet2!$A$2:$C$6,3,FALSE)</f>
        <v>1.2575000000000001</v>
      </c>
      <c r="P35" s="63">
        <v>0.68300000000000005</v>
      </c>
      <c r="Q35" s="63">
        <f t="shared" si="3"/>
        <v>1.1758725000000001</v>
      </c>
      <c r="R35" s="181"/>
      <c r="S35" s="63">
        <v>1.1698999999999999</v>
      </c>
      <c r="T35" s="63">
        <v>0.69599999999999995</v>
      </c>
      <c r="U35" s="182">
        <f t="shared" si="4"/>
        <v>1.1182504</v>
      </c>
    </row>
    <row r="36" spans="1:21">
      <c r="A36" s="185" t="s">
        <v>179</v>
      </c>
      <c r="B36" s="3">
        <v>4159960</v>
      </c>
      <c r="C36" s="3" t="s">
        <v>265</v>
      </c>
      <c r="D36" s="3" t="s">
        <v>256</v>
      </c>
      <c r="E36" s="131" t="s">
        <v>266</v>
      </c>
      <c r="F36" s="3" t="s">
        <v>346</v>
      </c>
      <c r="G36" s="67">
        <v>1.1698999999999999</v>
      </c>
      <c r="H36" s="67">
        <v>0.69599999999999995</v>
      </c>
      <c r="I36" s="187">
        <f t="shared" si="0"/>
        <v>1.1182504</v>
      </c>
      <c r="J36" s="189"/>
      <c r="K36" s="212">
        <v>1.1562999999999999</v>
      </c>
      <c r="L36" s="67">
        <f t="shared" si="1"/>
        <v>0.68300000000000005</v>
      </c>
      <c r="M36" s="187">
        <f t="shared" si="2"/>
        <v>1.1067529</v>
      </c>
      <c r="N36" s="189"/>
      <c r="O36" s="67">
        <f>VLOOKUP(VALUE(E36),Sheet2!$A$2:$C$6,3,FALSE)</f>
        <v>1.2575000000000001</v>
      </c>
      <c r="P36" s="67">
        <v>0.68300000000000005</v>
      </c>
      <c r="Q36" s="67">
        <f t="shared" si="3"/>
        <v>1.1758725000000001</v>
      </c>
      <c r="R36" s="189"/>
      <c r="S36" s="67">
        <v>1.1698999999999999</v>
      </c>
      <c r="T36" s="67">
        <v>0.69599999999999995</v>
      </c>
      <c r="U36" s="187">
        <f t="shared" si="4"/>
        <v>1.1182504</v>
      </c>
    </row>
    <row r="37" spans="1:21">
      <c r="C37" s="4"/>
      <c r="G37" s="190"/>
      <c r="H37" s="190"/>
      <c r="K37" s="213"/>
      <c r="L37" s="213"/>
      <c r="M37" s="213"/>
      <c r="N37" s="5"/>
      <c r="O37" s="213"/>
      <c r="P37" s="213"/>
      <c r="Q37" s="5"/>
      <c r="R37" s="5"/>
      <c r="S37" s="213"/>
      <c r="T37" s="213"/>
      <c r="U37" s="5"/>
    </row>
    <row r="38" spans="1:21">
      <c r="A38" s="256"/>
      <c r="B38" s="256"/>
      <c r="C38" s="256"/>
      <c r="D38" s="256"/>
      <c r="E38" s="256"/>
      <c r="F38" s="256"/>
      <c r="G38" s="256"/>
      <c r="H38" s="256"/>
      <c r="I38" s="256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>
      <c r="A39" s="4"/>
      <c r="B39" s="5"/>
      <c r="C39" s="5"/>
      <c r="D39" s="5"/>
      <c r="E39" s="5"/>
      <c r="F39" s="5"/>
      <c r="G39" s="5"/>
    </row>
    <row r="40" spans="1:21">
      <c r="A40" s="116"/>
      <c r="B40" s="5"/>
      <c r="C40" s="5"/>
      <c r="D40" s="5"/>
      <c r="E40" s="5"/>
      <c r="F40" s="5"/>
      <c r="G40" s="5"/>
    </row>
  </sheetData>
  <autoFilter ref="A5:U36"/>
  <mergeCells count="5">
    <mergeCell ref="G4:I4"/>
    <mergeCell ref="K4:M4"/>
    <mergeCell ref="O4:Q4"/>
    <mergeCell ref="S4:U4"/>
    <mergeCell ref="A38:I38"/>
  </mergeCells>
  <pageMargins left="0.2" right="0.2" top="0.75" bottom="0.75" header="0.3" footer="0.3"/>
  <pageSetup scale="74" fitToWidth="2" orientation="landscape" r:id="rId1"/>
  <headerFooter>
    <oddFooter>&amp;L&amp;Z&amp;F   &amp;A</oddFooter>
  </headerFooter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2"/>
  <sheetViews>
    <sheetView workbookViewId="0"/>
  </sheetViews>
  <sheetFormatPr defaultRowHeight="15"/>
  <cols>
    <col min="1" max="1" width="9.5703125" style="6" customWidth="1"/>
    <col min="2" max="2" width="12.28515625" style="6" customWidth="1"/>
    <col min="3" max="3" width="25.85546875" style="6" customWidth="1"/>
    <col min="4" max="4" width="8.140625" style="6" hidden="1" customWidth="1"/>
    <col min="5" max="5" width="16.85546875" style="6" hidden="1" customWidth="1"/>
    <col min="6" max="6" width="9.140625" style="6"/>
    <col min="7" max="7" width="10.140625" style="6" bestFit="1" customWidth="1"/>
    <col min="8" max="11" width="9.140625" style="6"/>
    <col min="12" max="12" width="10.7109375" style="6" customWidth="1"/>
    <col min="13" max="13" width="10.7109375" style="6" bestFit="1" customWidth="1"/>
    <col min="14" max="14" width="10.7109375" style="6" customWidth="1"/>
    <col min="15" max="15" width="3.140625" style="6" customWidth="1"/>
    <col min="16" max="16" width="6.140625" style="6" hidden="1" customWidth="1"/>
    <col min="17" max="17" width="3" style="6" hidden="1" customWidth="1"/>
    <col min="18" max="18" width="3.5703125" style="6" hidden="1" customWidth="1"/>
    <col min="19" max="19" width="2.5703125" style="6" hidden="1" customWidth="1"/>
    <col min="20" max="20" width="6.140625" style="6" hidden="1" customWidth="1"/>
    <col min="21" max="21" width="9.140625" style="6" hidden="1" customWidth="1"/>
    <col min="22" max="22" width="3.42578125" style="6" hidden="1" customWidth="1"/>
    <col min="23" max="23" width="7" style="6" hidden="1" customWidth="1"/>
    <col min="24" max="24" width="8" style="6" hidden="1" customWidth="1"/>
    <col min="25" max="33" width="0" style="6" hidden="1" customWidth="1"/>
    <col min="34" max="16384" width="9.140625" style="6"/>
  </cols>
  <sheetData>
    <row r="1" spans="1:33" ht="18">
      <c r="A1" s="10" t="s">
        <v>50</v>
      </c>
      <c r="D1" s="10" t="s">
        <v>50</v>
      </c>
    </row>
    <row r="2" spans="1:33" ht="21">
      <c r="A2" s="15" t="s">
        <v>356</v>
      </c>
      <c r="D2" s="132" t="s">
        <v>214</v>
      </c>
    </row>
    <row r="3" spans="1:33">
      <c r="D3" s="6" t="s">
        <v>215</v>
      </c>
    </row>
    <row r="4" spans="1:33">
      <c r="A4" s="8" t="s">
        <v>357</v>
      </c>
      <c r="E4" s="112"/>
      <c r="F4" s="112"/>
      <c r="I4" s="117"/>
      <c r="Y4" s="222">
        <v>2018</v>
      </c>
    </row>
    <row r="5" spans="1:33" ht="51.75">
      <c r="A5" s="35" t="s">
        <v>70</v>
      </c>
      <c r="B5" s="36" t="s">
        <v>71</v>
      </c>
      <c r="C5" s="36" t="s">
        <v>0</v>
      </c>
      <c r="D5" s="133" t="s">
        <v>70</v>
      </c>
      <c r="E5" s="134" t="s">
        <v>216</v>
      </c>
      <c r="F5" s="134" t="s">
        <v>217</v>
      </c>
      <c r="G5" s="134" t="s">
        <v>218</v>
      </c>
      <c r="H5" s="134" t="s">
        <v>219</v>
      </c>
      <c r="I5" s="135" t="s">
        <v>220</v>
      </c>
      <c r="J5" s="134" t="s">
        <v>221</v>
      </c>
      <c r="K5" s="134" t="s">
        <v>222</v>
      </c>
      <c r="L5" s="134" t="s">
        <v>223</v>
      </c>
      <c r="M5" s="136" t="s">
        <v>224</v>
      </c>
      <c r="N5" s="137" t="s">
        <v>225</v>
      </c>
      <c r="P5" s="253">
        <v>2017</v>
      </c>
      <c r="Q5" s="254"/>
      <c r="R5" s="254"/>
      <c r="S5" s="254"/>
      <c r="T5" s="254"/>
      <c r="U5" s="255"/>
      <c r="W5" s="138" t="s">
        <v>226</v>
      </c>
      <c r="X5" s="139" t="s">
        <v>227</v>
      </c>
      <c r="Y5" s="134" t="s">
        <v>219</v>
      </c>
      <c r="Z5" s="134" t="s">
        <v>220</v>
      </c>
      <c r="AA5" s="134" t="s">
        <v>221</v>
      </c>
      <c r="AB5" s="134" t="s">
        <v>222</v>
      </c>
      <c r="AC5" s="134" t="s">
        <v>223</v>
      </c>
      <c r="AD5" s="134" t="s">
        <v>224</v>
      </c>
      <c r="AE5" s="134" t="s">
        <v>225</v>
      </c>
      <c r="AF5" s="223" t="s">
        <v>358</v>
      </c>
      <c r="AG5" s="223" t="s">
        <v>359</v>
      </c>
    </row>
    <row r="6" spans="1:33" ht="36">
      <c r="B6" s="141" t="s">
        <v>96</v>
      </c>
      <c r="C6" s="141" t="s">
        <v>97</v>
      </c>
      <c r="D6" s="140" t="s">
        <v>96</v>
      </c>
      <c r="E6" s="141" t="s">
        <v>97</v>
      </c>
      <c r="F6" s="141" t="s">
        <v>98</v>
      </c>
      <c r="G6" s="141" t="s">
        <v>99</v>
      </c>
      <c r="H6" s="141" t="s">
        <v>100</v>
      </c>
      <c r="I6" s="142" t="s">
        <v>101</v>
      </c>
      <c r="J6" s="141" t="s">
        <v>102</v>
      </c>
      <c r="K6" s="141" t="s">
        <v>189</v>
      </c>
      <c r="L6" s="141" t="s">
        <v>228</v>
      </c>
      <c r="M6" s="141" t="s">
        <v>191</v>
      </c>
      <c r="N6" s="193" t="s">
        <v>229</v>
      </c>
      <c r="Y6" s="6" t="s">
        <v>100</v>
      </c>
      <c r="Z6" s="6" t="s">
        <v>101</v>
      </c>
      <c r="AA6" s="6" t="s">
        <v>102</v>
      </c>
      <c r="AB6" s="6" t="s">
        <v>189</v>
      </c>
      <c r="AC6" s="6" t="s">
        <v>228</v>
      </c>
      <c r="AD6" s="6" t="s">
        <v>191</v>
      </c>
      <c r="AE6" s="6" t="s">
        <v>229</v>
      </c>
    </row>
    <row r="7" spans="1:33">
      <c r="A7" s="34" t="s">
        <v>123</v>
      </c>
      <c r="B7" s="52" t="s">
        <v>43</v>
      </c>
      <c r="C7" s="1" t="s">
        <v>124</v>
      </c>
      <c r="D7" s="143" t="s">
        <v>123</v>
      </c>
      <c r="E7" s="144" t="s">
        <v>124</v>
      </c>
      <c r="F7" s="145">
        <v>42644</v>
      </c>
      <c r="G7" s="145">
        <v>43008</v>
      </c>
      <c r="H7" s="146">
        <v>503</v>
      </c>
      <c r="I7" s="147">
        <v>77</v>
      </c>
      <c r="J7" s="146">
        <v>0</v>
      </c>
      <c r="K7" s="146">
        <v>0</v>
      </c>
      <c r="L7" s="146">
        <f t="shared" ref="L7:L35" si="0">SUM(H7:J7)-K7</f>
        <v>580</v>
      </c>
      <c r="M7" s="148">
        <v>161.19999999999999</v>
      </c>
      <c r="N7" s="149">
        <f t="shared" ref="N7:N16" si="1">1.35*((1+IF(ISNA(M7),0,M7)/L7)^0.405-1)</f>
        <v>0.14097126120781744</v>
      </c>
      <c r="P7" s="146">
        <v>498</v>
      </c>
      <c r="Q7" s="147">
        <v>83</v>
      </c>
      <c r="R7" s="146">
        <v>0</v>
      </c>
      <c r="S7" s="146">
        <v>0</v>
      </c>
      <c r="T7" s="146">
        <f>SUM(P7:R7)-S7</f>
        <v>581</v>
      </c>
      <c r="U7" s="148">
        <v>163.72999999999999</v>
      </c>
      <c r="W7" s="150">
        <f>L7-T7</f>
        <v>-1</v>
      </c>
      <c r="X7" s="151">
        <f>M7-U7</f>
        <v>-2.5300000000000011</v>
      </c>
      <c r="Y7" s="6">
        <v>484</v>
      </c>
      <c r="Z7" s="6">
        <v>83</v>
      </c>
      <c r="AA7" s="6">
        <v>0</v>
      </c>
      <c r="AB7" s="6">
        <v>0</v>
      </c>
      <c r="AC7" s="6">
        <v>567</v>
      </c>
      <c r="AD7" s="6">
        <v>162.94</v>
      </c>
      <c r="AE7" s="6">
        <v>0.14542256896440775</v>
      </c>
      <c r="AF7" s="151">
        <f t="shared" ref="AF7:AF28" si="2">N7-AE7</f>
        <v>-4.4513077565903059E-3</v>
      </c>
      <c r="AG7" s="224">
        <f>AF7/AE7</f>
        <v>-3.0609469962532197E-2</v>
      </c>
    </row>
    <row r="8" spans="1:33">
      <c r="A8" s="34" t="s">
        <v>125</v>
      </c>
      <c r="B8" s="1" t="s">
        <v>31</v>
      </c>
      <c r="C8" s="1" t="s">
        <v>126</v>
      </c>
      <c r="D8" s="143"/>
      <c r="E8" s="144"/>
      <c r="F8" s="145"/>
      <c r="G8" s="145"/>
      <c r="H8" s="146"/>
      <c r="I8" s="147"/>
      <c r="J8" s="146"/>
      <c r="K8" s="146"/>
      <c r="L8" s="146"/>
      <c r="M8" s="148"/>
      <c r="N8" s="149">
        <v>0</v>
      </c>
      <c r="P8" s="146"/>
      <c r="Q8" s="147"/>
      <c r="R8" s="146"/>
      <c r="S8" s="146"/>
      <c r="T8" s="146"/>
      <c r="U8" s="148"/>
      <c r="W8" s="150"/>
      <c r="X8" s="151"/>
      <c r="AE8" s="6">
        <v>0</v>
      </c>
      <c r="AF8" s="151"/>
      <c r="AG8" s="224"/>
    </row>
    <row r="9" spans="1:33">
      <c r="A9" s="34" t="s">
        <v>127</v>
      </c>
      <c r="B9" s="52" t="s">
        <v>377</v>
      </c>
      <c r="C9" s="1" t="s">
        <v>128</v>
      </c>
      <c r="D9" s="143"/>
      <c r="E9" s="144"/>
      <c r="F9" s="145"/>
      <c r="G9" s="145"/>
      <c r="H9" s="146"/>
      <c r="I9" s="147"/>
      <c r="J9" s="146"/>
      <c r="K9" s="146"/>
      <c r="L9" s="146"/>
      <c r="M9" s="148"/>
      <c r="N9" s="149">
        <v>0</v>
      </c>
      <c r="P9" s="146"/>
      <c r="Q9" s="147"/>
      <c r="R9" s="146"/>
      <c r="S9" s="146"/>
      <c r="T9" s="146"/>
      <c r="U9" s="148"/>
      <c r="W9" s="150"/>
      <c r="X9" s="151"/>
      <c r="AE9" s="6">
        <v>0</v>
      </c>
      <c r="AF9" s="151"/>
      <c r="AG9" s="224"/>
    </row>
    <row r="10" spans="1:33">
      <c r="A10" s="34" t="s">
        <v>129</v>
      </c>
      <c r="B10" s="1" t="s">
        <v>338</v>
      </c>
      <c r="C10" s="1" t="s">
        <v>130</v>
      </c>
      <c r="D10" s="143" t="s">
        <v>129</v>
      </c>
      <c r="E10" s="144" t="s">
        <v>130</v>
      </c>
      <c r="F10" s="145">
        <v>42736</v>
      </c>
      <c r="G10" s="145">
        <v>43100</v>
      </c>
      <c r="H10" s="146">
        <v>216</v>
      </c>
      <c r="I10" s="147">
        <v>30</v>
      </c>
      <c r="J10" s="146">
        <v>0</v>
      </c>
      <c r="K10" s="146">
        <v>0</v>
      </c>
      <c r="L10" s="146">
        <f t="shared" si="0"/>
        <v>246</v>
      </c>
      <c r="M10" s="148">
        <v>44.77</v>
      </c>
      <c r="N10" s="149">
        <f t="shared" si="1"/>
        <v>9.4583455534251459E-2</v>
      </c>
      <c r="P10" s="146">
        <v>216</v>
      </c>
      <c r="Q10" s="147">
        <v>30</v>
      </c>
      <c r="R10" s="146">
        <v>0</v>
      </c>
      <c r="S10" s="146">
        <v>0</v>
      </c>
      <c r="T10" s="146">
        <f t="shared" ref="T10:T35" si="3">SUM(P10:R10)-S10</f>
        <v>246</v>
      </c>
      <c r="U10" s="148">
        <v>39.36</v>
      </c>
      <c r="W10" s="150">
        <f t="shared" ref="W10:X35" si="4">L10-T10</f>
        <v>0</v>
      </c>
      <c r="X10" s="151">
        <f t="shared" si="4"/>
        <v>5.4100000000000037</v>
      </c>
      <c r="Y10" s="6">
        <v>216</v>
      </c>
      <c r="Z10" s="6">
        <v>30</v>
      </c>
      <c r="AA10" s="6">
        <v>0</v>
      </c>
      <c r="AB10" s="6">
        <v>0</v>
      </c>
      <c r="AC10" s="6">
        <v>246</v>
      </c>
      <c r="AD10" s="6">
        <v>48.57</v>
      </c>
      <c r="AE10" s="6">
        <v>0.10219988687753338</v>
      </c>
      <c r="AF10" s="151">
        <f t="shared" si="2"/>
        <v>-7.6164313432819236E-3</v>
      </c>
      <c r="AG10" s="224">
        <f t="shared" ref="AG10:AG35" si="5">AF10/AE10</f>
        <v>-7.4524851014842408E-2</v>
      </c>
    </row>
    <row r="11" spans="1:33">
      <c r="A11" s="65" t="s">
        <v>131</v>
      </c>
      <c r="B11" s="3" t="s">
        <v>46</v>
      </c>
      <c r="C11" s="3" t="s">
        <v>132</v>
      </c>
      <c r="D11" s="152" t="s">
        <v>131</v>
      </c>
      <c r="E11" s="153" t="s">
        <v>230</v>
      </c>
      <c r="F11" s="154">
        <v>42644</v>
      </c>
      <c r="G11" s="154">
        <v>43008</v>
      </c>
      <c r="H11" s="155">
        <v>279</v>
      </c>
      <c r="I11" s="156">
        <v>18</v>
      </c>
      <c r="J11" s="155">
        <v>17</v>
      </c>
      <c r="K11" s="155">
        <v>0</v>
      </c>
      <c r="L11" s="155">
        <f t="shared" si="0"/>
        <v>314</v>
      </c>
      <c r="M11" s="157">
        <v>67.150000000000006</v>
      </c>
      <c r="N11" s="158">
        <f t="shared" si="1"/>
        <v>0.11022947426439927</v>
      </c>
      <c r="P11" s="146">
        <v>263</v>
      </c>
      <c r="Q11" s="147">
        <v>20</v>
      </c>
      <c r="R11" s="146">
        <v>17</v>
      </c>
      <c r="S11" s="146">
        <v>0</v>
      </c>
      <c r="T11" s="146">
        <f t="shared" si="3"/>
        <v>300</v>
      </c>
      <c r="U11" s="148">
        <v>65.010000000000005</v>
      </c>
      <c r="W11" s="150">
        <f t="shared" si="4"/>
        <v>14</v>
      </c>
      <c r="X11" s="151">
        <f t="shared" si="4"/>
        <v>2.1400000000000006</v>
      </c>
      <c r="Y11" s="6">
        <v>267</v>
      </c>
      <c r="Z11" s="6">
        <v>20</v>
      </c>
      <c r="AA11" s="6">
        <v>17</v>
      </c>
      <c r="AB11" s="6">
        <v>0</v>
      </c>
      <c r="AC11" s="6">
        <v>304</v>
      </c>
      <c r="AD11" s="6">
        <v>66.39</v>
      </c>
      <c r="AE11" s="6">
        <v>0.11243632063624634</v>
      </c>
      <c r="AF11" s="151">
        <f t="shared" si="2"/>
        <v>-2.2068463718470654E-3</v>
      </c>
      <c r="AG11" s="224">
        <f t="shared" si="5"/>
        <v>-1.9627522133053861E-2</v>
      </c>
    </row>
    <row r="12" spans="1:33">
      <c r="A12" s="34" t="s">
        <v>133</v>
      </c>
      <c r="B12" s="1" t="s">
        <v>38</v>
      </c>
      <c r="C12" s="1" t="s">
        <v>134</v>
      </c>
      <c r="D12" s="143" t="s">
        <v>133</v>
      </c>
      <c r="E12" s="144" t="s">
        <v>134</v>
      </c>
      <c r="F12" s="145">
        <v>42644</v>
      </c>
      <c r="G12" s="145">
        <v>43008</v>
      </c>
      <c r="H12" s="146">
        <v>218</v>
      </c>
      <c r="I12" s="147">
        <v>17</v>
      </c>
      <c r="J12" s="146">
        <v>16</v>
      </c>
      <c r="K12" s="146">
        <v>0</v>
      </c>
      <c r="L12" s="146">
        <f t="shared" si="0"/>
        <v>251</v>
      </c>
      <c r="M12" s="148">
        <v>1</v>
      </c>
      <c r="N12" s="149">
        <f t="shared" si="1"/>
        <v>2.175710473301451E-3</v>
      </c>
      <c r="P12" s="146">
        <v>200</v>
      </c>
      <c r="Q12" s="147">
        <v>18</v>
      </c>
      <c r="R12" s="146">
        <v>16</v>
      </c>
      <c r="S12" s="146">
        <v>0</v>
      </c>
      <c r="T12" s="146">
        <f t="shared" si="3"/>
        <v>234</v>
      </c>
      <c r="U12" s="148">
        <v>1</v>
      </c>
      <c r="W12" s="150">
        <f t="shared" si="4"/>
        <v>17</v>
      </c>
      <c r="X12" s="151">
        <f t="shared" si="4"/>
        <v>0</v>
      </c>
      <c r="Y12" s="6">
        <v>201</v>
      </c>
      <c r="Z12" s="6">
        <v>18</v>
      </c>
      <c r="AA12" s="6">
        <v>16</v>
      </c>
      <c r="AB12" s="6">
        <v>0</v>
      </c>
      <c r="AC12" s="6">
        <v>235</v>
      </c>
      <c r="AD12" s="6">
        <v>1</v>
      </c>
      <c r="AE12" s="6">
        <v>2.3236570187734175E-3</v>
      </c>
      <c r="AF12" s="151">
        <f t="shared" si="2"/>
        <v>-1.4794654547196657E-4</v>
      </c>
      <c r="AG12" s="224">
        <f t="shared" si="5"/>
        <v>-6.3669700079085984E-2</v>
      </c>
    </row>
    <row r="13" spans="1:33">
      <c r="A13" s="34" t="s">
        <v>135</v>
      </c>
      <c r="B13" s="1" t="s">
        <v>37</v>
      </c>
      <c r="C13" s="1" t="s">
        <v>136</v>
      </c>
      <c r="D13" s="143"/>
      <c r="E13" s="144"/>
      <c r="F13" s="145"/>
      <c r="G13" s="145"/>
      <c r="H13" s="146"/>
      <c r="I13" s="147"/>
      <c r="J13" s="146"/>
      <c r="K13" s="146"/>
      <c r="L13" s="146"/>
      <c r="M13" s="148"/>
      <c r="N13" s="149">
        <v>0</v>
      </c>
      <c r="P13" s="146"/>
      <c r="Q13" s="147"/>
      <c r="R13" s="146"/>
      <c r="S13" s="146"/>
      <c r="T13" s="146"/>
      <c r="U13" s="148"/>
      <c r="W13" s="150"/>
      <c r="X13" s="151"/>
      <c r="AE13" s="6">
        <v>0</v>
      </c>
      <c r="AF13" s="151"/>
      <c r="AG13" s="224"/>
    </row>
    <row r="14" spans="1:33">
      <c r="A14" s="34" t="s">
        <v>137</v>
      </c>
      <c r="B14" s="1" t="s">
        <v>28</v>
      </c>
      <c r="C14" s="1" t="s">
        <v>138</v>
      </c>
      <c r="D14" s="152" t="s">
        <v>137</v>
      </c>
      <c r="E14" s="153" t="s">
        <v>138</v>
      </c>
      <c r="F14" s="145">
        <v>42644</v>
      </c>
      <c r="G14" s="145">
        <v>43008</v>
      </c>
      <c r="H14" s="146">
        <v>320</v>
      </c>
      <c r="I14" s="147">
        <v>39</v>
      </c>
      <c r="J14" s="146">
        <v>0</v>
      </c>
      <c r="K14" s="146">
        <v>0</v>
      </c>
      <c r="L14" s="146">
        <f t="shared" si="0"/>
        <v>359</v>
      </c>
      <c r="M14" s="148">
        <v>114.02</v>
      </c>
      <c r="N14" s="149">
        <f t="shared" si="1"/>
        <v>0.15954726569189095</v>
      </c>
      <c r="P14" s="155">
        <v>322</v>
      </c>
      <c r="Q14" s="156">
        <v>19</v>
      </c>
      <c r="R14" s="155">
        <v>18</v>
      </c>
      <c r="S14" s="155">
        <v>0</v>
      </c>
      <c r="T14" s="155">
        <f t="shared" si="3"/>
        <v>359</v>
      </c>
      <c r="U14" s="157">
        <v>108.55</v>
      </c>
      <c r="V14" s="3"/>
      <c r="W14" s="159">
        <f t="shared" si="4"/>
        <v>0</v>
      </c>
      <c r="X14" s="160">
        <f t="shared" si="4"/>
        <v>5.4699999999999989</v>
      </c>
      <c r="Y14" s="6">
        <v>345</v>
      </c>
      <c r="Z14" s="6">
        <v>19</v>
      </c>
      <c r="AA14" s="6">
        <v>3</v>
      </c>
      <c r="AB14" s="6">
        <v>0</v>
      </c>
      <c r="AC14" s="6">
        <v>367</v>
      </c>
      <c r="AD14" s="6">
        <v>112.95</v>
      </c>
      <c r="AE14" s="6">
        <v>0.15497189915859536</v>
      </c>
      <c r="AF14" s="151">
        <f t="shared" si="2"/>
        <v>4.5753665332955995E-3</v>
      </c>
      <c r="AG14" s="224">
        <f t="shared" si="5"/>
        <v>2.9523846311086725E-2</v>
      </c>
    </row>
    <row r="15" spans="1:33">
      <c r="A15" s="76" t="s">
        <v>139</v>
      </c>
      <c r="B15" s="4" t="s">
        <v>36</v>
      </c>
      <c r="C15" s="1" t="s">
        <v>140</v>
      </c>
      <c r="D15" s="143"/>
      <c r="E15" s="144"/>
      <c r="F15" s="145"/>
      <c r="G15" s="145"/>
      <c r="H15" s="146"/>
      <c r="I15" s="147"/>
      <c r="J15" s="146"/>
      <c r="K15" s="146"/>
      <c r="L15" s="146"/>
      <c r="M15" s="148"/>
      <c r="N15" s="149">
        <v>0</v>
      </c>
      <c r="P15" s="146"/>
      <c r="Q15" s="147"/>
      <c r="R15" s="146"/>
      <c r="S15" s="146"/>
      <c r="T15" s="146"/>
      <c r="U15" s="148"/>
      <c r="V15" s="1"/>
      <c r="W15" s="191"/>
      <c r="X15" s="192"/>
      <c r="AE15" s="6">
        <v>0</v>
      </c>
      <c r="AF15" s="151"/>
      <c r="AG15" s="224"/>
    </row>
    <row r="16" spans="1:33">
      <c r="A16" s="65" t="s">
        <v>141</v>
      </c>
      <c r="B16" s="3" t="s">
        <v>339</v>
      </c>
      <c r="C16" s="3" t="s">
        <v>142</v>
      </c>
      <c r="D16" s="194" t="s">
        <v>141</v>
      </c>
      <c r="E16" s="153" t="s">
        <v>231</v>
      </c>
      <c r="F16" s="154">
        <v>42736</v>
      </c>
      <c r="G16" s="154">
        <v>43100</v>
      </c>
      <c r="H16" s="155">
        <v>102</v>
      </c>
      <c r="I16" s="156">
        <v>0</v>
      </c>
      <c r="J16" s="155">
        <v>0</v>
      </c>
      <c r="K16" s="155">
        <v>0</v>
      </c>
      <c r="L16" s="155">
        <f t="shared" si="0"/>
        <v>102</v>
      </c>
      <c r="M16" s="157">
        <v>1.17</v>
      </c>
      <c r="N16" s="158">
        <f t="shared" si="1"/>
        <v>6.250272028583837E-3</v>
      </c>
      <c r="P16" s="146">
        <v>102</v>
      </c>
      <c r="Q16" s="147">
        <v>0</v>
      </c>
      <c r="R16" s="146">
        <v>0</v>
      </c>
      <c r="S16" s="146">
        <v>0</v>
      </c>
      <c r="T16" s="146">
        <f t="shared" si="3"/>
        <v>102</v>
      </c>
      <c r="U16" s="148">
        <v>1.26</v>
      </c>
      <c r="W16" s="150">
        <f t="shared" si="4"/>
        <v>0</v>
      </c>
      <c r="X16" s="151">
        <f t="shared" si="4"/>
        <v>-9.000000000000008E-2</v>
      </c>
      <c r="Y16" s="6">
        <v>102</v>
      </c>
      <c r="Z16" s="6">
        <v>0</v>
      </c>
      <c r="AA16" s="6">
        <v>0</v>
      </c>
      <c r="AB16" s="6">
        <v>0</v>
      </c>
      <c r="AC16" s="6">
        <v>102</v>
      </c>
      <c r="AD16" s="6">
        <v>1.1399999999999999</v>
      </c>
      <c r="AE16" s="6">
        <v>6.0905369647312087E-3</v>
      </c>
      <c r="AF16" s="151">
        <f t="shared" si="2"/>
        <v>1.597350638526283E-4</v>
      </c>
      <c r="AG16" s="224">
        <f t="shared" si="5"/>
        <v>2.6226762070013614E-2</v>
      </c>
    </row>
    <row r="17" spans="1:33">
      <c r="A17" s="34" t="s">
        <v>143</v>
      </c>
      <c r="B17" s="1" t="s">
        <v>144</v>
      </c>
      <c r="C17" s="1" t="s">
        <v>145</v>
      </c>
      <c r="D17" s="34" t="s">
        <v>143</v>
      </c>
      <c r="E17" s="144" t="s">
        <v>232</v>
      </c>
      <c r="F17" s="145">
        <v>42644</v>
      </c>
      <c r="G17" s="145">
        <v>43008</v>
      </c>
      <c r="H17" s="146">
        <f>H31</f>
        <v>345</v>
      </c>
      <c r="I17" s="146">
        <f>I31</f>
        <v>22</v>
      </c>
      <c r="J17" s="146">
        <f>J31</f>
        <v>14</v>
      </c>
      <c r="K17" s="146">
        <f>K31</f>
        <v>0</v>
      </c>
      <c r="L17" s="146">
        <f t="shared" si="0"/>
        <v>381</v>
      </c>
      <c r="M17" s="148">
        <f>M31</f>
        <v>98.07</v>
      </c>
      <c r="N17" s="149">
        <f>N31</f>
        <v>0.13122399400155493</v>
      </c>
      <c r="P17" s="146">
        <v>381</v>
      </c>
      <c r="Q17" s="147">
        <v>22</v>
      </c>
      <c r="R17" s="146">
        <v>14</v>
      </c>
      <c r="S17" s="146">
        <v>0</v>
      </c>
      <c r="T17" s="146">
        <f t="shared" si="3"/>
        <v>417</v>
      </c>
      <c r="U17" s="148">
        <v>99.84</v>
      </c>
      <c r="W17" s="150">
        <f t="shared" si="4"/>
        <v>-36</v>
      </c>
      <c r="X17" s="151">
        <f t="shared" si="4"/>
        <v>-1.7700000000000102</v>
      </c>
      <c r="Y17" s="6">
        <v>376</v>
      </c>
      <c r="Z17" s="6">
        <v>22</v>
      </c>
      <c r="AA17" s="6">
        <v>14</v>
      </c>
      <c r="AB17" s="6">
        <v>0</v>
      </c>
      <c r="AC17" s="6">
        <v>412</v>
      </c>
      <c r="AD17" s="6">
        <v>100.37</v>
      </c>
      <c r="AE17" s="6">
        <v>0.12462567686053673</v>
      </c>
      <c r="AF17" s="151">
        <f t="shared" si="2"/>
        <v>6.5983171410182034E-3</v>
      </c>
      <c r="AG17" s="224">
        <f t="shared" si="5"/>
        <v>5.2945085693713811E-2</v>
      </c>
    </row>
    <row r="18" spans="1:33">
      <c r="A18" s="34" t="s">
        <v>146</v>
      </c>
      <c r="B18" s="1" t="s">
        <v>44</v>
      </c>
      <c r="C18" s="1" t="s">
        <v>147</v>
      </c>
      <c r="D18" s="143" t="s">
        <v>146</v>
      </c>
      <c r="E18" s="144" t="s">
        <v>233</v>
      </c>
      <c r="F18" s="145">
        <v>42644</v>
      </c>
      <c r="G18" s="145">
        <v>43008</v>
      </c>
      <c r="H18" s="146">
        <v>143</v>
      </c>
      <c r="I18" s="147">
        <v>12</v>
      </c>
      <c r="J18" s="146">
        <v>0</v>
      </c>
      <c r="K18" s="146">
        <v>0</v>
      </c>
      <c r="L18" s="146">
        <f t="shared" si="0"/>
        <v>155</v>
      </c>
      <c r="M18" s="148">
        <v>43.25</v>
      </c>
      <c r="N18" s="149">
        <f t="shared" ref="N18:N35" si="6">1.35*((1+IF(ISNA(M18),0,M18)/L18)^0.405-1)</f>
        <v>0.14149147406438253</v>
      </c>
      <c r="P18" s="146">
        <v>167</v>
      </c>
      <c r="Q18" s="147">
        <v>12</v>
      </c>
      <c r="R18" s="146">
        <v>0</v>
      </c>
      <c r="S18" s="146">
        <v>0</v>
      </c>
      <c r="T18" s="146">
        <f t="shared" si="3"/>
        <v>179</v>
      </c>
      <c r="U18" s="148">
        <v>48.65</v>
      </c>
      <c r="W18" s="150">
        <f t="shared" si="4"/>
        <v>-24</v>
      </c>
      <c r="X18" s="151">
        <f t="shared" si="4"/>
        <v>-5.3999999999999986</v>
      </c>
      <c r="Y18" s="6">
        <v>143</v>
      </c>
      <c r="Z18" s="6">
        <v>12</v>
      </c>
      <c r="AA18" s="6">
        <v>0</v>
      </c>
      <c r="AB18" s="6">
        <v>0</v>
      </c>
      <c r="AC18" s="6">
        <v>155</v>
      </c>
      <c r="AD18" s="6">
        <v>46.41</v>
      </c>
      <c r="AE18" s="6">
        <v>0.15107450127913852</v>
      </c>
      <c r="AF18" s="151">
        <f t="shared" si="2"/>
        <v>-9.5830272147559847E-3</v>
      </c>
      <c r="AG18" s="224">
        <f t="shared" si="5"/>
        <v>-6.3432459704431135E-2</v>
      </c>
    </row>
    <row r="19" spans="1:33">
      <c r="A19" s="34" t="s">
        <v>148</v>
      </c>
      <c r="B19" s="1" t="s">
        <v>40</v>
      </c>
      <c r="C19" s="1" t="s">
        <v>149</v>
      </c>
      <c r="D19" s="143"/>
      <c r="E19" s="144"/>
      <c r="F19" s="145"/>
      <c r="G19" s="145"/>
      <c r="H19" s="146"/>
      <c r="I19" s="147"/>
      <c r="J19" s="146"/>
      <c r="K19" s="146"/>
      <c r="L19" s="146"/>
      <c r="M19" s="148"/>
      <c r="N19" s="149">
        <v>0</v>
      </c>
      <c r="P19" s="146"/>
      <c r="Q19" s="147"/>
      <c r="R19" s="146"/>
      <c r="S19" s="146"/>
      <c r="T19" s="146"/>
      <c r="U19" s="148"/>
      <c r="W19" s="150"/>
      <c r="X19" s="151"/>
      <c r="AE19" s="6">
        <v>0</v>
      </c>
      <c r="AF19" s="151"/>
      <c r="AG19" s="224"/>
    </row>
    <row r="20" spans="1:33">
      <c r="A20" s="34" t="s">
        <v>150</v>
      </c>
      <c r="B20" s="1" t="s">
        <v>32</v>
      </c>
      <c r="C20" s="1" t="s">
        <v>151</v>
      </c>
      <c r="D20" s="143" t="s">
        <v>150</v>
      </c>
      <c r="E20" s="144" t="s">
        <v>151</v>
      </c>
      <c r="F20" s="145">
        <v>42644</v>
      </c>
      <c r="G20" s="145">
        <v>43008</v>
      </c>
      <c r="H20" s="146">
        <v>184</v>
      </c>
      <c r="I20" s="147">
        <v>0</v>
      </c>
      <c r="J20" s="146">
        <v>0</v>
      </c>
      <c r="K20" s="146">
        <v>0</v>
      </c>
      <c r="L20" s="146">
        <f t="shared" si="0"/>
        <v>184</v>
      </c>
      <c r="M20" s="148">
        <v>24.93</v>
      </c>
      <c r="N20" s="149">
        <f t="shared" si="6"/>
        <v>7.1290574321716899E-2</v>
      </c>
      <c r="P20" s="146">
        <v>184</v>
      </c>
      <c r="Q20" s="147">
        <v>0</v>
      </c>
      <c r="R20" s="146">
        <v>0</v>
      </c>
      <c r="S20" s="146">
        <v>0</v>
      </c>
      <c r="T20" s="146">
        <f t="shared" si="3"/>
        <v>184</v>
      </c>
      <c r="U20" s="148">
        <v>22.34</v>
      </c>
      <c r="W20" s="150">
        <f t="shared" si="4"/>
        <v>0</v>
      </c>
      <c r="X20" s="151">
        <f t="shared" si="4"/>
        <v>2.59</v>
      </c>
      <c r="Y20" s="6">
        <v>184</v>
      </c>
      <c r="Z20" s="6">
        <v>0</v>
      </c>
      <c r="AA20" s="6">
        <v>0</v>
      </c>
      <c r="AB20" s="6">
        <v>0</v>
      </c>
      <c r="AC20" s="6">
        <v>184</v>
      </c>
      <c r="AD20" s="6">
        <v>21.55</v>
      </c>
      <c r="AE20" s="6">
        <v>6.1933134137395852E-2</v>
      </c>
      <c r="AF20" s="151">
        <f t="shared" si="2"/>
        <v>9.3574401843210461E-3</v>
      </c>
      <c r="AG20" s="224">
        <f t="shared" si="5"/>
        <v>0.15108940173384394</v>
      </c>
    </row>
    <row r="21" spans="1:33">
      <c r="A21" s="65" t="s">
        <v>152</v>
      </c>
      <c r="B21" s="3" t="s">
        <v>41</v>
      </c>
      <c r="C21" s="3" t="s">
        <v>153</v>
      </c>
      <c r="D21" s="152"/>
      <c r="E21" s="153"/>
      <c r="F21" s="154"/>
      <c r="G21" s="154"/>
      <c r="H21" s="155"/>
      <c r="I21" s="156"/>
      <c r="J21" s="155"/>
      <c r="K21" s="155"/>
      <c r="L21" s="155"/>
      <c r="M21" s="157"/>
      <c r="N21" s="158">
        <v>0</v>
      </c>
      <c r="P21" s="146"/>
      <c r="Q21" s="147"/>
      <c r="R21" s="146"/>
      <c r="S21" s="146"/>
      <c r="T21" s="146"/>
      <c r="U21" s="148"/>
      <c r="W21" s="150"/>
      <c r="X21" s="151"/>
      <c r="AE21" s="6">
        <v>0</v>
      </c>
      <c r="AF21" s="151"/>
      <c r="AG21" s="224"/>
    </row>
    <row r="22" spans="1:33">
      <c r="A22" s="34" t="s">
        <v>154</v>
      </c>
      <c r="B22" s="1" t="s">
        <v>39</v>
      </c>
      <c r="C22" s="1" t="s">
        <v>155</v>
      </c>
      <c r="D22" s="152" t="s">
        <v>154</v>
      </c>
      <c r="E22" s="153" t="s">
        <v>155</v>
      </c>
      <c r="F22" s="145">
        <v>42644</v>
      </c>
      <c r="G22" s="145">
        <v>43008</v>
      </c>
      <c r="H22" s="146">
        <v>209</v>
      </c>
      <c r="I22" s="147">
        <v>20</v>
      </c>
      <c r="J22" s="146">
        <v>0</v>
      </c>
      <c r="K22" s="146">
        <v>0</v>
      </c>
      <c r="L22" s="146">
        <f t="shared" si="0"/>
        <v>229</v>
      </c>
      <c r="M22" s="148">
        <v>25.65</v>
      </c>
      <c r="N22" s="149">
        <f t="shared" si="6"/>
        <v>5.9313424202321455E-2</v>
      </c>
      <c r="P22" s="155">
        <v>209</v>
      </c>
      <c r="Q22" s="156">
        <v>20</v>
      </c>
      <c r="R22" s="155">
        <v>0</v>
      </c>
      <c r="S22" s="155">
        <v>0</v>
      </c>
      <c r="T22" s="155">
        <f t="shared" si="3"/>
        <v>229</v>
      </c>
      <c r="U22" s="157">
        <v>24.3</v>
      </c>
      <c r="V22" s="3"/>
      <c r="W22" s="159">
        <f t="shared" si="4"/>
        <v>0</v>
      </c>
      <c r="X22" s="160">
        <f t="shared" si="4"/>
        <v>1.3499999999999979</v>
      </c>
      <c r="Y22" s="6">
        <v>209</v>
      </c>
      <c r="Z22" s="6">
        <v>20</v>
      </c>
      <c r="AA22" s="6">
        <v>0</v>
      </c>
      <c r="AB22" s="6">
        <v>0</v>
      </c>
      <c r="AC22" s="6">
        <v>229</v>
      </c>
      <c r="AD22" s="6">
        <v>25.35</v>
      </c>
      <c r="AE22" s="6">
        <v>5.8640769059641142E-2</v>
      </c>
      <c r="AF22" s="151">
        <f t="shared" si="2"/>
        <v>6.7265514268031318E-4</v>
      </c>
      <c r="AG22" s="224">
        <f t="shared" si="5"/>
        <v>1.1470776278465634E-2</v>
      </c>
    </row>
    <row r="23" spans="1:33">
      <c r="A23" s="34" t="s">
        <v>156</v>
      </c>
      <c r="B23" s="1" t="s">
        <v>47</v>
      </c>
      <c r="C23" s="1" t="s">
        <v>157</v>
      </c>
      <c r="D23" s="143"/>
      <c r="E23" s="144"/>
      <c r="F23" s="145"/>
      <c r="G23" s="145"/>
      <c r="H23" s="146"/>
      <c r="I23" s="147"/>
      <c r="J23" s="146"/>
      <c r="K23" s="146"/>
      <c r="L23" s="146"/>
      <c r="M23" s="148"/>
      <c r="N23" s="149">
        <v>0</v>
      </c>
      <c r="P23" s="146"/>
      <c r="Q23" s="147"/>
      <c r="R23" s="146"/>
      <c r="S23" s="146"/>
      <c r="T23" s="146"/>
      <c r="U23" s="148"/>
      <c r="V23" s="1"/>
      <c r="W23" s="191"/>
      <c r="X23" s="192"/>
      <c r="AE23" s="6">
        <v>0</v>
      </c>
      <c r="AF23" s="151"/>
      <c r="AG23" s="224"/>
    </row>
    <row r="24" spans="1:33">
      <c r="A24" s="34" t="s">
        <v>158</v>
      </c>
      <c r="B24" s="1" t="s">
        <v>48</v>
      </c>
      <c r="C24" s="1" t="s">
        <v>159</v>
      </c>
      <c r="D24" s="143" t="s">
        <v>158</v>
      </c>
      <c r="E24" s="144" t="s">
        <v>159</v>
      </c>
      <c r="F24" s="145">
        <v>42644</v>
      </c>
      <c r="G24" s="145">
        <v>43008</v>
      </c>
      <c r="H24" s="146">
        <v>1279</v>
      </c>
      <c r="I24" s="147">
        <v>118</v>
      </c>
      <c r="J24" s="146">
        <v>24</v>
      </c>
      <c r="K24" s="146">
        <v>0</v>
      </c>
      <c r="L24" s="146">
        <f t="shared" si="0"/>
        <v>1421</v>
      </c>
      <c r="M24" s="148">
        <v>796.15</v>
      </c>
      <c r="N24" s="149">
        <f t="shared" si="6"/>
        <v>0.2665166148761377</v>
      </c>
      <c r="P24" s="146">
        <v>1266</v>
      </c>
      <c r="Q24" s="147">
        <v>98</v>
      </c>
      <c r="R24" s="146">
        <v>16</v>
      </c>
      <c r="S24" s="146">
        <v>0</v>
      </c>
      <c r="T24" s="146">
        <f t="shared" si="3"/>
        <v>1380</v>
      </c>
      <c r="U24" s="148">
        <v>812.43</v>
      </c>
      <c r="W24" s="150">
        <f t="shared" si="4"/>
        <v>41</v>
      </c>
      <c r="X24" s="151">
        <f t="shared" si="4"/>
        <v>-16.279999999999973</v>
      </c>
      <c r="Y24" s="6">
        <v>1276</v>
      </c>
      <c r="Z24" s="6">
        <v>103</v>
      </c>
      <c r="AA24" s="6">
        <v>24</v>
      </c>
      <c r="AB24" s="6">
        <v>0</v>
      </c>
      <c r="AC24" s="6">
        <v>1403</v>
      </c>
      <c r="AD24" s="6">
        <v>772</v>
      </c>
      <c r="AE24" s="6">
        <v>0.26230207365777336</v>
      </c>
      <c r="AF24" s="151">
        <f t="shared" si="2"/>
        <v>4.2145412183643427E-3</v>
      </c>
      <c r="AG24" s="224">
        <f t="shared" si="5"/>
        <v>1.6067510102352727E-2</v>
      </c>
    </row>
    <row r="25" spans="1:33">
      <c r="A25" s="34" t="s">
        <v>160</v>
      </c>
      <c r="B25" s="1" t="s">
        <v>27</v>
      </c>
      <c r="C25" s="1" t="s">
        <v>161</v>
      </c>
      <c r="D25" s="143"/>
      <c r="E25" s="144"/>
      <c r="F25" s="145"/>
      <c r="G25" s="145"/>
      <c r="H25" s="146"/>
      <c r="I25" s="147"/>
      <c r="J25" s="146"/>
      <c r="K25" s="146"/>
      <c r="L25" s="146"/>
      <c r="M25" s="148"/>
      <c r="N25" s="149">
        <v>0</v>
      </c>
      <c r="P25" s="146"/>
      <c r="Q25" s="147"/>
      <c r="R25" s="146"/>
      <c r="S25" s="146"/>
      <c r="T25" s="146"/>
      <c r="U25" s="148"/>
      <c r="W25" s="150"/>
      <c r="X25" s="151"/>
      <c r="AE25" s="6">
        <v>0</v>
      </c>
      <c r="AF25" s="151"/>
      <c r="AG25" s="224"/>
    </row>
    <row r="26" spans="1:33">
      <c r="A26" s="65" t="s">
        <v>162</v>
      </c>
      <c r="B26" s="3" t="s">
        <v>34</v>
      </c>
      <c r="C26" s="3" t="s">
        <v>163</v>
      </c>
      <c r="D26" s="152" t="s">
        <v>162</v>
      </c>
      <c r="E26" s="153" t="s">
        <v>163</v>
      </c>
      <c r="F26" s="154">
        <v>42644</v>
      </c>
      <c r="G26" s="154">
        <v>43008</v>
      </c>
      <c r="H26" s="155">
        <v>729</v>
      </c>
      <c r="I26" s="156">
        <v>105</v>
      </c>
      <c r="J26" s="155">
        <v>0</v>
      </c>
      <c r="K26" s="155">
        <v>0</v>
      </c>
      <c r="L26" s="155">
        <f t="shared" si="0"/>
        <v>834</v>
      </c>
      <c r="M26" s="157">
        <v>236.26</v>
      </c>
      <c r="N26" s="158">
        <f t="shared" si="6"/>
        <v>0.14349812670571646</v>
      </c>
      <c r="P26" s="146">
        <v>662</v>
      </c>
      <c r="Q26" s="147">
        <v>92</v>
      </c>
      <c r="R26" s="146">
        <v>0</v>
      </c>
      <c r="S26" s="146">
        <v>0</v>
      </c>
      <c r="T26" s="146">
        <f t="shared" si="3"/>
        <v>754</v>
      </c>
      <c r="U26" s="148">
        <v>249.48</v>
      </c>
      <c r="W26" s="150">
        <f t="shared" si="4"/>
        <v>80</v>
      </c>
      <c r="X26" s="151">
        <f t="shared" si="4"/>
        <v>-13.219999999999999</v>
      </c>
      <c r="Y26" s="6">
        <v>660</v>
      </c>
      <c r="Z26" s="6">
        <v>92</v>
      </c>
      <c r="AA26" s="6">
        <v>0</v>
      </c>
      <c r="AB26" s="6">
        <v>0</v>
      </c>
      <c r="AC26" s="6">
        <v>752</v>
      </c>
      <c r="AD26" s="6">
        <v>245.62</v>
      </c>
      <c r="AE26" s="6">
        <v>0.16372306228495034</v>
      </c>
      <c r="AF26" s="151">
        <f t="shared" si="2"/>
        <v>-2.0224935579233883E-2</v>
      </c>
      <c r="AG26" s="224">
        <f t="shared" si="5"/>
        <v>-0.123531378517912</v>
      </c>
    </row>
    <row r="27" spans="1:33">
      <c r="A27" s="34" t="s">
        <v>164</v>
      </c>
      <c r="B27" s="1" t="s">
        <v>340</v>
      </c>
      <c r="C27" s="1" t="s">
        <v>165</v>
      </c>
      <c r="D27" s="143" t="s">
        <v>164</v>
      </c>
      <c r="E27" s="144" t="s">
        <v>165</v>
      </c>
      <c r="F27" s="145">
        <v>42736</v>
      </c>
      <c r="G27" s="145">
        <v>43100</v>
      </c>
      <c r="H27" s="146">
        <v>140</v>
      </c>
      <c r="I27" s="147">
        <v>31</v>
      </c>
      <c r="J27" s="146">
        <v>0</v>
      </c>
      <c r="K27" s="146">
        <v>0</v>
      </c>
      <c r="L27" s="146">
        <f t="shared" si="0"/>
        <v>171</v>
      </c>
      <c r="M27" s="148">
        <v>34</v>
      </c>
      <c r="N27" s="149">
        <f t="shared" si="6"/>
        <v>0.10288305132683023</v>
      </c>
      <c r="P27" s="146">
        <v>132</v>
      </c>
      <c r="Q27" s="147">
        <v>31</v>
      </c>
      <c r="R27" s="146">
        <v>0</v>
      </c>
      <c r="S27" s="146">
        <v>0</v>
      </c>
      <c r="T27" s="146">
        <f t="shared" si="3"/>
        <v>163</v>
      </c>
      <c r="U27" s="148">
        <v>22.68</v>
      </c>
      <c r="W27" s="150">
        <f t="shared" si="4"/>
        <v>8</v>
      </c>
      <c r="X27" s="151">
        <f t="shared" si="4"/>
        <v>11.32</v>
      </c>
      <c r="Y27" s="6">
        <v>140</v>
      </c>
      <c r="Z27" s="6">
        <v>31</v>
      </c>
      <c r="AA27" s="6">
        <v>0</v>
      </c>
      <c r="AB27" s="6">
        <v>0</v>
      </c>
      <c r="AC27" s="6">
        <v>171</v>
      </c>
      <c r="AD27" s="6">
        <v>26.87</v>
      </c>
      <c r="AE27" s="6">
        <v>8.2201832479331022E-2</v>
      </c>
      <c r="AF27" s="151">
        <f t="shared" si="2"/>
        <v>2.0681218847499211E-2</v>
      </c>
      <c r="AG27" s="224">
        <f t="shared" si="5"/>
        <v>0.25159072764830803</v>
      </c>
    </row>
    <row r="28" spans="1:33">
      <c r="A28" s="34" t="s">
        <v>166</v>
      </c>
      <c r="B28" s="1" t="s">
        <v>45</v>
      </c>
      <c r="C28" s="1" t="s">
        <v>167</v>
      </c>
      <c r="D28" s="143" t="s">
        <v>166</v>
      </c>
      <c r="E28" s="144" t="s">
        <v>234</v>
      </c>
      <c r="F28" s="145">
        <v>42644</v>
      </c>
      <c r="G28" s="145">
        <v>43008</v>
      </c>
      <c r="H28" s="146">
        <v>238</v>
      </c>
      <c r="I28" s="147">
        <v>86</v>
      </c>
      <c r="J28" s="146">
        <v>10</v>
      </c>
      <c r="K28" s="146">
        <v>0</v>
      </c>
      <c r="L28" s="146">
        <f t="shared" si="0"/>
        <v>334</v>
      </c>
      <c r="M28" s="148">
        <v>55.73</v>
      </c>
      <c r="N28" s="149">
        <f t="shared" si="6"/>
        <v>8.706298627813519E-2</v>
      </c>
      <c r="P28" s="146">
        <v>301</v>
      </c>
      <c r="Q28" s="147">
        <v>92</v>
      </c>
      <c r="R28" s="146">
        <v>10</v>
      </c>
      <c r="S28" s="146">
        <v>0</v>
      </c>
      <c r="T28" s="146">
        <f t="shared" si="3"/>
        <v>403</v>
      </c>
      <c r="U28" s="148">
        <v>55.12</v>
      </c>
      <c r="W28" s="150">
        <f t="shared" si="4"/>
        <v>-69</v>
      </c>
      <c r="X28" s="151">
        <f t="shared" si="4"/>
        <v>0.60999999999999943</v>
      </c>
      <c r="Y28" s="6">
        <v>258</v>
      </c>
      <c r="Z28" s="6">
        <v>90</v>
      </c>
      <c r="AA28" s="6">
        <v>10</v>
      </c>
      <c r="AB28" s="6">
        <v>0</v>
      </c>
      <c r="AC28" s="6">
        <v>358</v>
      </c>
      <c r="AD28" s="6">
        <v>55.15</v>
      </c>
      <c r="AE28" s="6">
        <v>8.0654562894914295E-2</v>
      </c>
      <c r="AF28" s="151">
        <f t="shared" si="2"/>
        <v>6.4084233832208959E-3</v>
      </c>
      <c r="AG28" s="224">
        <f t="shared" si="5"/>
        <v>7.9455187074418843E-2</v>
      </c>
    </row>
    <row r="29" spans="1:33">
      <c r="A29" s="34" t="s">
        <v>168</v>
      </c>
      <c r="B29" s="1" t="s">
        <v>29</v>
      </c>
      <c r="C29" s="1" t="s">
        <v>169</v>
      </c>
      <c r="D29" s="143"/>
      <c r="E29" s="144"/>
      <c r="F29" s="145"/>
      <c r="G29" s="145"/>
      <c r="H29" s="146"/>
      <c r="I29" s="147"/>
      <c r="J29" s="146"/>
      <c r="K29" s="146"/>
      <c r="L29" s="146"/>
      <c r="M29" s="148"/>
      <c r="N29" s="149">
        <v>0</v>
      </c>
      <c r="P29" s="146"/>
      <c r="Q29" s="147"/>
      <c r="R29" s="146"/>
      <c r="S29" s="146"/>
      <c r="T29" s="146"/>
      <c r="U29" s="148"/>
      <c r="W29" s="150"/>
      <c r="X29" s="151"/>
      <c r="AE29" s="6">
        <v>0</v>
      </c>
      <c r="AF29" s="151"/>
      <c r="AG29" s="224"/>
    </row>
    <row r="30" spans="1:33">
      <c r="A30" s="34" t="s">
        <v>170</v>
      </c>
      <c r="B30" s="1" t="s">
        <v>33</v>
      </c>
      <c r="C30" s="1" t="s">
        <v>171</v>
      </c>
      <c r="D30" s="152" t="s">
        <v>170</v>
      </c>
      <c r="E30" s="153" t="s">
        <v>235</v>
      </c>
      <c r="F30" s="145">
        <v>42644</v>
      </c>
      <c r="G30" s="145">
        <v>43008</v>
      </c>
      <c r="H30" s="146">
        <v>101</v>
      </c>
      <c r="I30" s="147">
        <v>16</v>
      </c>
      <c r="J30" s="146">
        <v>0</v>
      </c>
      <c r="K30" s="146">
        <v>0</v>
      </c>
      <c r="L30" s="146">
        <f t="shared" si="0"/>
        <v>117</v>
      </c>
      <c r="M30" s="148">
        <v>27.67</v>
      </c>
      <c r="N30" s="149">
        <f t="shared" si="6"/>
        <v>0.12120021426422961</v>
      </c>
      <c r="P30" s="155">
        <v>101</v>
      </c>
      <c r="Q30" s="156">
        <v>16</v>
      </c>
      <c r="R30" s="155">
        <v>0</v>
      </c>
      <c r="S30" s="155">
        <v>0</v>
      </c>
      <c r="T30" s="155">
        <f t="shared" si="3"/>
        <v>117</v>
      </c>
      <c r="U30" s="157">
        <v>31.79</v>
      </c>
      <c r="V30" s="3"/>
      <c r="W30" s="159">
        <f t="shared" si="4"/>
        <v>0</v>
      </c>
      <c r="X30" s="160">
        <f t="shared" si="4"/>
        <v>-4.1199999999999974</v>
      </c>
      <c r="Y30" s="6">
        <v>101</v>
      </c>
      <c r="Z30" s="6">
        <v>16</v>
      </c>
      <c r="AA30" s="6">
        <v>0</v>
      </c>
      <c r="AB30" s="6">
        <v>0</v>
      </c>
      <c r="AC30" s="6">
        <v>117</v>
      </c>
      <c r="AD30" s="6">
        <v>28.74</v>
      </c>
      <c r="AE30" s="6">
        <v>0.1255974443735775</v>
      </c>
      <c r="AF30" s="151">
        <f t="shared" ref="AF30:AF34" si="7">N30-AE30</f>
        <v>-4.3972301093478938E-3</v>
      </c>
      <c r="AG30" s="224">
        <f t="shared" si="5"/>
        <v>-3.5010506235053286E-2</v>
      </c>
    </row>
    <row r="31" spans="1:33">
      <c r="A31" s="65" t="s">
        <v>172</v>
      </c>
      <c r="B31" s="3" t="s">
        <v>30</v>
      </c>
      <c r="C31" s="3" t="s">
        <v>173</v>
      </c>
      <c r="D31" s="152" t="s">
        <v>172</v>
      </c>
      <c r="E31" s="153" t="s">
        <v>173</v>
      </c>
      <c r="F31" s="154">
        <v>42644</v>
      </c>
      <c r="G31" s="154">
        <v>43008</v>
      </c>
      <c r="H31" s="155">
        <v>345</v>
      </c>
      <c r="I31" s="156">
        <v>22</v>
      </c>
      <c r="J31" s="155">
        <v>14</v>
      </c>
      <c r="K31" s="155">
        <v>0</v>
      </c>
      <c r="L31" s="155">
        <f t="shared" si="0"/>
        <v>381</v>
      </c>
      <c r="M31" s="157">
        <v>98.07</v>
      </c>
      <c r="N31" s="158">
        <f t="shared" si="6"/>
        <v>0.13122399400155493</v>
      </c>
      <c r="P31" s="146">
        <v>381</v>
      </c>
      <c r="Q31" s="147">
        <v>22</v>
      </c>
      <c r="R31" s="146">
        <v>14</v>
      </c>
      <c r="S31" s="146">
        <v>0</v>
      </c>
      <c r="T31" s="146">
        <f t="shared" si="3"/>
        <v>417</v>
      </c>
      <c r="U31" s="148">
        <v>99.84</v>
      </c>
      <c r="W31" s="150">
        <f t="shared" si="4"/>
        <v>-36</v>
      </c>
      <c r="X31" s="151">
        <f t="shared" si="4"/>
        <v>-1.7700000000000102</v>
      </c>
      <c r="Y31" s="6">
        <v>376</v>
      </c>
      <c r="Z31" s="6">
        <v>22</v>
      </c>
      <c r="AA31" s="6">
        <v>14</v>
      </c>
      <c r="AB31" s="6">
        <v>0</v>
      </c>
      <c r="AC31" s="6">
        <v>412</v>
      </c>
      <c r="AD31" s="6">
        <v>100.37</v>
      </c>
      <c r="AE31" s="6">
        <v>0.12462567686053673</v>
      </c>
      <c r="AF31" s="151">
        <f t="shared" si="7"/>
        <v>6.5983171410182034E-3</v>
      </c>
      <c r="AG31" s="224">
        <f t="shared" si="5"/>
        <v>5.2945085693713811E-2</v>
      </c>
    </row>
    <row r="32" spans="1:33">
      <c r="A32" s="34" t="s">
        <v>174</v>
      </c>
      <c r="B32" s="1" t="s">
        <v>42</v>
      </c>
      <c r="C32" s="1" t="s">
        <v>175</v>
      </c>
      <c r="D32" s="143" t="s">
        <v>174</v>
      </c>
      <c r="E32" s="144" t="s">
        <v>175</v>
      </c>
      <c r="F32" s="145">
        <v>42644</v>
      </c>
      <c r="G32" s="145">
        <v>43008</v>
      </c>
      <c r="H32" s="146">
        <v>240</v>
      </c>
      <c r="I32" s="147">
        <v>20</v>
      </c>
      <c r="J32" s="146">
        <v>0</v>
      </c>
      <c r="K32" s="146">
        <v>0</v>
      </c>
      <c r="L32" s="146">
        <f t="shared" si="0"/>
        <v>260</v>
      </c>
      <c r="M32" s="148">
        <v>56.68</v>
      </c>
      <c r="N32" s="149">
        <f t="shared" si="6"/>
        <v>0.11224761020416864</v>
      </c>
      <c r="P32" s="146">
        <v>272</v>
      </c>
      <c r="Q32" s="147">
        <v>20</v>
      </c>
      <c r="R32" s="146">
        <v>10</v>
      </c>
      <c r="S32" s="146">
        <v>0</v>
      </c>
      <c r="T32" s="146">
        <f t="shared" si="3"/>
        <v>302</v>
      </c>
      <c r="U32" s="148">
        <v>61.33</v>
      </c>
      <c r="W32" s="150">
        <f t="shared" si="4"/>
        <v>-42</v>
      </c>
      <c r="X32" s="151">
        <f t="shared" si="4"/>
        <v>-4.6499999999999986</v>
      </c>
      <c r="Y32" s="6">
        <v>282</v>
      </c>
      <c r="Z32" s="6">
        <v>20</v>
      </c>
      <c r="AA32" s="6">
        <v>0</v>
      </c>
      <c r="AB32" s="6">
        <v>0</v>
      </c>
      <c r="AC32" s="6">
        <v>302</v>
      </c>
      <c r="AD32" s="6">
        <v>59.24</v>
      </c>
      <c r="AE32" s="6">
        <v>0.1015709534794892</v>
      </c>
      <c r="AF32" s="151">
        <f t="shared" si="7"/>
        <v>1.0676656724679434E-2</v>
      </c>
      <c r="AG32" s="224">
        <f t="shared" si="5"/>
        <v>0.10511525548330539</v>
      </c>
    </row>
    <row r="33" spans="1:33">
      <c r="A33" s="34" t="s">
        <v>176</v>
      </c>
      <c r="B33" s="1" t="s">
        <v>35</v>
      </c>
      <c r="C33" s="1" t="s">
        <v>177</v>
      </c>
      <c r="D33" s="143" t="s">
        <v>176</v>
      </c>
      <c r="E33" s="144" t="s">
        <v>194</v>
      </c>
      <c r="F33" s="145">
        <v>42644</v>
      </c>
      <c r="G33" s="145">
        <v>43008</v>
      </c>
      <c r="H33" s="146">
        <v>246</v>
      </c>
      <c r="I33" s="147">
        <v>32</v>
      </c>
      <c r="J33" s="146">
        <v>0</v>
      </c>
      <c r="K33" s="146">
        <v>0</v>
      </c>
      <c r="L33" s="146">
        <f t="shared" si="0"/>
        <v>278</v>
      </c>
      <c r="M33" s="148">
        <v>44.84</v>
      </c>
      <c r="N33" s="149">
        <f t="shared" si="6"/>
        <v>8.4285137992856154E-2</v>
      </c>
      <c r="P33" s="146">
        <v>276</v>
      </c>
      <c r="Q33" s="147">
        <v>32</v>
      </c>
      <c r="R33" s="146">
        <v>0</v>
      </c>
      <c r="S33" s="146">
        <v>0</v>
      </c>
      <c r="T33" s="146">
        <f t="shared" si="3"/>
        <v>308</v>
      </c>
      <c r="U33" s="148">
        <v>45.58</v>
      </c>
      <c r="W33" s="150">
        <f t="shared" si="4"/>
        <v>-30</v>
      </c>
      <c r="X33" s="151">
        <f t="shared" si="4"/>
        <v>-0.73999999999999488</v>
      </c>
      <c r="Y33" s="6">
        <v>246</v>
      </c>
      <c r="Z33" s="6">
        <v>32</v>
      </c>
      <c r="AA33" s="6">
        <v>0</v>
      </c>
      <c r="AB33" s="6">
        <v>0</v>
      </c>
      <c r="AC33" s="6">
        <v>278</v>
      </c>
      <c r="AD33" s="6">
        <v>45.67</v>
      </c>
      <c r="AE33" s="6">
        <v>8.5777414941812402E-2</v>
      </c>
      <c r="AF33" s="151">
        <f t="shared" si="7"/>
        <v>-1.4922769489562476E-3</v>
      </c>
      <c r="AG33" s="224">
        <f t="shared" si="5"/>
        <v>-1.7397084651811227E-2</v>
      </c>
    </row>
    <row r="34" spans="1:33">
      <c r="A34" s="34" t="s">
        <v>182</v>
      </c>
      <c r="B34" s="1" t="s">
        <v>183</v>
      </c>
      <c r="C34" s="1" t="s">
        <v>184</v>
      </c>
      <c r="D34" s="143" t="s">
        <v>182</v>
      </c>
      <c r="E34" s="144" t="s">
        <v>184</v>
      </c>
      <c r="F34" s="145">
        <v>42552</v>
      </c>
      <c r="G34" s="145">
        <v>42916</v>
      </c>
      <c r="H34" s="146">
        <v>158</v>
      </c>
      <c r="I34" s="147">
        <v>18</v>
      </c>
      <c r="J34" s="146">
        <v>0</v>
      </c>
      <c r="K34" s="146">
        <v>0</v>
      </c>
      <c r="L34" s="146">
        <f t="shared" si="0"/>
        <v>176</v>
      </c>
      <c r="M34" s="148">
        <v>232.54</v>
      </c>
      <c r="N34" s="149">
        <f t="shared" si="6"/>
        <v>0.54867724160702069</v>
      </c>
      <c r="P34" s="146">
        <v>146</v>
      </c>
      <c r="Q34" s="147">
        <v>22</v>
      </c>
      <c r="R34" s="146">
        <v>0</v>
      </c>
      <c r="S34" s="146">
        <v>0</v>
      </c>
      <c r="T34" s="146">
        <f t="shared" si="3"/>
        <v>168</v>
      </c>
      <c r="U34" s="148">
        <v>217.34</v>
      </c>
      <c r="W34" s="150">
        <f t="shared" si="4"/>
        <v>8</v>
      </c>
      <c r="X34" s="151">
        <f t="shared" si="4"/>
        <v>15.199999999999989</v>
      </c>
      <c r="Y34" s="6">
        <v>147</v>
      </c>
      <c r="Z34" s="6">
        <v>18</v>
      </c>
      <c r="AA34" s="6">
        <v>0</v>
      </c>
      <c r="AB34" s="6">
        <v>0</v>
      </c>
      <c r="AC34" s="6">
        <v>165</v>
      </c>
      <c r="AD34" s="6">
        <v>233.84</v>
      </c>
      <c r="AE34" s="6">
        <v>0.58008416500076243</v>
      </c>
      <c r="AF34" s="151">
        <f t="shared" si="7"/>
        <v>-3.1406923393741737E-2</v>
      </c>
      <c r="AG34" s="224">
        <f t="shared" si="5"/>
        <v>-5.4142011260901179E-2</v>
      </c>
    </row>
    <row r="35" spans="1:33">
      <c r="A35" s="65" t="s">
        <v>179</v>
      </c>
      <c r="B35" s="3" t="s">
        <v>180</v>
      </c>
      <c r="C35" s="3" t="s">
        <v>213</v>
      </c>
      <c r="D35" s="152" t="s">
        <v>179</v>
      </c>
      <c r="E35" s="153" t="s">
        <v>195</v>
      </c>
      <c r="F35" s="154">
        <v>42644</v>
      </c>
      <c r="G35" s="154">
        <v>43008</v>
      </c>
      <c r="H35" s="155">
        <v>187</v>
      </c>
      <c r="I35" s="156">
        <v>0</v>
      </c>
      <c r="J35" s="155">
        <v>0</v>
      </c>
      <c r="K35" s="155">
        <v>0</v>
      </c>
      <c r="L35" s="155">
        <f t="shared" si="0"/>
        <v>187</v>
      </c>
      <c r="M35" s="157">
        <v>88.27</v>
      </c>
      <c r="N35" s="158">
        <f t="shared" si="6"/>
        <v>0.22884779677891109</v>
      </c>
      <c r="P35" s="155">
        <v>187</v>
      </c>
      <c r="Q35" s="156">
        <v>0</v>
      </c>
      <c r="R35" s="155">
        <v>0</v>
      </c>
      <c r="S35" s="155">
        <v>0</v>
      </c>
      <c r="T35" s="155">
        <f t="shared" si="3"/>
        <v>187</v>
      </c>
      <c r="U35" s="157">
        <v>82.39</v>
      </c>
      <c r="V35" s="3"/>
      <c r="W35" s="159">
        <f t="shared" si="4"/>
        <v>0</v>
      </c>
      <c r="X35" s="160">
        <f t="shared" si="4"/>
        <v>5.8799999999999955</v>
      </c>
      <c r="Y35" s="6">
        <v>187</v>
      </c>
      <c r="Z35" s="6">
        <v>0</v>
      </c>
      <c r="AA35" s="6">
        <v>0</v>
      </c>
      <c r="AB35" s="6">
        <v>0</v>
      </c>
      <c r="AC35" s="6">
        <v>187</v>
      </c>
      <c r="AD35" s="6">
        <v>88.16</v>
      </c>
      <c r="AE35" s="6">
        <v>0.22859224392863225</v>
      </c>
      <c r="AF35" s="151">
        <f>N35-AE35</f>
        <v>2.5555285027883956E-4</v>
      </c>
      <c r="AG35" s="224">
        <f t="shared" si="5"/>
        <v>1.1179419121438983E-3</v>
      </c>
    </row>
    <row r="36" spans="1:33">
      <c r="H36" s="225"/>
    </row>
    <row r="37" spans="1:33">
      <c r="E37" s="161" t="s">
        <v>236</v>
      </c>
      <c r="F37" s="8"/>
      <c r="G37" s="8"/>
      <c r="N37" s="162"/>
    </row>
    <row r="92" spans="2:3">
      <c r="B92" s="112"/>
      <c r="C92" s="112"/>
    </row>
  </sheetData>
  <mergeCells count="1">
    <mergeCell ref="P5:U5"/>
  </mergeCells>
  <pageMargins left="0.7" right="0.7" top="0.75" bottom="0.75" header="0.3" footer="0.3"/>
  <pageSetup scale="37" orientation="landscape" r:id="rId1"/>
  <headerFooter>
    <oddFooter>&amp;L&amp;Z&amp;F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pane ySplit="6" topLeftCell="A7" activePane="bottomLeft" state="frozen"/>
      <selection pane="bottomLeft" activeCell="D4" sqref="D4"/>
    </sheetView>
  </sheetViews>
  <sheetFormatPr defaultRowHeight="15" outlineLevelCol="1"/>
  <cols>
    <col min="1" max="1" width="6" style="6" hidden="1" customWidth="1" outlineLevel="1"/>
    <col min="2" max="2" width="9.140625" style="6" hidden="1" customWidth="1" outlineLevel="1"/>
    <col min="3" max="3" width="14.28515625" style="6" hidden="1" customWidth="1" outlineLevel="1"/>
    <col min="4" max="4" width="22.28515625" style="6" customWidth="1" collapsed="1"/>
    <col min="5" max="5" width="9.42578125" style="6" customWidth="1" outlineLevel="1"/>
    <col min="6" max="6" width="9.7109375" style="6" customWidth="1" outlineLevel="1"/>
    <col min="7" max="7" width="10.7109375" style="6" customWidth="1" outlineLevel="1"/>
    <col min="8" max="8" width="14.28515625" style="6" bestFit="1" customWidth="1"/>
    <col min="9" max="10" width="12.5703125" style="6" bestFit="1" customWidth="1"/>
    <col min="11" max="11" width="13.5703125" style="6" bestFit="1" customWidth="1"/>
    <col min="12" max="12" width="11.5703125" style="6" bestFit="1" customWidth="1"/>
    <col min="13" max="13" width="10.42578125" style="6" bestFit="1" customWidth="1"/>
    <col min="14" max="14" width="12.28515625" style="6" bestFit="1" customWidth="1"/>
    <col min="15" max="15" width="13.85546875" style="6" customWidth="1"/>
    <col min="16" max="16" width="15.140625" style="6" customWidth="1"/>
    <col min="17" max="17" width="14.85546875" style="6" bestFit="1" customWidth="1"/>
    <col min="18" max="18" width="9.140625" style="6"/>
    <col min="19" max="19" width="9" style="6" hidden="1" customWidth="1"/>
    <col min="20" max="20" width="7.5703125" style="6" hidden="1" customWidth="1"/>
    <col min="21" max="16384" width="9.140625" style="6"/>
  </cols>
  <sheetData>
    <row r="1" spans="1:20" ht="21">
      <c r="D1" s="201" t="s">
        <v>335</v>
      </c>
    </row>
    <row r="2" spans="1:20">
      <c r="D2" s="6" t="s">
        <v>334</v>
      </c>
    </row>
    <row r="3" spans="1:20">
      <c r="D3" s="6" t="s">
        <v>378</v>
      </c>
      <c r="H3" s="6" t="s">
        <v>333</v>
      </c>
      <c r="I3" s="6" t="s">
        <v>332</v>
      </c>
      <c r="J3" s="6" t="s">
        <v>332</v>
      </c>
      <c r="K3" s="6" t="s">
        <v>332</v>
      </c>
      <c r="L3" s="6" t="s">
        <v>332</v>
      </c>
      <c r="M3" s="6" t="s">
        <v>332</v>
      </c>
      <c r="N3" s="6" t="s">
        <v>332</v>
      </c>
      <c r="O3" s="6" t="s">
        <v>332</v>
      </c>
      <c r="P3" s="6" t="s">
        <v>332</v>
      </c>
    </row>
    <row r="4" spans="1:20">
      <c r="H4" s="6" t="s">
        <v>331</v>
      </c>
      <c r="I4" s="6" t="s">
        <v>330</v>
      </c>
      <c r="J4" s="6" t="s">
        <v>329</v>
      </c>
      <c r="K4" s="6" t="s">
        <v>328</v>
      </c>
      <c r="L4" s="6" t="s">
        <v>327</v>
      </c>
      <c r="M4" s="6" t="s">
        <v>326</v>
      </c>
      <c r="N4" s="6" t="s">
        <v>325</v>
      </c>
      <c r="O4" s="6" t="s">
        <v>324</v>
      </c>
      <c r="P4" s="6" t="s">
        <v>323</v>
      </c>
    </row>
    <row r="5" spans="1:20" ht="75">
      <c r="A5" s="216" t="s">
        <v>322</v>
      </c>
      <c r="B5" s="217" t="s">
        <v>321</v>
      </c>
      <c r="C5" s="217"/>
      <c r="D5" s="217" t="s">
        <v>320</v>
      </c>
      <c r="E5" s="217" t="s">
        <v>70</v>
      </c>
      <c r="F5" s="217" t="s">
        <v>217</v>
      </c>
      <c r="G5" s="217" t="s">
        <v>218</v>
      </c>
      <c r="H5" s="217" t="s">
        <v>319</v>
      </c>
      <c r="I5" s="217" t="s">
        <v>318</v>
      </c>
      <c r="J5" s="217" t="s">
        <v>317</v>
      </c>
      <c r="K5" s="217" t="s">
        <v>316</v>
      </c>
      <c r="L5" s="217" t="s">
        <v>315</v>
      </c>
      <c r="M5" s="217" t="s">
        <v>314</v>
      </c>
      <c r="N5" s="217" t="s">
        <v>313</v>
      </c>
      <c r="O5" s="217" t="s">
        <v>312</v>
      </c>
      <c r="P5" s="217" t="s">
        <v>311</v>
      </c>
      <c r="Q5" s="217" t="s">
        <v>310</v>
      </c>
      <c r="R5" s="218" t="s">
        <v>309</v>
      </c>
      <c r="S5" s="226">
        <v>2018</v>
      </c>
      <c r="T5" s="226">
        <v>2017</v>
      </c>
    </row>
    <row r="6" spans="1:20" s="48" customFormat="1">
      <c r="A6" s="48" t="s">
        <v>96</v>
      </c>
      <c r="B6" s="48" t="s">
        <v>97</v>
      </c>
      <c r="D6" s="48" t="s">
        <v>98</v>
      </c>
      <c r="E6" s="48" t="s">
        <v>99</v>
      </c>
      <c r="F6" s="48" t="s">
        <v>100</v>
      </c>
      <c r="G6" s="48" t="s">
        <v>101</v>
      </c>
      <c r="H6" s="48" t="s">
        <v>102</v>
      </c>
      <c r="I6" s="48" t="s">
        <v>189</v>
      </c>
      <c r="J6" s="48" t="s">
        <v>190</v>
      </c>
      <c r="K6" s="204" t="s">
        <v>191</v>
      </c>
      <c r="L6" s="48" t="s">
        <v>105</v>
      </c>
      <c r="M6" s="48" t="s">
        <v>308</v>
      </c>
      <c r="N6" s="48" t="s">
        <v>107</v>
      </c>
      <c r="O6" s="48" t="s">
        <v>250</v>
      </c>
      <c r="P6" s="48" t="s">
        <v>192</v>
      </c>
      <c r="Q6" s="200" t="s">
        <v>360</v>
      </c>
      <c r="R6" s="48" t="s">
        <v>361</v>
      </c>
    </row>
    <row r="7" spans="1:20">
      <c r="A7" s="199" t="s">
        <v>280</v>
      </c>
      <c r="B7" s="199" t="s">
        <v>279</v>
      </c>
      <c r="C7" s="234" t="s">
        <v>368</v>
      </c>
      <c r="D7" s="199" t="s">
        <v>307</v>
      </c>
      <c r="E7" s="199" t="s">
        <v>123</v>
      </c>
      <c r="F7" s="198">
        <v>42644</v>
      </c>
      <c r="G7" s="198">
        <v>43008</v>
      </c>
      <c r="H7" s="197">
        <v>143668935</v>
      </c>
      <c r="I7" s="197">
        <v>152052070</v>
      </c>
      <c r="J7" s="197">
        <v>27089477</v>
      </c>
      <c r="K7" s="197"/>
      <c r="L7" s="197"/>
      <c r="M7" s="197"/>
      <c r="N7" s="197"/>
      <c r="O7" s="197"/>
      <c r="P7" s="197">
        <v>301436151</v>
      </c>
      <c r="Q7" s="197">
        <f t="shared" ref="Q7:Q34" si="0">SUM(I7:O7)+P7</f>
        <v>480577698</v>
      </c>
      <c r="R7" s="196">
        <f t="shared" ref="R7:R35" si="1">IF(Q7&gt;0,H7/Q7,0)</f>
        <v>0.29895048313290645</v>
      </c>
      <c r="S7" s="227">
        <v>0.42922382850452628</v>
      </c>
      <c r="T7" s="228">
        <v>0.31035651686351362</v>
      </c>
    </row>
    <row r="8" spans="1:20">
      <c r="A8" s="199" t="s">
        <v>280</v>
      </c>
      <c r="B8" s="199" t="s">
        <v>279</v>
      </c>
      <c r="C8" s="234" t="s">
        <v>126</v>
      </c>
      <c r="D8" s="199" t="s">
        <v>306</v>
      </c>
      <c r="E8" s="199" t="s">
        <v>125</v>
      </c>
      <c r="F8" s="198">
        <v>42644</v>
      </c>
      <c r="G8" s="198">
        <v>43008</v>
      </c>
      <c r="H8" s="197">
        <v>12441686</v>
      </c>
      <c r="I8" s="197">
        <v>7482838</v>
      </c>
      <c r="J8" s="197">
        <v>1152300</v>
      </c>
      <c r="K8" s="197"/>
      <c r="L8" s="197"/>
      <c r="M8" s="197"/>
      <c r="N8" s="197"/>
      <c r="O8" s="197"/>
      <c r="P8" s="197">
        <v>17175855</v>
      </c>
      <c r="Q8" s="197">
        <f t="shared" si="0"/>
        <v>25810993</v>
      </c>
      <c r="R8" s="196">
        <f t="shared" si="1"/>
        <v>0.48203050537420239</v>
      </c>
      <c r="S8" s="227">
        <v>0.43853378318147979</v>
      </c>
      <c r="T8" s="228">
        <v>0.44413495983302864</v>
      </c>
    </row>
    <row r="9" spans="1:20">
      <c r="A9" s="199" t="s">
        <v>280</v>
      </c>
      <c r="B9" s="199" t="s">
        <v>279</v>
      </c>
      <c r="C9" s="234" t="s">
        <v>128</v>
      </c>
      <c r="D9" s="199" t="s">
        <v>305</v>
      </c>
      <c r="E9" s="199" t="s">
        <v>127</v>
      </c>
      <c r="F9" s="198">
        <v>42644</v>
      </c>
      <c r="G9" s="198">
        <v>42947</v>
      </c>
      <c r="H9" s="197">
        <v>7112971</v>
      </c>
      <c r="I9" s="197">
        <v>3043091</v>
      </c>
      <c r="J9" s="197">
        <v>1050392</v>
      </c>
      <c r="K9" s="197"/>
      <c r="L9" s="197"/>
      <c r="M9" s="197"/>
      <c r="N9" s="197"/>
      <c r="O9" s="197"/>
      <c r="P9" s="197">
        <v>12653387</v>
      </c>
      <c r="Q9" s="197">
        <f t="shared" si="0"/>
        <v>16746870</v>
      </c>
      <c r="R9" s="196">
        <f t="shared" si="1"/>
        <v>0.424734353344834</v>
      </c>
      <c r="S9" s="227">
        <v>0.41605524295109714</v>
      </c>
      <c r="T9" s="228">
        <v>0.39308167315260767</v>
      </c>
    </row>
    <row r="10" spans="1:20">
      <c r="A10" s="199" t="s">
        <v>280</v>
      </c>
      <c r="B10" s="199" t="s">
        <v>279</v>
      </c>
      <c r="C10" s="234" t="s">
        <v>130</v>
      </c>
      <c r="D10" s="199" t="s">
        <v>304</v>
      </c>
      <c r="E10" s="199" t="s">
        <v>129</v>
      </c>
      <c r="F10" s="198">
        <v>42736</v>
      </c>
      <c r="G10" s="198">
        <v>43100</v>
      </c>
      <c r="H10" s="197">
        <v>34973500</v>
      </c>
      <c r="I10" s="197">
        <v>54322912</v>
      </c>
      <c r="J10" s="197">
        <v>12379761</v>
      </c>
      <c r="K10" s="197"/>
      <c r="L10" s="197"/>
      <c r="M10" s="197"/>
      <c r="N10" s="197"/>
      <c r="O10" s="197"/>
      <c r="P10" s="197">
        <v>115505885</v>
      </c>
      <c r="Q10" s="197">
        <f t="shared" si="0"/>
        <v>182208558</v>
      </c>
      <c r="R10" s="196">
        <f t="shared" si="1"/>
        <v>0.19194213698787957</v>
      </c>
      <c r="S10" s="227">
        <v>0.21500473228461459</v>
      </c>
      <c r="T10" s="228">
        <v>0.22516842330459436</v>
      </c>
    </row>
    <row r="11" spans="1:20">
      <c r="A11" s="199" t="s">
        <v>280</v>
      </c>
      <c r="B11" s="199" t="s">
        <v>279</v>
      </c>
      <c r="C11" s="234" t="s">
        <v>132</v>
      </c>
      <c r="D11" s="199" t="s">
        <v>303</v>
      </c>
      <c r="E11" s="199" t="s">
        <v>131</v>
      </c>
      <c r="F11" s="198">
        <v>42644</v>
      </c>
      <c r="G11" s="198">
        <v>43008</v>
      </c>
      <c r="H11" s="197">
        <v>73952276</v>
      </c>
      <c r="I11" s="197">
        <v>32257364</v>
      </c>
      <c r="J11" s="197">
        <v>9649806</v>
      </c>
      <c r="K11" s="197"/>
      <c r="L11" s="197"/>
      <c r="M11" s="197"/>
      <c r="N11" s="197"/>
      <c r="O11" s="197"/>
      <c r="P11" s="197">
        <v>200838573</v>
      </c>
      <c r="Q11" s="197">
        <f t="shared" si="0"/>
        <v>242745743</v>
      </c>
      <c r="R11" s="196">
        <f t="shared" si="1"/>
        <v>0.30464911592702987</v>
      </c>
      <c r="S11" s="227">
        <v>0.2777205738428159</v>
      </c>
      <c r="T11" s="228">
        <v>0.28569015886282156</v>
      </c>
    </row>
    <row r="12" spans="1:20">
      <c r="A12" s="199" t="s">
        <v>280</v>
      </c>
      <c r="B12" s="199" t="s">
        <v>279</v>
      </c>
      <c r="C12" s="234" t="s">
        <v>365</v>
      </c>
      <c r="D12" s="199" t="s">
        <v>302</v>
      </c>
      <c r="E12" s="199" t="s">
        <v>133</v>
      </c>
      <c r="F12" s="198">
        <v>42644</v>
      </c>
      <c r="G12" s="198">
        <v>43008</v>
      </c>
      <c r="H12" s="197">
        <v>61837150</v>
      </c>
      <c r="I12" s="197">
        <v>25613270</v>
      </c>
      <c r="J12" s="197">
        <v>3604495</v>
      </c>
      <c r="K12" s="197">
        <v>2973753</v>
      </c>
      <c r="L12" s="197"/>
      <c r="M12" s="197"/>
      <c r="N12" s="197"/>
      <c r="O12" s="197"/>
      <c r="P12" s="197">
        <v>97894791</v>
      </c>
      <c r="Q12" s="197">
        <f t="shared" si="0"/>
        <v>130086309</v>
      </c>
      <c r="R12" s="196">
        <f t="shared" si="1"/>
        <v>0.47535478925764585</v>
      </c>
      <c r="S12" s="227">
        <v>0.48907548419907804</v>
      </c>
      <c r="T12" s="228">
        <v>0.5081150952028658</v>
      </c>
    </row>
    <row r="13" spans="1:20">
      <c r="A13" s="199" t="s">
        <v>280</v>
      </c>
      <c r="B13" s="199" t="s">
        <v>279</v>
      </c>
      <c r="C13" s="234" t="s">
        <v>136</v>
      </c>
      <c r="D13" s="199" t="s">
        <v>301</v>
      </c>
      <c r="E13" s="199" t="s">
        <v>135</v>
      </c>
      <c r="F13" s="198">
        <v>42644</v>
      </c>
      <c r="G13" s="198">
        <v>43008</v>
      </c>
      <c r="H13" s="197">
        <v>8401732</v>
      </c>
      <c r="I13" s="197">
        <v>5059349</v>
      </c>
      <c r="J13" s="197">
        <v>1218868</v>
      </c>
      <c r="K13" s="197"/>
      <c r="L13" s="197"/>
      <c r="M13" s="197"/>
      <c r="N13" s="197"/>
      <c r="O13" s="197"/>
      <c r="P13" s="197">
        <v>11217510</v>
      </c>
      <c r="Q13" s="197">
        <f t="shared" si="0"/>
        <v>17495727</v>
      </c>
      <c r="R13" s="196">
        <f t="shared" si="1"/>
        <v>0.48021622651062174</v>
      </c>
      <c r="S13" s="227">
        <v>0.51972602867048001</v>
      </c>
      <c r="T13" s="228">
        <v>0.54408153988603269</v>
      </c>
    </row>
    <row r="14" spans="1:20">
      <c r="A14" s="199" t="s">
        <v>280</v>
      </c>
      <c r="B14" s="199" t="s">
        <v>279</v>
      </c>
      <c r="C14" s="234" t="s">
        <v>138</v>
      </c>
      <c r="D14" s="199" t="s">
        <v>300</v>
      </c>
      <c r="E14" s="199" t="s">
        <v>137</v>
      </c>
      <c r="F14" s="198">
        <v>42644</v>
      </c>
      <c r="G14" s="198">
        <v>43008</v>
      </c>
      <c r="H14" s="197">
        <v>83237299</v>
      </c>
      <c r="I14" s="197">
        <v>84745029</v>
      </c>
      <c r="J14" s="197">
        <v>9557398</v>
      </c>
      <c r="K14" s="197"/>
      <c r="L14" s="197">
        <v>6341440</v>
      </c>
      <c r="M14" s="197"/>
      <c r="N14" s="197"/>
      <c r="O14" s="197"/>
      <c r="P14" s="197">
        <v>182851713</v>
      </c>
      <c r="Q14" s="197">
        <f t="shared" si="0"/>
        <v>283495580</v>
      </c>
      <c r="R14" s="196">
        <f t="shared" si="1"/>
        <v>0.29361057057750251</v>
      </c>
      <c r="S14" s="227">
        <v>0.27238388328640512</v>
      </c>
      <c r="T14" s="228">
        <v>0.26944474767248411</v>
      </c>
    </row>
    <row r="15" spans="1:20">
      <c r="A15" s="199" t="s">
        <v>280</v>
      </c>
      <c r="B15" s="199" t="s">
        <v>279</v>
      </c>
      <c r="C15" s="235" t="s">
        <v>364</v>
      </c>
      <c r="D15" s="199" t="s">
        <v>299</v>
      </c>
      <c r="E15" s="199" t="s">
        <v>139</v>
      </c>
      <c r="F15" s="198">
        <v>42644</v>
      </c>
      <c r="G15" s="198">
        <v>43008</v>
      </c>
      <c r="H15" s="197">
        <v>21145431</v>
      </c>
      <c r="I15" s="197">
        <v>20852477</v>
      </c>
      <c r="J15" s="197">
        <v>2909854</v>
      </c>
      <c r="K15" s="197"/>
      <c r="L15" s="197"/>
      <c r="M15" s="197"/>
      <c r="N15" s="197"/>
      <c r="O15" s="197"/>
      <c r="P15" s="197">
        <v>24975106</v>
      </c>
      <c r="Q15" s="197">
        <f t="shared" si="0"/>
        <v>48737437</v>
      </c>
      <c r="R15" s="196">
        <f t="shared" si="1"/>
        <v>0.43386423869601515</v>
      </c>
      <c r="S15" s="227">
        <v>0.4889002631061844</v>
      </c>
      <c r="T15" s="228">
        <v>0.46237342084849409</v>
      </c>
    </row>
    <row r="16" spans="1:20">
      <c r="A16" s="199" t="s">
        <v>280</v>
      </c>
      <c r="B16" s="199" t="s">
        <v>279</v>
      </c>
      <c r="C16" s="234" t="s">
        <v>367</v>
      </c>
      <c r="D16" s="199" t="s">
        <v>298</v>
      </c>
      <c r="E16" s="199" t="s">
        <v>141</v>
      </c>
      <c r="F16" s="198">
        <v>42736</v>
      </c>
      <c r="G16" s="198">
        <v>43100</v>
      </c>
      <c r="H16" s="197">
        <v>9567266</v>
      </c>
      <c r="I16" s="197">
        <v>16359563</v>
      </c>
      <c r="J16" s="197">
        <v>6245631</v>
      </c>
      <c r="K16" s="197"/>
      <c r="L16" s="197"/>
      <c r="M16" s="197"/>
      <c r="N16" s="197"/>
      <c r="O16" s="197"/>
      <c r="P16" s="197">
        <v>11678658</v>
      </c>
      <c r="Q16" s="197">
        <f t="shared" si="0"/>
        <v>34283852</v>
      </c>
      <c r="R16" s="196">
        <f t="shared" si="1"/>
        <v>0.27906041596492714</v>
      </c>
      <c r="S16" s="227">
        <v>0.38670882415743607</v>
      </c>
      <c r="T16" s="228">
        <v>0.43793750684961108</v>
      </c>
    </row>
    <row r="17" spans="1:20">
      <c r="A17" s="199" t="s">
        <v>280</v>
      </c>
      <c r="B17" s="199" t="s">
        <v>279</v>
      </c>
      <c r="C17" s="236" t="s">
        <v>369</v>
      </c>
      <c r="D17" s="199" t="s">
        <v>297</v>
      </c>
      <c r="E17" s="199" t="s">
        <v>146</v>
      </c>
      <c r="F17" s="198">
        <v>42644</v>
      </c>
      <c r="G17" s="198">
        <v>43008</v>
      </c>
      <c r="H17" s="197">
        <v>48788369</v>
      </c>
      <c r="I17" s="197">
        <v>35296618</v>
      </c>
      <c r="J17" s="197">
        <v>7376666</v>
      </c>
      <c r="K17" s="197">
        <v>1307103</v>
      </c>
      <c r="L17" s="197"/>
      <c r="M17" s="197"/>
      <c r="N17" s="197"/>
      <c r="O17" s="197"/>
      <c r="P17" s="197">
        <v>93131585</v>
      </c>
      <c r="Q17" s="197">
        <f t="shared" si="0"/>
        <v>137111972</v>
      </c>
      <c r="R17" s="196">
        <f t="shared" si="1"/>
        <v>0.35582865805474667</v>
      </c>
      <c r="S17" s="227">
        <v>0.38594178146260549</v>
      </c>
      <c r="T17" s="228">
        <v>0.35766545699960878</v>
      </c>
    </row>
    <row r="18" spans="1:20">
      <c r="A18" s="199" t="s">
        <v>280</v>
      </c>
      <c r="B18" s="199" t="s">
        <v>279</v>
      </c>
      <c r="C18" s="234" t="s">
        <v>366</v>
      </c>
      <c r="D18" s="199" t="s">
        <v>296</v>
      </c>
      <c r="E18" s="199" t="s">
        <v>148</v>
      </c>
      <c r="F18" s="198">
        <v>42644</v>
      </c>
      <c r="G18" s="198">
        <v>43008</v>
      </c>
      <c r="H18" s="197">
        <v>38699755</v>
      </c>
      <c r="I18" s="197">
        <v>32874268</v>
      </c>
      <c r="J18" s="197"/>
      <c r="K18" s="197"/>
      <c r="L18" s="197"/>
      <c r="M18" s="197"/>
      <c r="N18" s="197"/>
      <c r="O18" s="197"/>
      <c r="P18" s="197">
        <v>54637150</v>
      </c>
      <c r="Q18" s="197">
        <f t="shared" si="0"/>
        <v>87511418</v>
      </c>
      <c r="R18" s="196">
        <f t="shared" si="1"/>
        <v>0.44222520768661294</v>
      </c>
      <c r="S18" s="227">
        <v>0.40804934733652043</v>
      </c>
      <c r="T18" s="228">
        <v>0.39997944474401698</v>
      </c>
    </row>
    <row r="19" spans="1:20">
      <c r="A19" s="199" t="s">
        <v>280</v>
      </c>
      <c r="B19" s="199" t="s">
        <v>279</v>
      </c>
      <c r="C19" s="234" t="s">
        <v>151</v>
      </c>
      <c r="D19" s="199" t="s">
        <v>295</v>
      </c>
      <c r="E19" s="199" t="s">
        <v>150</v>
      </c>
      <c r="F19" s="198">
        <v>42644</v>
      </c>
      <c r="G19" s="198">
        <v>43008</v>
      </c>
      <c r="H19" s="197">
        <v>61677646</v>
      </c>
      <c r="I19" s="197">
        <v>54699494</v>
      </c>
      <c r="J19" s="197">
        <v>4693170</v>
      </c>
      <c r="K19" s="197"/>
      <c r="L19" s="197"/>
      <c r="M19" s="197"/>
      <c r="N19" s="197"/>
      <c r="O19" s="197"/>
      <c r="P19" s="197">
        <v>134272403</v>
      </c>
      <c r="Q19" s="197">
        <f t="shared" si="0"/>
        <v>193665067</v>
      </c>
      <c r="R19" s="196">
        <f t="shared" si="1"/>
        <v>0.31847584572389609</v>
      </c>
      <c r="S19" s="227">
        <v>0.29753783136017542</v>
      </c>
      <c r="T19" s="228">
        <v>0.29024952725116931</v>
      </c>
    </row>
    <row r="20" spans="1:20">
      <c r="A20" s="199" t="s">
        <v>280</v>
      </c>
      <c r="B20" s="199" t="s">
        <v>279</v>
      </c>
      <c r="C20" s="234" t="s">
        <v>153</v>
      </c>
      <c r="D20" s="199" t="s">
        <v>294</v>
      </c>
      <c r="E20" s="199" t="s">
        <v>152</v>
      </c>
      <c r="F20" s="198">
        <v>42644</v>
      </c>
      <c r="G20" s="198">
        <v>43008</v>
      </c>
      <c r="H20" s="229">
        <v>16531005</v>
      </c>
      <c r="I20" s="229">
        <v>8644376</v>
      </c>
      <c r="J20" s="229">
        <v>2850088</v>
      </c>
      <c r="K20" s="229"/>
      <c r="L20" s="229"/>
      <c r="M20" s="229"/>
      <c r="N20" s="229"/>
      <c r="O20" s="229"/>
      <c r="P20" s="229">
        <v>34197956</v>
      </c>
      <c r="Q20" s="197">
        <f t="shared" si="0"/>
        <v>45692420</v>
      </c>
      <c r="R20" s="196">
        <f t="shared" si="1"/>
        <v>0.36178878247201612</v>
      </c>
      <c r="S20" s="227">
        <v>0.35786982902148584</v>
      </c>
      <c r="T20" s="228">
        <v>0.40310583666151267</v>
      </c>
    </row>
    <row r="21" spans="1:20">
      <c r="A21" s="199" t="s">
        <v>280</v>
      </c>
      <c r="B21" s="199" t="s">
        <v>279</v>
      </c>
      <c r="C21" s="234" t="s">
        <v>155</v>
      </c>
      <c r="D21" s="199" t="s">
        <v>293</v>
      </c>
      <c r="E21" s="199" t="s">
        <v>154</v>
      </c>
      <c r="F21" s="198">
        <v>42644</v>
      </c>
      <c r="G21" s="198">
        <v>43008</v>
      </c>
      <c r="H21" s="229">
        <v>65663546</v>
      </c>
      <c r="I21" s="229">
        <v>74737585</v>
      </c>
      <c r="J21" s="229">
        <v>21644345</v>
      </c>
      <c r="K21" s="229"/>
      <c r="L21" s="229"/>
      <c r="M21" s="229"/>
      <c r="N21" s="229"/>
      <c r="O21" s="229"/>
      <c r="P21" s="229">
        <v>123996108</v>
      </c>
      <c r="Q21" s="197">
        <f t="shared" si="0"/>
        <v>220378038</v>
      </c>
      <c r="R21" s="196">
        <f t="shared" si="1"/>
        <v>0.29795866500998613</v>
      </c>
      <c r="S21" s="227">
        <v>0.31314461374288621</v>
      </c>
      <c r="T21" s="228">
        <v>0.28212987467761874</v>
      </c>
    </row>
    <row r="22" spans="1:20">
      <c r="A22" s="199" t="s">
        <v>280</v>
      </c>
      <c r="B22" s="199" t="s">
        <v>279</v>
      </c>
      <c r="C22" s="234" t="s">
        <v>157</v>
      </c>
      <c r="D22" s="199" t="s">
        <v>292</v>
      </c>
      <c r="E22" s="199" t="s">
        <v>156</v>
      </c>
      <c r="F22" s="198">
        <v>42644</v>
      </c>
      <c r="G22" s="198">
        <v>43008</v>
      </c>
      <c r="H22" s="229">
        <v>16077868</v>
      </c>
      <c r="I22" s="229">
        <v>6511939</v>
      </c>
      <c r="J22" s="229"/>
      <c r="K22" s="229"/>
      <c r="L22" s="229"/>
      <c r="M22" s="229"/>
      <c r="N22" s="229"/>
      <c r="O22" s="229"/>
      <c r="P22" s="229">
        <v>18822533</v>
      </c>
      <c r="Q22" s="197">
        <f t="shared" si="0"/>
        <v>25334472</v>
      </c>
      <c r="R22" s="196">
        <f t="shared" si="1"/>
        <v>0.63462415952461926</v>
      </c>
      <c r="S22" s="227">
        <v>0.77945008788185577</v>
      </c>
      <c r="T22" s="228">
        <v>0.70502390263039083</v>
      </c>
    </row>
    <row r="23" spans="1:20">
      <c r="A23" s="199" t="s">
        <v>280</v>
      </c>
      <c r="B23" s="199" t="s">
        <v>279</v>
      </c>
      <c r="C23" s="234" t="s">
        <v>159</v>
      </c>
      <c r="D23" s="199" t="s">
        <v>291</v>
      </c>
      <c r="E23" s="199" t="s">
        <v>158</v>
      </c>
      <c r="F23" s="198">
        <v>42644</v>
      </c>
      <c r="G23" s="198">
        <v>43008</v>
      </c>
      <c r="H23" s="229">
        <v>371361636</v>
      </c>
      <c r="I23" s="229">
        <v>391371528</v>
      </c>
      <c r="J23" s="229">
        <v>106577330</v>
      </c>
      <c r="K23" s="229">
        <v>19010132</v>
      </c>
      <c r="L23" s="229">
        <v>38960783</v>
      </c>
      <c r="M23" s="229">
        <v>0</v>
      </c>
      <c r="N23" s="229">
        <v>12361902</v>
      </c>
      <c r="O23" s="229">
        <v>23085421</v>
      </c>
      <c r="P23" s="229">
        <v>745701893</v>
      </c>
      <c r="Q23" s="197">
        <f t="shared" si="0"/>
        <v>1337068989</v>
      </c>
      <c r="R23" s="196">
        <f t="shared" si="1"/>
        <v>0.27774306266555704</v>
      </c>
      <c r="S23" s="227">
        <v>0.27164497750830296</v>
      </c>
      <c r="T23" s="228">
        <v>0.2703409710195141</v>
      </c>
    </row>
    <row r="24" spans="1:20">
      <c r="A24" s="199" t="s">
        <v>280</v>
      </c>
      <c r="B24" s="199" t="s">
        <v>279</v>
      </c>
      <c r="C24" s="234" t="s">
        <v>161</v>
      </c>
      <c r="D24" s="199" t="s">
        <v>290</v>
      </c>
      <c r="E24" s="199" t="s">
        <v>160</v>
      </c>
      <c r="F24" s="198">
        <v>42644</v>
      </c>
      <c r="G24" s="198">
        <v>43008</v>
      </c>
      <c r="H24" s="229">
        <v>45169035</v>
      </c>
      <c r="I24" s="229">
        <v>27689219</v>
      </c>
      <c r="J24" s="229">
        <v>3603838</v>
      </c>
      <c r="K24" s="229"/>
      <c r="L24" s="229"/>
      <c r="M24" s="229"/>
      <c r="N24" s="229"/>
      <c r="O24" s="229"/>
      <c r="P24" s="229">
        <v>69860675</v>
      </c>
      <c r="Q24" s="197">
        <f t="shared" si="0"/>
        <v>101153732</v>
      </c>
      <c r="R24" s="196">
        <f t="shared" si="1"/>
        <v>0.44653849251948508</v>
      </c>
      <c r="S24" s="227">
        <v>0.50268235808576489</v>
      </c>
      <c r="T24" s="228">
        <v>0.48439528714474073</v>
      </c>
    </row>
    <row r="25" spans="1:20">
      <c r="A25" s="199" t="s">
        <v>280</v>
      </c>
      <c r="B25" s="199" t="s">
        <v>279</v>
      </c>
      <c r="C25" s="234" t="s">
        <v>163</v>
      </c>
      <c r="D25" s="199" t="s">
        <v>289</v>
      </c>
      <c r="E25" s="199" t="s">
        <v>162</v>
      </c>
      <c r="F25" s="198">
        <v>42644</v>
      </c>
      <c r="G25" s="198">
        <v>43008</v>
      </c>
      <c r="H25" s="229">
        <v>200128182</v>
      </c>
      <c r="I25" s="229">
        <v>188854548</v>
      </c>
      <c r="J25" s="229">
        <v>43413179</v>
      </c>
      <c r="K25" s="229"/>
      <c r="L25" s="229"/>
      <c r="M25" s="229"/>
      <c r="N25" s="229"/>
      <c r="O25" s="229"/>
      <c r="P25" s="229">
        <v>426345848</v>
      </c>
      <c r="Q25" s="197">
        <f t="shared" si="0"/>
        <v>658613575</v>
      </c>
      <c r="R25" s="196">
        <f t="shared" si="1"/>
        <v>0.30386282578521101</v>
      </c>
      <c r="S25" s="227">
        <v>0.30757324256854407</v>
      </c>
      <c r="T25" s="228">
        <v>0.29697621892559989</v>
      </c>
    </row>
    <row r="26" spans="1:20">
      <c r="A26" s="199" t="s">
        <v>280</v>
      </c>
      <c r="B26" s="199" t="s">
        <v>279</v>
      </c>
      <c r="C26" s="234" t="s">
        <v>165</v>
      </c>
      <c r="D26" s="199" t="s">
        <v>288</v>
      </c>
      <c r="E26" s="199" t="s">
        <v>164</v>
      </c>
      <c r="F26" s="198">
        <v>42736</v>
      </c>
      <c r="G26" s="198">
        <v>43100</v>
      </c>
      <c r="H26" s="229">
        <v>26773004</v>
      </c>
      <c r="I26" s="229">
        <v>25415152</v>
      </c>
      <c r="J26" s="229">
        <v>10331092</v>
      </c>
      <c r="K26" s="229"/>
      <c r="L26" s="229"/>
      <c r="M26" s="229"/>
      <c r="N26" s="229"/>
      <c r="O26" s="229"/>
      <c r="P26" s="229">
        <v>54960243</v>
      </c>
      <c r="Q26" s="197">
        <f t="shared" si="0"/>
        <v>90706487</v>
      </c>
      <c r="R26" s="196">
        <f t="shared" si="1"/>
        <v>0.29516085216705612</v>
      </c>
      <c r="S26" s="227">
        <v>0.28655387971355711</v>
      </c>
      <c r="T26" s="228">
        <v>0.33266481667152459</v>
      </c>
    </row>
    <row r="27" spans="1:20">
      <c r="A27" s="199" t="s">
        <v>280</v>
      </c>
      <c r="B27" s="199" t="s">
        <v>279</v>
      </c>
      <c r="C27" s="234" t="s">
        <v>370</v>
      </c>
      <c r="D27" s="199" t="s">
        <v>287</v>
      </c>
      <c r="E27" s="199" t="s">
        <v>166</v>
      </c>
      <c r="F27" s="198">
        <v>42644</v>
      </c>
      <c r="G27" s="198">
        <v>43008</v>
      </c>
      <c r="H27" s="229">
        <v>74366088</v>
      </c>
      <c r="I27" s="229">
        <v>93925318</v>
      </c>
      <c r="J27" s="229">
        <v>24653681</v>
      </c>
      <c r="K27" s="229"/>
      <c r="L27" s="229"/>
      <c r="M27" s="229"/>
      <c r="N27" s="229"/>
      <c r="O27" s="229"/>
      <c r="P27" s="229">
        <v>136140618</v>
      </c>
      <c r="Q27" s="197">
        <f t="shared" si="0"/>
        <v>254719617</v>
      </c>
      <c r="R27" s="196">
        <f t="shared" si="1"/>
        <v>0.29195273169714292</v>
      </c>
      <c r="S27" s="227">
        <v>0.2742790427968036</v>
      </c>
      <c r="T27" s="228">
        <v>0.27088437551913774</v>
      </c>
    </row>
    <row r="28" spans="1:20">
      <c r="A28" s="199" t="s">
        <v>280</v>
      </c>
      <c r="B28" s="199" t="s">
        <v>279</v>
      </c>
      <c r="C28" s="234" t="s">
        <v>169</v>
      </c>
      <c r="D28" s="199" t="s">
        <v>286</v>
      </c>
      <c r="E28" s="199" t="s">
        <v>168</v>
      </c>
      <c r="F28" s="198">
        <v>42644</v>
      </c>
      <c r="G28" s="198">
        <v>43008</v>
      </c>
      <c r="H28" s="229">
        <v>20106555</v>
      </c>
      <c r="I28" s="229">
        <v>14725950</v>
      </c>
      <c r="J28" s="229">
        <v>3385338</v>
      </c>
      <c r="K28" s="229"/>
      <c r="L28" s="229"/>
      <c r="M28" s="229"/>
      <c r="N28" s="229"/>
      <c r="O28" s="229"/>
      <c r="P28" s="229">
        <v>39696355</v>
      </c>
      <c r="Q28" s="197">
        <f t="shared" si="0"/>
        <v>57807643</v>
      </c>
      <c r="R28" s="196">
        <f t="shared" si="1"/>
        <v>0.34781828070727605</v>
      </c>
      <c r="S28" s="227">
        <v>0.33087803809664051</v>
      </c>
      <c r="T28" s="228">
        <v>0.32035495053481367</v>
      </c>
    </row>
    <row r="29" spans="1:20">
      <c r="A29" s="199" t="s">
        <v>280</v>
      </c>
      <c r="B29" s="199" t="s">
        <v>279</v>
      </c>
      <c r="C29" s="234" t="s">
        <v>171</v>
      </c>
      <c r="D29" s="199" t="s">
        <v>285</v>
      </c>
      <c r="E29" s="199" t="s">
        <v>170</v>
      </c>
      <c r="F29" s="198">
        <v>42644</v>
      </c>
      <c r="G29" s="198">
        <v>43008</v>
      </c>
      <c r="H29" s="229">
        <v>25895870</v>
      </c>
      <c r="I29" s="229">
        <v>23552234</v>
      </c>
      <c r="J29" s="229">
        <v>4995308</v>
      </c>
      <c r="K29" s="229"/>
      <c r="L29" s="229"/>
      <c r="M29" s="229"/>
      <c r="N29" s="229"/>
      <c r="O29" s="229"/>
      <c r="P29" s="229">
        <v>61260823</v>
      </c>
      <c r="Q29" s="197">
        <f t="shared" si="0"/>
        <v>89808365</v>
      </c>
      <c r="R29" s="196">
        <f t="shared" si="1"/>
        <v>0.28834585731518442</v>
      </c>
      <c r="S29" s="227">
        <v>0.27985919165610817</v>
      </c>
      <c r="T29" s="228">
        <v>0.27341994360010613</v>
      </c>
    </row>
    <row r="30" spans="1:20">
      <c r="A30" s="199" t="s">
        <v>280</v>
      </c>
      <c r="B30" s="199" t="s">
        <v>279</v>
      </c>
      <c r="C30" s="234" t="s">
        <v>173</v>
      </c>
      <c r="D30" s="199" t="s">
        <v>284</v>
      </c>
      <c r="E30" s="199" t="s">
        <v>172</v>
      </c>
      <c r="F30" s="198">
        <v>42644</v>
      </c>
      <c r="G30" s="198">
        <v>43008</v>
      </c>
      <c r="H30" s="229">
        <v>111210619</v>
      </c>
      <c r="I30" s="229">
        <v>94871172</v>
      </c>
      <c r="J30" s="229">
        <v>21354237</v>
      </c>
      <c r="K30" s="229"/>
      <c r="L30" s="229"/>
      <c r="M30" s="229"/>
      <c r="N30" s="229"/>
      <c r="O30" s="229"/>
      <c r="P30" s="229">
        <v>204461354</v>
      </c>
      <c r="Q30" s="197">
        <f t="shared" si="0"/>
        <v>320686763</v>
      </c>
      <c r="R30" s="196">
        <f t="shared" si="1"/>
        <v>0.34678892873417416</v>
      </c>
      <c r="S30" s="227">
        <v>0.3717497404501478</v>
      </c>
      <c r="T30" s="228">
        <v>0.41507594390734631</v>
      </c>
    </row>
    <row r="31" spans="1:20">
      <c r="A31" s="199" t="s">
        <v>280</v>
      </c>
      <c r="B31" s="199" t="s">
        <v>279</v>
      </c>
      <c r="C31" s="234" t="s">
        <v>175</v>
      </c>
      <c r="D31" s="199" t="s">
        <v>283</v>
      </c>
      <c r="E31" s="199" t="s">
        <v>174</v>
      </c>
      <c r="F31" s="198">
        <v>42644</v>
      </c>
      <c r="G31" s="198">
        <v>43008</v>
      </c>
      <c r="H31" s="229">
        <v>61160377</v>
      </c>
      <c r="I31" s="229">
        <v>47999715</v>
      </c>
      <c r="J31" s="229">
        <v>44802128</v>
      </c>
      <c r="K31" s="229"/>
      <c r="L31" s="229"/>
      <c r="M31" s="229"/>
      <c r="N31" s="229"/>
      <c r="O31" s="229"/>
      <c r="P31" s="229">
        <v>106519927</v>
      </c>
      <c r="Q31" s="197">
        <f t="shared" si="0"/>
        <v>199321770</v>
      </c>
      <c r="R31" s="196">
        <f t="shared" si="1"/>
        <v>0.30684243371910652</v>
      </c>
      <c r="S31" s="227">
        <v>0.32707543465643846</v>
      </c>
      <c r="T31" s="228">
        <v>0.32831207572337995</v>
      </c>
    </row>
    <row r="32" spans="1:20">
      <c r="A32" s="199" t="s">
        <v>280</v>
      </c>
      <c r="B32" s="199" t="s">
        <v>279</v>
      </c>
      <c r="C32" s="235" t="s">
        <v>362</v>
      </c>
      <c r="D32" s="199" t="s">
        <v>282</v>
      </c>
      <c r="E32" s="199" t="s">
        <v>176</v>
      </c>
      <c r="F32" s="198">
        <v>42644</v>
      </c>
      <c r="G32" s="198">
        <v>43008</v>
      </c>
      <c r="H32" s="229">
        <v>50390218</v>
      </c>
      <c r="I32" s="229">
        <v>46250175</v>
      </c>
      <c r="J32" s="229">
        <v>13507751</v>
      </c>
      <c r="K32" s="229"/>
      <c r="L32" s="229"/>
      <c r="M32" s="229"/>
      <c r="N32" s="229"/>
      <c r="O32" s="229"/>
      <c r="P32" s="229">
        <v>63825024</v>
      </c>
      <c r="Q32" s="197">
        <f t="shared" si="0"/>
        <v>123582950</v>
      </c>
      <c r="R32" s="196">
        <f t="shared" si="1"/>
        <v>0.40774409414890972</v>
      </c>
      <c r="S32" s="227">
        <v>0.42175109995930238</v>
      </c>
      <c r="T32" s="228">
        <v>0.40386632298502284</v>
      </c>
    </row>
    <row r="33" spans="1:20">
      <c r="A33" s="199" t="s">
        <v>280</v>
      </c>
      <c r="B33" s="199" t="s">
        <v>279</v>
      </c>
      <c r="C33" s="235" t="s">
        <v>363</v>
      </c>
      <c r="D33" s="199" t="s">
        <v>281</v>
      </c>
      <c r="E33" s="199" t="s">
        <v>182</v>
      </c>
      <c r="F33" s="198">
        <v>42552</v>
      </c>
      <c r="G33" s="198">
        <v>42916</v>
      </c>
      <c r="H33" s="229">
        <v>59333955</v>
      </c>
      <c r="I33" s="229">
        <v>40303366</v>
      </c>
      <c r="J33" s="229">
        <v>9702146</v>
      </c>
      <c r="K33" s="229"/>
      <c r="L33" s="229"/>
      <c r="M33" s="229"/>
      <c r="N33" s="229"/>
      <c r="O33" s="229"/>
      <c r="P33" s="229">
        <v>76825055</v>
      </c>
      <c r="Q33" s="197">
        <f t="shared" si="0"/>
        <v>126830567</v>
      </c>
      <c r="R33" s="196">
        <f t="shared" si="1"/>
        <v>0.46782062402985236</v>
      </c>
      <c r="S33" s="227">
        <v>0.41839455806506265</v>
      </c>
      <c r="T33" s="228">
        <v>0.43761440401997187</v>
      </c>
    </row>
    <row r="34" spans="1:20">
      <c r="A34" s="199" t="s">
        <v>280</v>
      </c>
      <c r="B34" s="199" t="s">
        <v>279</v>
      </c>
      <c r="C34" s="234" t="s">
        <v>181</v>
      </c>
      <c r="D34" s="199" t="s">
        <v>278</v>
      </c>
      <c r="E34" s="199" t="s">
        <v>179</v>
      </c>
      <c r="F34" s="198">
        <v>42644</v>
      </c>
      <c r="G34" s="198">
        <v>43008</v>
      </c>
      <c r="H34" s="229">
        <v>278317</v>
      </c>
      <c r="I34" s="229">
        <v>194804</v>
      </c>
      <c r="J34" s="229"/>
      <c r="K34" s="229"/>
      <c r="L34" s="229"/>
      <c r="M34" s="229">
        <v>164098</v>
      </c>
      <c r="N34" s="229"/>
      <c r="O34" s="229"/>
      <c r="P34" s="229">
        <v>432102</v>
      </c>
      <c r="Q34" s="197">
        <f t="shared" si="0"/>
        <v>791004</v>
      </c>
      <c r="R34" s="196">
        <f t="shared" si="1"/>
        <v>0.35185283513104865</v>
      </c>
      <c r="S34" s="230">
        <v>0.34208448497875377</v>
      </c>
      <c r="T34" s="231">
        <v>0.33962932872689222</v>
      </c>
    </row>
    <row r="35" spans="1:20">
      <c r="H35" s="79">
        <f>SUM(H7:H34)</f>
        <v>1749950291</v>
      </c>
      <c r="Q35" s="79">
        <f>SUM(Q7:Q34)</f>
        <v>5532973616</v>
      </c>
      <c r="R35" s="195">
        <f t="shared" si="1"/>
        <v>0.3162766375642157</v>
      </c>
      <c r="S35" s="195">
        <v>0.32320543841569943</v>
      </c>
      <c r="T35" s="228">
        <v>0.31793457418373128</v>
      </c>
    </row>
    <row r="36" spans="1:20">
      <c r="R36" s="8" t="s">
        <v>277</v>
      </c>
      <c r="S36" s="8"/>
    </row>
    <row r="38" spans="1:20">
      <c r="A38" s="6" t="s">
        <v>276</v>
      </c>
    </row>
    <row r="39" spans="1:20">
      <c r="A39" s="6" t="s">
        <v>275</v>
      </c>
    </row>
    <row r="40" spans="1:20">
      <c r="A40" s="6" t="s">
        <v>274</v>
      </c>
    </row>
    <row r="41" spans="1:20">
      <c r="A41" s="6" t="s">
        <v>273</v>
      </c>
    </row>
    <row r="42" spans="1:20">
      <c r="A42" s="6" t="s">
        <v>272</v>
      </c>
    </row>
    <row r="43" spans="1:20">
      <c r="A43" s="6" t="s">
        <v>271</v>
      </c>
    </row>
    <row r="44" spans="1:20">
      <c r="A44" s="6" t="s">
        <v>270</v>
      </c>
    </row>
    <row r="45" spans="1:20">
      <c r="A45" s="6" t="s">
        <v>269</v>
      </c>
    </row>
    <row r="46" spans="1:20">
      <c r="A46" s="6" t="s">
        <v>268</v>
      </c>
    </row>
    <row r="47" spans="1:20">
      <c r="A47" s="6" t="s">
        <v>267</v>
      </c>
    </row>
  </sheetData>
  <pageMargins left="0.2" right="0.2" top="0.25" bottom="0.5" header="0.3" footer="0.3"/>
  <pageSetup scale="65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G28" sqref="G28"/>
    </sheetView>
  </sheetViews>
  <sheetFormatPr defaultRowHeight="15"/>
  <cols>
    <col min="1" max="1" width="6" bestFit="1" customWidth="1"/>
    <col min="2" max="2" width="37.7109375" bestFit="1" customWidth="1"/>
  </cols>
  <sheetData>
    <row r="1" spans="1:3" ht="38.25">
      <c r="A1" s="221" t="s">
        <v>355</v>
      </c>
      <c r="B1" s="221" t="s">
        <v>242</v>
      </c>
      <c r="C1" s="221" t="s">
        <v>243</v>
      </c>
    </row>
    <row r="2" spans="1:3">
      <c r="A2">
        <v>14860</v>
      </c>
      <c r="B2" t="s">
        <v>352</v>
      </c>
      <c r="C2" s="233">
        <v>1.266</v>
      </c>
    </row>
    <row r="3" spans="1:3">
      <c r="A3">
        <v>25540</v>
      </c>
      <c r="B3" t="s">
        <v>346</v>
      </c>
      <c r="C3" s="232">
        <v>1.2575000000000001</v>
      </c>
    </row>
    <row r="4" spans="1:3">
      <c r="A4">
        <v>35300</v>
      </c>
      <c r="B4" t="s">
        <v>345</v>
      </c>
      <c r="C4" s="232">
        <v>1.2575000000000001</v>
      </c>
    </row>
    <row r="5" spans="1:3">
      <c r="A5">
        <v>35980</v>
      </c>
      <c r="B5" t="s">
        <v>354</v>
      </c>
      <c r="C5" s="232">
        <v>1.2575000000000001</v>
      </c>
    </row>
    <row r="6" spans="1:3">
      <c r="A6">
        <v>49340</v>
      </c>
      <c r="B6" t="s">
        <v>348</v>
      </c>
      <c r="C6" s="232">
        <v>1.2575000000000001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IP Rates</vt:lpstr>
      <vt:lpstr>WI_IME Rate Modifier</vt:lpstr>
      <vt:lpstr>CT Wage Index</vt:lpstr>
      <vt:lpstr>IME 2019</vt:lpstr>
      <vt:lpstr>IP CCR 2019</vt:lpstr>
      <vt:lpstr>Sheet2</vt:lpstr>
      <vt:lpstr>'IP Rates'!Print_Titles</vt:lpstr>
      <vt:lpstr>'WI_IME Rate Modifier'!Print_Titles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Cecil, Roberta C.</cp:lastModifiedBy>
  <cp:lastPrinted>2017-12-21T16:50:41Z</cp:lastPrinted>
  <dcterms:created xsi:type="dcterms:W3CDTF">2017-09-26T12:18:41Z</dcterms:created>
  <dcterms:modified xsi:type="dcterms:W3CDTF">2018-12-28T14:25:46Z</dcterms:modified>
</cp:coreProperties>
</file>