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520" windowHeight="10452"/>
  </bookViews>
  <sheets>
    <sheet name="Summary" sheetId="34" r:id="rId1"/>
    <sheet name="Tiers Calc" sheetId="27" r:id="rId2"/>
    <sheet name="Data+Rates" sheetId="21" r:id="rId3"/>
  </sheets>
  <definedNames>
    <definedName name="_xlnm.Print_Area" localSheetId="2">'Data+Rates'!$A$1:$S$45</definedName>
    <definedName name="_xlnm.Print_Area" localSheetId="0">Summary!$A$1:$E$45</definedName>
    <definedName name="_xlnm.Print_Area" localSheetId="1">'Tiers Calc'!$A$1:$AC$47</definedName>
    <definedName name="_xlnm.Print_Titles" localSheetId="2">'Data+Rates'!$A:$A</definedName>
  </definedNames>
  <calcPr calcId="145621"/>
</workbook>
</file>

<file path=xl/calcChain.xml><?xml version="1.0" encoding="utf-8"?>
<calcChain xmlns="http://schemas.openxmlformats.org/spreadsheetml/2006/main">
  <c r="C16" i="21" l="1"/>
  <c r="B16" i="21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7" i="34"/>
  <c r="R11" i="21"/>
  <c r="P24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5" i="21"/>
  <c r="P26" i="21"/>
  <c r="P27" i="21"/>
  <c r="P28" i="21"/>
  <c r="P29" i="21"/>
  <c r="P30" i="21"/>
  <c r="P31" i="21"/>
  <c r="P32" i="21"/>
  <c r="P33" i="21"/>
  <c r="P11" i="21"/>
  <c r="D31" i="27"/>
  <c r="D27" i="27"/>
  <c r="D25" i="27"/>
  <c r="D29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6" i="27"/>
  <c r="D28" i="27"/>
  <c r="D30" i="27"/>
  <c r="D32" i="27"/>
  <c r="D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11" i="27"/>
  <c r="B45" i="21"/>
  <c r="C45" i="21"/>
  <c r="E45" i="21"/>
  <c r="H45" i="21"/>
  <c r="I45" i="21"/>
  <c r="V24" i="27" l="1"/>
  <c r="I11" i="27" l="1"/>
  <c r="I12" i="27" l="1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3" i="21"/>
  <c r="H33" i="21"/>
  <c r="D33" i="27" l="1"/>
  <c r="J24" i="21"/>
  <c r="C33" i="21"/>
  <c r="B33" i="21"/>
  <c r="V33" i="27" l="1"/>
  <c r="V32" i="27"/>
  <c r="V31" i="27"/>
  <c r="V30" i="27"/>
  <c r="V29" i="27"/>
  <c r="V28" i="27"/>
  <c r="V27" i="27"/>
  <c r="V26" i="27"/>
  <c r="V25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U6" i="21" l="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29" i="21"/>
  <c r="U30" i="21"/>
  <c r="U31" i="21"/>
  <c r="U32" i="21"/>
  <c r="U33" i="21"/>
  <c r="U11" i="21"/>
  <c r="P44" i="21" l="1"/>
  <c r="J44" i="21"/>
  <c r="G44" i="21"/>
  <c r="F44" i="21"/>
  <c r="P43" i="21"/>
  <c r="J43" i="21"/>
  <c r="G43" i="21"/>
  <c r="F43" i="21"/>
  <c r="G42" i="21"/>
  <c r="F42" i="21"/>
  <c r="G41" i="21"/>
  <c r="F41" i="21"/>
  <c r="P40" i="21"/>
  <c r="J40" i="21"/>
  <c r="G40" i="21"/>
  <c r="F40" i="21"/>
  <c r="G39" i="21"/>
  <c r="F39" i="21"/>
  <c r="F45" i="21" s="1"/>
  <c r="D39" i="21"/>
  <c r="I34" i="21"/>
  <c r="I47" i="21" s="1"/>
  <c r="E33" i="21"/>
  <c r="E34" i="21" s="1"/>
  <c r="L34" i="21" s="1"/>
  <c r="G33" i="21"/>
  <c r="J32" i="21"/>
  <c r="G32" i="21"/>
  <c r="F32" i="21"/>
  <c r="D32" i="21"/>
  <c r="J31" i="21"/>
  <c r="G31" i="21"/>
  <c r="F31" i="21"/>
  <c r="D31" i="21"/>
  <c r="J30" i="21"/>
  <c r="G30" i="21"/>
  <c r="F30" i="21"/>
  <c r="R30" i="21" s="1"/>
  <c r="D30" i="21"/>
  <c r="J29" i="21"/>
  <c r="G29" i="21"/>
  <c r="F29" i="21"/>
  <c r="R29" i="21" s="1"/>
  <c r="D29" i="21"/>
  <c r="J28" i="21"/>
  <c r="G28" i="21"/>
  <c r="F28" i="21"/>
  <c r="R28" i="21" s="1"/>
  <c r="D28" i="21"/>
  <c r="J27" i="21"/>
  <c r="G27" i="21"/>
  <c r="F27" i="21"/>
  <c r="R27" i="21" s="1"/>
  <c r="D27" i="21"/>
  <c r="J26" i="21"/>
  <c r="G26" i="21"/>
  <c r="F26" i="21"/>
  <c r="R26" i="21" s="1"/>
  <c r="D26" i="21"/>
  <c r="J25" i="21"/>
  <c r="G25" i="21"/>
  <c r="F25" i="21"/>
  <c r="R25" i="21" s="1"/>
  <c r="D25" i="21"/>
  <c r="G24" i="21"/>
  <c r="F24" i="21"/>
  <c r="Q24" i="21" s="1"/>
  <c r="B24" i="27" s="1"/>
  <c r="W24" i="27" s="1"/>
  <c r="S23" i="21"/>
  <c r="J23" i="21"/>
  <c r="G23" i="21"/>
  <c r="F23" i="21"/>
  <c r="R23" i="21" s="1"/>
  <c r="D23" i="21"/>
  <c r="S22" i="21"/>
  <c r="J22" i="21"/>
  <c r="G22" i="21"/>
  <c r="F22" i="21"/>
  <c r="R22" i="21" s="1"/>
  <c r="D22" i="21"/>
  <c r="S21" i="21"/>
  <c r="J21" i="21"/>
  <c r="G21" i="21"/>
  <c r="F21" i="21"/>
  <c r="R21" i="21" s="1"/>
  <c r="D21" i="21"/>
  <c r="S20" i="21"/>
  <c r="J20" i="21"/>
  <c r="G20" i="21"/>
  <c r="F20" i="21"/>
  <c r="R20" i="21" s="1"/>
  <c r="D20" i="21"/>
  <c r="S19" i="21"/>
  <c r="J19" i="21"/>
  <c r="G19" i="21"/>
  <c r="F19" i="21"/>
  <c r="R19" i="21" s="1"/>
  <c r="D19" i="21"/>
  <c r="S18" i="21"/>
  <c r="J18" i="21"/>
  <c r="G18" i="21"/>
  <c r="F18" i="21"/>
  <c r="R18" i="21" s="1"/>
  <c r="D18" i="21"/>
  <c r="S17" i="21"/>
  <c r="J17" i="21"/>
  <c r="G17" i="21"/>
  <c r="F17" i="21"/>
  <c r="R17" i="21" s="1"/>
  <c r="J16" i="21"/>
  <c r="G16" i="21"/>
  <c r="F16" i="21"/>
  <c r="Q16" i="21" s="1"/>
  <c r="B16" i="27" s="1"/>
  <c r="D16" i="21"/>
  <c r="J15" i="21"/>
  <c r="G15" i="21"/>
  <c r="F15" i="21"/>
  <c r="Q15" i="21" s="1"/>
  <c r="B15" i="27" s="1"/>
  <c r="D15" i="21"/>
  <c r="J14" i="21"/>
  <c r="G14" i="21"/>
  <c r="F14" i="21"/>
  <c r="Q14" i="21" s="1"/>
  <c r="B14" i="27" s="1"/>
  <c r="D14" i="21"/>
  <c r="J13" i="21"/>
  <c r="G13" i="21"/>
  <c r="F13" i="21"/>
  <c r="Q13" i="21" s="1"/>
  <c r="B13" i="27" s="1"/>
  <c r="D13" i="21"/>
  <c r="J12" i="21"/>
  <c r="G12" i="21"/>
  <c r="F12" i="21"/>
  <c r="Q12" i="21" s="1"/>
  <c r="B12" i="27" s="1"/>
  <c r="D12" i="21"/>
  <c r="J11" i="21"/>
  <c r="G11" i="21"/>
  <c r="F11" i="21"/>
  <c r="D11" i="21"/>
  <c r="S32" i="21" l="1"/>
  <c r="S31" i="21"/>
  <c r="S30" i="21"/>
  <c r="S29" i="21"/>
  <c r="F29" i="27" s="1"/>
  <c r="S28" i="21"/>
  <c r="F28" i="27" s="1"/>
  <c r="S27" i="21"/>
  <c r="F27" i="27" s="1"/>
  <c r="S26" i="21"/>
  <c r="S25" i="21"/>
  <c r="F25" i="27" s="1"/>
  <c r="S24" i="21"/>
  <c r="F22" i="27"/>
  <c r="F19" i="27"/>
  <c r="F18" i="27"/>
  <c r="F17" i="27"/>
  <c r="S16" i="21"/>
  <c r="S15" i="21"/>
  <c r="S14" i="21"/>
  <c r="S13" i="21"/>
  <c r="S12" i="21"/>
  <c r="F23" i="27"/>
  <c r="F21" i="27"/>
  <c r="F20" i="27"/>
  <c r="R14" i="21"/>
  <c r="F33" i="21"/>
  <c r="Q33" i="21" s="1"/>
  <c r="B33" i="27" s="1"/>
  <c r="B34" i="21"/>
  <c r="R13" i="21"/>
  <c r="H34" i="21"/>
  <c r="R12" i="21"/>
  <c r="R16" i="21"/>
  <c r="R15" i="21"/>
  <c r="R24" i="21"/>
  <c r="Q17" i="21"/>
  <c r="B17" i="27" s="1"/>
  <c r="Q18" i="21"/>
  <c r="B18" i="27" s="1"/>
  <c r="Q19" i="21"/>
  <c r="B19" i="27" s="1"/>
  <c r="Q20" i="21"/>
  <c r="B20" i="27" s="1"/>
  <c r="Q21" i="21"/>
  <c r="B21" i="27" s="1"/>
  <c r="Q22" i="21"/>
  <c r="B22" i="27" s="1"/>
  <c r="Q23" i="21"/>
  <c r="B23" i="27" s="1"/>
  <c r="Q25" i="21"/>
  <c r="B25" i="27" s="1"/>
  <c r="Q26" i="21"/>
  <c r="B26" i="27" s="1"/>
  <c r="Q27" i="21"/>
  <c r="B27" i="27" s="1"/>
  <c r="Q28" i="21"/>
  <c r="B28" i="27" s="1"/>
  <c r="Q29" i="21"/>
  <c r="B29" i="27" s="1"/>
  <c r="Q30" i="21"/>
  <c r="B30" i="27" s="1"/>
  <c r="R31" i="21"/>
  <c r="Q31" i="21"/>
  <c r="B31" i="27" s="1"/>
  <c r="C34" i="21"/>
  <c r="C47" i="21" s="1"/>
  <c r="D33" i="21"/>
  <c r="S11" i="21"/>
  <c r="R32" i="21"/>
  <c r="Q32" i="21"/>
  <c r="B32" i="27" s="1"/>
  <c r="J33" i="21"/>
  <c r="Q11" i="21"/>
  <c r="B11" i="27" l="1"/>
  <c r="B34" i="27"/>
  <c r="H34" i="27" s="1"/>
  <c r="I34" i="27" s="1"/>
  <c r="H47" i="21"/>
  <c r="F26" i="27"/>
  <c r="U34" i="21"/>
  <c r="B47" i="21"/>
  <c r="F34" i="21"/>
  <c r="K34" i="21" s="1"/>
  <c r="C34" i="27" s="1"/>
  <c r="F31" i="27"/>
  <c r="F30" i="27"/>
  <c r="N24" i="27"/>
  <c r="K24" i="27"/>
  <c r="L24" i="27"/>
  <c r="M24" i="27"/>
  <c r="F24" i="27"/>
  <c r="X24" i="27" s="1"/>
  <c r="E19" i="27"/>
  <c r="E18" i="27"/>
  <c r="E17" i="27"/>
  <c r="W15" i="27"/>
  <c r="M15" i="27"/>
  <c r="L15" i="27"/>
  <c r="N15" i="27"/>
  <c r="K15" i="27"/>
  <c r="F15" i="27"/>
  <c r="E15" i="27" s="1"/>
  <c r="W13" i="27"/>
  <c r="L13" i="27"/>
  <c r="M13" i="27"/>
  <c r="K13" i="27"/>
  <c r="N13" i="27"/>
  <c r="F13" i="27"/>
  <c r="E13" i="27" s="1"/>
  <c r="F11" i="27"/>
  <c r="E11" i="27" s="1"/>
  <c r="F32" i="27"/>
  <c r="E29" i="27"/>
  <c r="E28" i="27"/>
  <c r="E27" i="27"/>
  <c r="E21" i="27"/>
  <c r="W16" i="27"/>
  <c r="K16" i="27"/>
  <c r="M16" i="27"/>
  <c r="L16" i="27"/>
  <c r="N16" i="27"/>
  <c r="F16" i="27"/>
  <c r="E16" i="27" s="1"/>
  <c r="W14" i="27"/>
  <c r="L14" i="27"/>
  <c r="M14" i="27"/>
  <c r="N14" i="27"/>
  <c r="K14" i="27"/>
  <c r="F14" i="27"/>
  <c r="E14" i="27" s="1"/>
  <c r="W12" i="27"/>
  <c r="K12" i="27"/>
  <c r="L12" i="27"/>
  <c r="M12" i="27"/>
  <c r="N12" i="27"/>
  <c r="F12" i="27"/>
  <c r="E12" i="27" s="1"/>
  <c r="G34" i="21"/>
  <c r="R33" i="21"/>
  <c r="S33" i="21"/>
  <c r="O34" i="21"/>
  <c r="J34" i="21"/>
  <c r="P34" i="21"/>
  <c r="R34" i="21"/>
  <c r="S36" i="21" s="1"/>
  <c r="Q34" i="21"/>
  <c r="D34" i="21"/>
  <c r="Q47" i="21" l="1"/>
  <c r="D34" i="27"/>
  <c r="E26" i="27"/>
  <c r="E30" i="27"/>
  <c r="E32" i="27"/>
  <c r="E31" i="27"/>
  <c r="W31" i="27"/>
  <c r="L31" i="27"/>
  <c r="Q31" i="27" s="1"/>
  <c r="K31" i="27"/>
  <c r="P31" i="27" s="1"/>
  <c r="M31" i="27"/>
  <c r="R31" i="27" s="1"/>
  <c r="N31" i="27"/>
  <c r="S31" i="27" s="1"/>
  <c r="W30" i="27"/>
  <c r="K30" i="27"/>
  <c r="P30" i="27" s="1"/>
  <c r="M30" i="27"/>
  <c r="R30" i="27" s="1"/>
  <c r="N30" i="27"/>
  <c r="S30" i="27" s="1"/>
  <c r="L30" i="27"/>
  <c r="Q30" i="27" s="1"/>
  <c r="R24" i="27"/>
  <c r="Q24" i="27"/>
  <c r="P24" i="27"/>
  <c r="S24" i="27"/>
  <c r="W22" i="27"/>
  <c r="K22" i="27"/>
  <c r="P22" i="27" s="1"/>
  <c r="M22" i="27"/>
  <c r="R22" i="27" s="1"/>
  <c r="L22" i="27"/>
  <c r="Q22" i="27" s="1"/>
  <c r="N22" i="27"/>
  <c r="S22" i="27" s="1"/>
  <c r="E22" i="27"/>
  <c r="W19" i="27"/>
  <c r="N19" i="27"/>
  <c r="S19" i="27" s="1"/>
  <c r="K19" i="27"/>
  <c r="P19" i="27" s="1"/>
  <c r="L19" i="27"/>
  <c r="Q19" i="27" s="1"/>
  <c r="M19" i="27"/>
  <c r="R19" i="27" s="1"/>
  <c r="W18" i="27"/>
  <c r="M18" i="27"/>
  <c r="R18" i="27" s="1"/>
  <c r="N18" i="27"/>
  <c r="S18" i="27" s="1"/>
  <c r="K18" i="27"/>
  <c r="P18" i="27" s="1"/>
  <c r="L18" i="27"/>
  <c r="Q18" i="27" s="1"/>
  <c r="W17" i="27"/>
  <c r="L17" i="27"/>
  <c r="Q17" i="27" s="1"/>
  <c r="N17" i="27"/>
  <c r="S17" i="27" s="1"/>
  <c r="M17" i="27"/>
  <c r="R17" i="27" s="1"/>
  <c r="K17" i="27"/>
  <c r="P17" i="27" s="1"/>
  <c r="S16" i="27"/>
  <c r="P16" i="27"/>
  <c r="Q15" i="27"/>
  <c r="R15" i="27"/>
  <c r="P15" i="27"/>
  <c r="X15" i="27"/>
  <c r="Z15" i="27"/>
  <c r="Y15" i="27"/>
  <c r="AA15" i="27" s="1"/>
  <c r="S15" i="27"/>
  <c r="R14" i="27"/>
  <c r="P14" i="27"/>
  <c r="Q14" i="27"/>
  <c r="P13" i="27"/>
  <c r="R13" i="27"/>
  <c r="S13" i="27"/>
  <c r="Q13" i="27"/>
  <c r="X13" i="27"/>
  <c r="Y13" i="27"/>
  <c r="Z13" i="27"/>
  <c r="W11" i="27"/>
  <c r="K11" i="27"/>
  <c r="L11" i="27"/>
  <c r="M11" i="27"/>
  <c r="N11" i="27"/>
  <c r="F33" i="27"/>
  <c r="E33" i="27" s="1"/>
  <c r="W33" i="27"/>
  <c r="K33" i="27"/>
  <c r="L33" i="27"/>
  <c r="M33" i="27"/>
  <c r="N33" i="27"/>
  <c r="W32" i="27"/>
  <c r="K32" i="27"/>
  <c r="P32" i="27" s="1"/>
  <c r="L32" i="27"/>
  <c r="Q32" i="27" s="1"/>
  <c r="N32" i="27"/>
  <c r="S32" i="27" s="1"/>
  <c r="M32" i="27"/>
  <c r="R32" i="27" s="1"/>
  <c r="W29" i="27"/>
  <c r="M29" i="27"/>
  <c r="R29" i="27" s="1"/>
  <c r="K29" i="27"/>
  <c r="P29" i="27" s="1"/>
  <c r="L29" i="27"/>
  <c r="Q29" i="27" s="1"/>
  <c r="N29" i="27"/>
  <c r="S29" i="27" s="1"/>
  <c r="W28" i="27"/>
  <c r="K28" i="27"/>
  <c r="P28" i="27" s="1"/>
  <c r="N28" i="27"/>
  <c r="S28" i="27" s="1"/>
  <c r="L28" i="27"/>
  <c r="Q28" i="27" s="1"/>
  <c r="M28" i="27"/>
  <c r="R28" i="27" s="1"/>
  <c r="W27" i="27"/>
  <c r="M27" i="27"/>
  <c r="R27" i="27" s="1"/>
  <c r="K27" i="27"/>
  <c r="P27" i="27" s="1"/>
  <c r="N27" i="27"/>
  <c r="S27" i="27" s="1"/>
  <c r="L27" i="27"/>
  <c r="Q27" i="27" s="1"/>
  <c r="W26" i="27"/>
  <c r="M26" i="27"/>
  <c r="R26" i="27" s="1"/>
  <c r="N26" i="27"/>
  <c r="S26" i="27" s="1"/>
  <c r="L26" i="27"/>
  <c r="Q26" i="27" s="1"/>
  <c r="K26" i="27"/>
  <c r="P26" i="27" s="1"/>
  <c r="W25" i="27"/>
  <c r="M25" i="27"/>
  <c r="R25" i="27" s="1"/>
  <c r="L25" i="27"/>
  <c r="Q25" i="27" s="1"/>
  <c r="N25" i="27"/>
  <c r="S25" i="27" s="1"/>
  <c r="K25" i="27"/>
  <c r="P25" i="27" s="1"/>
  <c r="E25" i="27"/>
  <c r="W23" i="27"/>
  <c r="N23" i="27"/>
  <c r="S23" i="27" s="1"/>
  <c r="L23" i="27"/>
  <c r="Q23" i="27" s="1"/>
  <c r="K23" i="27"/>
  <c r="P23" i="27" s="1"/>
  <c r="M23" i="27"/>
  <c r="R23" i="27" s="1"/>
  <c r="E23" i="27"/>
  <c r="W21" i="27"/>
  <c r="N21" i="27"/>
  <c r="S21" i="27" s="1"/>
  <c r="L21" i="27"/>
  <c r="Q21" i="27" s="1"/>
  <c r="K21" i="27"/>
  <c r="P21" i="27" s="1"/>
  <c r="M21" i="27"/>
  <c r="R21" i="27" s="1"/>
  <c r="W20" i="27"/>
  <c r="K20" i="27"/>
  <c r="P20" i="27" s="1"/>
  <c r="L20" i="27"/>
  <c r="Q20" i="27" s="1"/>
  <c r="M20" i="27"/>
  <c r="R20" i="27" s="1"/>
  <c r="N20" i="27"/>
  <c r="S20" i="27" s="1"/>
  <c r="E20" i="27"/>
  <c r="R16" i="27"/>
  <c r="Q16" i="27"/>
  <c r="X16" i="27"/>
  <c r="Y16" i="27"/>
  <c r="Z16" i="27"/>
  <c r="S14" i="27"/>
  <c r="X14" i="27"/>
  <c r="Z14" i="27"/>
  <c r="Y14" i="27"/>
  <c r="R12" i="27"/>
  <c r="Q12" i="27"/>
  <c r="S12" i="27"/>
  <c r="P12" i="27"/>
  <c r="X12" i="27"/>
  <c r="Y12" i="27"/>
  <c r="AA12" i="27" s="1"/>
  <c r="Z12" i="27"/>
  <c r="S34" i="21"/>
  <c r="F34" i="27" s="1"/>
  <c r="R33" i="27" l="1"/>
  <c r="S11" i="27"/>
  <c r="N34" i="27"/>
  <c r="W34" i="27"/>
  <c r="R11" i="27"/>
  <c r="M34" i="27"/>
  <c r="P11" i="27"/>
  <c r="K34" i="27"/>
  <c r="P34" i="27" s="1"/>
  <c r="Q11" i="27"/>
  <c r="L34" i="27"/>
  <c r="X31" i="27"/>
  <c r="Y31" i="27"/>
  <c r="AA31" i="27" s="1"/>
  <c r="Z31" i="27"/>
  <c r="X30" i="27"/>
  <c r="Z30" i="27"/>
  <c r="Y30" i="27"/>
  <c r="AA30" i="27" s="1"/>
  <c r="X22" i="27"/>
  <c r="Z22" i="27"/>
  <c r="Y22" i="27"/>
  <c r="Y19" i="27"/>
  <c r="X19" i="27"/>
  <c r="Z19" i="27"/>
  <c r="X18" i="27"/>
  <c r="Z18" i="27"/>
  <c r="Y18" i="27"/>
  <c r="AA18" i="27" s="1"/>
  <c r="X17" i="27"/>
  <c r="Z17" i="27"/>
  <c r="Y17" i="27"/>
  <c r="AA14" i="27"/>
  <c r="AA13" i="27"/>
  <c r="X11" i="27"/>
  <c r="Z11" i="27"/>
  <c r="Y11" i="27"/>
  <c r="AA11" i="27" s="1"/>
  <c r="S33" i="27"/>
  <c r="P33" i="27"/>
  <c r="X33" i="27"/>
  <c r="Y33" i="27"/>
  <c r="Z33" i="27"/>
  <c r="Q33" i="27"/>
  <c r="Y32" i="27"/>
  <c r="AA32" i="27" s="1"/>
  <c r="Z32" i="27"/>
  <c r="X32" i="27"/>
  <c r="X29" i="27"/>
  <c r="Y29" i="27"/>
  <c r="Z29" i="27"/>
  <c r="X28" i="27"/>
  <c r="Z28" i="27"/>
  <c r="Y28" i="27"/>
  <c r="Y27" i="27"/>
  <c r="AA27" i="27" s="1"/>
  <c r="Z27" i="27"/>
  <c r="X27" i="27"/>
  <c r="X26" i="27"/>
  <c r="Z26" i="27"/>
  <c r="Y26" i="27"/>
  <c r="AA26" i="27" s="1"/>
  <c r="X25" i="27"/>
  <c r="Y25" i="27"/>
  <c r="Z25" i="27"/>
  <c r="X23" i="27"/>
  <c r="Y23" i="27"/>
  <c r="Z23" i="27"/>
  <c r="X21" i="27"/>
  <c r="Z21" i="27"/>
  <c r="Y21" i="27"/>
  <c r="AA21" i="27" s="1"/>
  <c r="Y20" i="27"/>
  <c r="AA20" i="27" s="1"/>
  <c r="Z20" i="27"/>
  <c r="X20" i="27"/>
  <c r="AA16" i="27"/>
  <c r="E34" i="27"/>
  <c r="R34" i="27" l="1"/>
  <c r="Y34" i="27"/>
  <c r="AA34" i="27" s="1"/>
  <c r="X34" i="27"/>
  <c r="Z34" i="27"/>
  <c r="S34" i="27"/>
  <c r="Q34" i="27"/>
  <c r="AA17" i="27"/>
  <c r="AA33" i="27"/>
  <c r="AA28" i="27"/>
  <c r="AA25" i="27"/>
  <c r="AA22" i="27"/>
  <c r="AA19" i="27"/>
  <c r="AA29" i="27"/>
  <c r="AA23" i="27"/>
</calcChain>
</file>

<file path=xl/sharedStrings.xml><?xml version="1.0" encoding="utf-8"?>
<sst xmlns="http://schemas.openxmlformats.org/spreadsheetml/2006/main" count="259" uniqueCount="189">
  <si>
    <t xml:space="preserve">BRIDGEPORT HOSPITAL INC                      </t>
  </si>
  <si>
    <t xml:space="preserve">BRISTOL HOSPITAL                             </t>
  </si>
  <si>
    <t xml:space="preserve">DANBURY HOSPITAL                             </t>
  </si>
  <si>
    <t xml:space="preserve">DAY KIMBALL HOSPITAL                         </t>
  </si>
  <si>
    <t xml:space="preserve">HARTFORD HOSPITAL                            </t>
  </si>
  <si>
    <t xml:space="preserve">JOHNSON MEMORIAL HOSPITAL                    </t>
  </si>
  <si>
    <t xml:space="preserve">LAWRENCE AND MEMORIAL HOSPITAL               </t>
  </si>
  <si>
    <t xml:space="preserve">MANCHESTER MEMORIAL  HOSPITAL                </t>
  </si>
  <si>
    <t xml:space="preserve">MIDDLESEX HOSPITAL                           </t>
  </si>
  <si>
    <t xml:space="preserve">MIDSTATE MEDICAL CENTER                      </t>
  </si>
  <si>
    <t xml:space="preserve">NORWALK HOSPITAL ASSOCIATION                 </t>
  </si>
  <si>
    <t xml:space="preserve">ST FRANCIS HOSPITAL MEDICAL CENTER           </t>
  </si>
  <si>
    <t xml:space="preserve">ST MARYS HOSPITAL                            </t>
  </si>
  <si>
    <t xml:space="preserve">ST VINCENTS MEDICAL CENTER                   </t>
  </si>
  <si>
    <t xml:space="preserve">STAMFORD HOSPITAL                            </t>
  </si>
  <si>
    <t xml:space="preserve">THE CHARLOTTE HUNGERFORD HOSPITAL            </t>
  </si>
  <si>
    <t xml:space="preserve">THE WILLIAM BACKUS HOSPITAL                  </t>
  </si>
  <si>
    <t xml:space="preserve">WATERBURY HOSPITAL                           </t>
  </si>
  <si>
    <t>Total/Avg</t>
  </si>
  <si>
    <t>Child Discharges</t>
  </si>
  <si>
    <t>Child ALOS</t>
  </si>
  <si>
    <t>GRIFFIN HOSPITAL</t>
  </si>
  <si>
    <t>CCMC</t>
  </si>
  <si>
    <t>Adult Days</t>
  </si>
  <si>
    <t>Adult ALOS</t>
  </si>
  <si>
    <t>GREENWICH HOSPITAL</t>
  </si>
  <si>
    <t>MILFORD HOSPITAL</t>
  </si>
  <si>
    <t>NEW MILFORD HOSPITAL</t>
  </si>
  <si>
    <t>WINDHAM HOSPITAL</t>
  </si>
  <si>
    <t>JOHN DEMPSEY HOSPITAL</t>
  </si>
  <si>
    <t>ROCKVILLE HOSPITAL</t>
  </si>
  <si>
    <t>004041703</t>
  </si>
  <si>
    <t>007228703</t>
  </si>
  <si>
    <t>004041901</t>
  </si>
  <si>
    <t>004041935</t>
  </si>
  <si>
    <t>007228714</t>
  </si>
  <si>
    <t>004041638</t>
  </si>
  <si>
    <t>004041786</t>
  </si>
  <si>
    <t>004041927</t>
  </si>
  <si>
    <t>004041869</t>
  </si>
  <si>
    <t>004041687</t>
  </si>
  <si>
    <t>004041679</t>
  </si>
  <si>
    <t>007228701</t>
  </si>
  <si>
    <t>004041885</t>
  </si>
  <si>
    <t>007228711</t>
  </si>
  <si>
    <t>004041810</t>
  </si>
  <si>
    <t>007228707</t>
  </si>
  <si>
    <t>004041778</t>
  </si>
  <si>
    <t>007228706</t>
  </si>
  <si>
    <t>004041943</t>
  </si>
  <si>
    <t>004041729</t>
  </si>
  <si>
    <t>004041661</t>
  </si>
  <si>
    <t>007228700</t>
  </si>
  <si>
    <t>004041968</t>
  </si>
  <si>
    <t>007228718</t>
  </si>
  <si>
    <t>004041620</t>
  </si>
  <si>
    <t>007228696</t>
  </si>
  <si>
    <t>004041760</t>
  </si>
  <si>
    <t>004041893</t>
  </si>
  <si>
    <t>007228712</t>
  </si>
  <si>
    <t>004041711</t>
  </si>
  <si>
    <t>007228705</t>
  </si>
  <si>
    <t>004041950</t>
  </si>
  <si>
    <t>007228716</t>
  </si>
  <si>
    <t>004041851</t>
  </si>
  <si>
    <t>007228710</t>
  </si>
  <si>
    <t>004041653</t>
  </si>
  <si>
    <t>004041828</t>
  </si>
  <si>
    <t>004041836</t>
  </si>
  <si>
    <t>007228708</t>
  </si>
  <si>
    <t>004159960</t>
  </si>
  <si>
    <t>Child</t>
  </si>
  <si>
    <t>Days</t>
  </si>
  <si>
    <t>Total Child Days Incl. Discharge Delays</t>
  </si>
  <si>
    <t>YALE/ST RAPH</t>
  </si>
  <si>
    <t>Child Psych Discharge Delay Rate</t>
  </si>
  <si>
    <t>Child Psych Rate</t>
  </si>
  <si>
    <t>Adult Case Rate Incl DSH Add-on</t>
  </si>
  <si>
    <t>Pass Through per Day</t>
  </si>
  <si>
    <t>Adult Psych and All Medical</t>
  </si>
  <si>
    <t>Child Psych</t>
  </si>
  <si>
    <t>Days &amp; Discharges for DOS 1/1/12 - 12/31/12</t>
  </si>
  <si>
    <t>Issued Per Diem</t>
  </si>
  <si>
    <t>Spend</t>
  </si>
  <si>
    <t>Current</t>
  </si>
  <si>
    <t>Current Rates</t>
  </si>
  <si>
    <t>BRGPT</t>
  </si>
  <si>
    <t>BRSTL</t>
  </si>
  <si>
    <t>DANBY</t>
  </si>
  <si>
    <t>DAYKM</t>
  </si>
  <si>
    <t>GRIFN</t>
  </si>
  <si>
    <t>HARTF</t>
  </si>
  <si>
    <t>JNSON</t>
  </si>
  <si>
    <t>DMPSY</t>
  </si>
  <si>
    <t>LAMEM</t>
  </si>
  <si>
    <t>MANCH</t>
  </si>
  <si>
    <t>MIDSX</t>
  </si>
  <si>
    <t>MIDST</t>
  </si>
  <si>
    <t>NRWLK</t>
  </si>
  <si>
    <t>SHARN</t>
  </si>
  <si>
    <t>SAFNS</t>
  </si>
  <si>
    <t>SAMRY</t>
  </si>
  <si>
    <t>SAVCT</t>
  </si>
  <si>
    <t>STMFD</t>
  </si>
  <si>
    <t>HGRFD</t>
  </si>
  <si>
    <t>HOCCT</t>
  </si>
  <si>
    <t>BCKUS</t>
  </si>
  <si>
    <t>WATBY</t>
  </si>
  <si>
    <t>Child Disch. Delay Days (RCC 224)</t>
  </si>
  <si>
    <t xml:space="preserve"> Physician Estimate Per Day for Child BH</t>
  </si>
  <si>
    <t>Deduct $22.66 from $1,100 per diem or</t>
  </si>
  <si>
    <t xml:space="preserve">               deduct total from rev neutral amount per hosp?</t>
  </si>
  <si>
    <t>Rate</t>
  </si>
  <si>
    <t>Current Reimbursement</t>
  </si>
  <si>
    <t>Current Child Rate</t>
  </si>
  <si>
    <t>Current Adult Per Diem</t>
  </si>
  <si>
    <t>Current Average Per Diem</t>
  </si>
  <si>
    <t>Tier 1</t>
  </si>
  <si>
    <t>Tier 2</t>
  </si>
  <si>
    <t>Tier 3</t>
  </si>
  <si>
    <t>90% of Cost</t>
  </si>
  <si>
    <t>Revenue</t>
  </si>
  <si>
    <t>Tier</t>
  </si>
  <si>
    <t>Change in Revenue</t>
  </si>
  <si>
    <t>Loss in Revenue and Less Than Cost</t>
  </si>
  <si>
    <r>
      <rPr>
        <u/>
        <sz val="10"/>
        <rFont val="Arial"/>
        <family val="2"/>
      </rPr>
      <t>Step One</t>
    </r>
    <r>
      <rPr>
        <sz val="10"/>
        <rFont val="Arial"/>
        <family val="2"/>
      </rPr>
      <t xml:space="preserve">:  Hospitals will be allocated to the tier that will result in the least change from their current psych revenue. </t>
    </r>
  </si>
  <si>
    <t>% Change from Current Revenue</t>
  </si>
  <si>
    <t>% Cost (2012 CR)</t>
  </si>
  <si>
    <t>low cost outlier</t>
  </si>
  <si>
    <t>CHILD AND ADULT BEHAVIORAL HEALTH DAYS, DISCHARGES, AND RATES</t>
  </si>
  <si>
    <t>Variance to Current Reimbursement</t>
  </si>
  <si>
    <t>Medicaid</t>
  </si>
  <si>
    <t>Provider ID</t>
  </si>
  <si>
    <t>007228704</t>
  </si>
  <si>
    <t>007228715</t>
  </si>
  <si>
    <t>007228699</t>
  </si>
  <si>
    <t>004041794</t>
  </si>
  <si>
    <t>004041752</t>
  </si>
  <si>
    <t>004221800</t>
  </si>
  <si>
    <t>007228702</t>
  </si>
  <si>
    <t>007228698</t>
  </si>
  <si>
    <t>007228713</t>
  </si>
  <si>
    <t>Full Cost (2012 MCR)</t>
  </si>
  <si>
    <t>90% of Cost 
(2012 MCR)</t>
  </si>
  <si>
    <t>SHARON HOSPITAL</t>
  </si>
  <si>
    <t>Hospitals without Distinct Part Units (DPU)</t>
  </si>
  <si>
    <t>Adult Discharges</t>
  </si>
  <si>
    <t>Child Days Excluding Discharge Delays</t>
  </si>
  <si>
    <t>Child ALOS Excluding Discharge Delay</t>
  </si>
  <si>
    <t>Total Days (Col. 6 + Col. 8)</t>
  </si>
  <si>
    <t>Calc Adult Psych Per Diem (Col. 13/Col.10)+Col.14</t>
  </si>
  <si>
    <t>Child Days * Current Child Rate (Col. 6 + Col. 11)</t>
  </si>
  <si>
    <t>Adult Days * Adult Calc Per Diem (Col. 8 + Col. 16)</t>
  </si>
  <si>
    <t xml:space="preserve">Total  </t>
  </si>
  <si>
    <t>Adult</t>
  </si>
  <si>
    <t>Total Child + Adult</t>
  </si>
  <si>
    <t>From Data+Rates tab</t>
  </si>
  <si>
    <t>[A]</t>
  </si>
  <si>
    <t>[B]</t>
  </si>
  <si>
    <t>(6) / (2)</t>
  </si>
  <si>
    <t>(8) * (2)</t>
  </si>
  <si>
    <t>Cell L10 * (2)</t>
  </si>
  <si>
    <t>Cell M10 * (2)</t>
  </si>
  <si>
    <t>Cell N10 * (2)</t>
  </si>
  <si>
    <t>(9) - (6)</t>
  </si>
  <si>
    <t>(10) - (6)</t>
  </si>
  <si>
    <t>(11) - (6)</t>
  </si>
  <si>
    <t>(12) - (6)</t>
  </si>
  <si>
    <t>outlier (high cost in MCR and high current reimbursement)</t>
  </si>
  <si>
    <t>[C]</t>
  </si>
  <si>
    <t>(19) - (6)</t>
  </si>
  <si>
    <t>((19) - (6)) / (6)</t>
  </si>
  <si>
    <t>(19) / ((7)*(2))</t>
  </si>
  <si>
    <t>Reimbursement Scenario</t>
  </si>
  <si>
    <t>Behavioral Health Per Diem Rates Effective 01/01/15</t>
  </si>
  <si>
    <t>THE HOSPITAL OF CENTRAL CT</t>
  </si>
  <si>
    <t>CONNECTICUT CHILDREN'S MEDICAL CENTER</t>
  </si>
  <si>
    <t>ROCKVILLE GENERAL HOSPITAL</t>
  </si>
  <si>
    <t>WINDHAM MEMORIAL COMMUNITY HOSPITAL</t>
  </si>
  <si>
    <t>Behavioral</t>
  </si>
  <si>
    <t>Note: Hospitals without a behavioral health distinct part unit (DPU) will be paid the amount per the lowest tier ($975) as there was no or minimal behavioral health claims volume.</t>
  </si>
  <si>
    <t>For Claims Assigned to DRG 740 - 776 by APR-DRG Grouper</t>
  </si>
  <si>
    <t>Per Diem</t>
  </si>
  <si>
    <t>From FY 2012 Medicare cost report: cost from Worksheet D-1, Column 1, Row 49 (Subprovider IPF) divided by days from Worksheet S-3, Part 1, Column 6, Line 16.</t>
  </si>
  <si>
    <t>YALE-NEW HAVEN HOSP. (INCL. ST RAPHAEL)</t>
  </si>
  <si>
    <t>(18) * (2)</t>
  </si>
  <si>
    <r>
      <rPr>
        <u/>
        <sz val="10"/>
        <rFont val="Arial"/>
        <family val="2"/>
      </rPr>
      <t>Step Two</t>
    </r>
    <r>
      <rPr>
        <sz val="10"/>
        <rFont val="Arial"/>
        <family val="2"/>
      </rPr>
      <t xml:space="preserve">: If </t>
    </r>
    <r>
      <rPr>
        <u/>
        <sz val="10"/>
        <rFont val="Arial"/>
        <family val="2"/>
      </rPr>
      <t>both</t>
    </r>
    <r>
      <rPr>
        <sz val="10"/>
        <rFont val="Arial"/>
        <family val="2"/>
      </rPr>
      <t xml:space="preserve"> % change in current revenue and % of cost were negative, a hospital is bumped up one tier unless it is already at tier 3.  This increases Day Kimball, Hartford, Middlesex, and Yale.  Dempsey and Norwalk are already at tier 3.  </t>
    </r>
  </si>
  <si>
    <t>Total Medicaid Days (CY 2012)</t>
  </si>
  <si>
    <t>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</si>
</sst>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"/>
    <numFmt numFmtId="167" formatCode="0_);\(0\)"/>
    <numFmt numFmtId="168" formatCode="&quot;$&quot;#,##0"/>
  </numFmts>
  <fonts count="2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 "/>
    </font>
    <font>
      <b/>
      <sz val="11"/>
      <name val="Arial"/>
      <family val="2"/>
    </font>
    <font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62">
    <xf numFmtId="0" fontId="0" fillId="0" borderId="0" xfId="0"/>
    <xf numFmtId="0" fontId="15" fillId="0" borderId="0" xfId="0" applyFont="1"/>
    <xf numFmtId="0" fontId="20" fillId="0" borderId="10" xfId="0" applyFont="1" applyBorder="1"/>
    <xf numFmtId="0" fontId="0" fillId="0" borderId="0" xfId="0" applyBorder="1"/>
    <xf numFmtId="2" fontId="0" fillId="0" borderId="10" xfId="0" applyNumberFormat="1" applyBorder="1"/>
    <xf numFmtId="166" fontId="0" fillId="0" borderId="10" xfId="0" applyNumberFormat="1" applyBorder="1"/>
    <xf numFmtId="166" fontId="1" fillId="0" borderId="10" xfId="0" applyNumberFormat="1" applyFont="1" applyBorder="1"/>
    <xf numFmtId="166" fontId="20" fillId="0" borderId="10" xfId="0" applyNumberFormat="1" applyFont="1" applyBorder="1"/>
    <xf numFmtId="1" fontId="0" fillId="0" borderId="10" xfId="0" applyNumberFormat="1" applyBorder="1"/>
    <xf numFmtId="164" fontId="0" fillId="0" borderId="10" xfId="28" applyNumberFormat="1" applyFont="1" applyBorder="1"/>
    <xf numFmtId="2" fontId="20" fillId="0" borderId="10" xfId="0" applyNumberFormat="1" applyFont="1" applyBorder="1"/>
    <xf numFmtId="0" fontId="0" fillId="0" borderId="11" xfId="0" applyBorder="1"/>
    <xf numFmtId="0" fontId="1" fillId="0" borderId="11" xfId="0" applyFont="1" applyBorder="1"/>
    <xf numFmtId="0" fontId="20" fillId="0" borderId="11" xfId="0" applyFont="1" applyBorder="1"/>
    <xf numFmtId="1" fontId="0" fillId="0" borderId="0" xfId="0" applyNumberFormat="1"/>
    <xf numFmtId="164" fontId="20" fillId="0" borderId="10" xfId="28" applyNumberFormat="1" applyFont="1" applyBorder="1"/>
    <xf numFmtId="0" fontId="1" fillId="0" borderId="12" xfId="0" applyFont="1" applyBorder="1" applyAlignment="1">
      <alignment wrapText="1"/>
    </xf>
    <xf numFmtId="0" fontId="20" fillId="0" borderId="13" xfId="0" applyFont="1" applyBorder="1"/>
    <xf numFmtId="0" fontId="20" fillId="0" borderId="14" xfId="0" applyFont="1" applyBorder="1"/>
    <xf numFmtId="166" fontId="1" fillId="0" borderId="12" xfId="0" applyNumberFormat="1" applyFont="1" applyBorder="1" applyAlignment="1">
      <alignment wrapText="1"/>
    </xf>
    <xf numFmtId="0" fontId="15" fillId="0" borderId="13" xfId="0" applyFont="1" applyBorder="1"/>
    <xf numFmtId="0" fontId="15" fillId="0" borderId="14" xfId="0" applyFont="1" applyBorder="1"/>
    <xf numFmtId="166" fontId="20" fillId="0" borderId="15" xfId="0" applyNumberFormat="1" applyFont="1" applyBorder="1"/>
    <xf numFmtId="0" fontId="20" fillId="0" borderId="16" xfId="0" applyFont="1" applyBorder="1"/>
    <xf numFmtId="0" fontId="15" fillId="0" borderId="16" xfId="0" applyFont="1" applyBorder="1"/>
    <xf numFmtId="0" fontId="15" fillId="0" borderId="17" xfId="0" applyFont="1" applyBorder="1"/>
    <xf numFmtId="166" fontId="20" fillId="0" borderId="13" xfId="0" applyNumberFormat="1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15" xfId="0" applyFont="1" applyBorder="1"/>
    <xf numFmtId="0" fontId="20" fillId="0" borderId="17" xfId="0" applyFont="1" applyBorder="1"/>
    <xf numFmtId="167" fontId="15" fillId="0" borderId="0" xfId="0" applyNumberFormat="1" applyFont="1" applyAlignment="1">
      <alignment horizontal="center"/>
    </xf>
    <xf numFmtId="166" fontId="20" fillId="0" borderId="10" xfId="28" applyNumberFormat="1" applyFont="1" applyFill="1" applyBorder="1"/>
    <xf numFmtId="0" fontId="20" fillId="0" borderId="12" xfId="0" applyFont="1" applyBorder="1" applyAlignment="1">
      <alignment wrapText="1"/>
    </xf>
    <xf numFmtId="0" fontId="1" fillId="0" borderId="10" xfId="0" applyFont="1" applyFill="1" applyBorder="1" applyAlignment="1">
      <alignment horizontal="center" wrapText="1"/>
    </xf>
    <xf numFmtId="164" fontId="0" fillId="0" borderId="10" xfId="28" applyNumberFormat="1" applyFont="1" applyFill="1" applyBorder="1"/>
    <xf numFmtId="164" fontId="20" fillId="0" borderId="10" xfId="28" applyNumberFormat="1" applyFont="1" applyFill="1" applyBorder="1"/>
    <xf numFmtId="0" fontId="20" fillId="0" borderId="0" xfId="0" applyFont="1"/>
    <xf numFmtId="168" fontId="0" fillId="0" borderId="0" xfId="0" applyNumberFormat="1"/>
    <xf numFmtId="168" fontId="0" fillId="0" borderId="10" xfId="0" applyNumberFormat="1" applyBorder="1"/>
    <xf numFmtId="168" fontId="20" fillId="0" borderId="10" xfId="0" applyNumberFormat="1" applyFont="1" applyBorder="1"/>
    <xf numFmtId="5" fontId="0" fillId="0" borderId="10" xfId="0" applyNumberFormat="1" applyBorder="1"/>
    <xf numFmtId="5" fontId="20" fillId="0" borderId="10" xfId="0" applyNumberFormat="1" applyFont="1" applyBorder="1"/>
    <xf numFmtId="0" fontId="0" fillId="0" borderId="0" xfId="0" applyFill="1"/>
    <xf numFmtId="9" fontId="0" fillId="0" borderId="0" xfId="40" applyFont="1" applyFill="1" applyBorder="1"/>
    <xf numFmtId="168" fontId="0" fillId="0" borderId="0" xfId="0" applyNumberFormat="1" applyBorder="1"/>
    <xf numFmtId="5" fontId="0" fillId="0" borderId="0" xfId="0" applyNumberFormat="1" applyBorder="1"/>
    <xf numFmtId="5" fontId="0" fillId="0" borderId="0" xfId="0" applyNumberFormat="1" applyFill="1"/>
    <xf numFmtId="0" fontId="0" fillId="0" borderId="0" xfId="0" applyFill="1" applyBorder="1"/>
    <xf numFmtId="0" fontId="1" fillId="0" borderId="0" xfId="0" applyFont="1" applyFill="1" applyBorder="1"/>
    <xf numFmtId="164" fontId="0" fillId="0" borderId="0" xfId="28" applyNumberFormat="1" applyFont="1" applyFill="1" applyBorder="1"/>
    <xf numFmtId="5" fontId="0" fillId="0" borderId="0" xfId="0" applyNumberFormat="1"/>
    <xf numFmtId="0" fontId="0" fillId="25" borderId="0" xfId="0" applyFill="1"/>
    <xf numFmtId="0" fontId="20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166" fontId="0" fillId="0" borderId="0" xfId="0" applyNumberFormat="1"/>
    <xf numFmtId="0" fontId="1" fillId="0" borderId="0" xfId="0" applyFont="1" applyFill="1" applyBorder="1" applyAlignment="1">
      <alignment horizontal="center" wrapText="1"/>
    </xf>
    <xf numFmtId="167" fontId="1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20" fillId="0" borderId="0" xfId="0" applyFont="1" applyBorder="1"/>
    <xf numFmtId="0" fontId="1" fillId="0" borderId="0" xfId="0" applyFont="1" applyBorder="1"/>
    <xf numFmtId="165" fontId="0" fillId="0" borderId="0" xfId="40" applyNumberFormat="1" applyFont="1" applyBorder="1"/>
    <xf numFmtId="44" fontId="0" fillId="0" borderId="0" xfId="0" applyNumberFormat="1" applyBorder="1"/>
    <xf numFmtId="5" fontId="20" fillId="0" borderId="0" xfId="0" applyNumberFormat="1" applyFont="1" applyBorder="1"/>
    <xf numFmtId="165" fontId="20" fillId="0" borderId="0" xfId="40" applyNumberFormat="1" applyFont="1" applyBorder="1"/>
    <xf numFmtId="1" fontId="15" fillId="0" borderId="0" xfId="0" applyNumberFormat="1" applyFont="1"/>
    <xf numFmtId="44" fontId="20" fillId="0" borderId="10" xfId="45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7" fontId="20" fillId="0" borderId="0" xfId="0" applyNumberFormat="1" applyFont="1" applyBorder="1"/>
    <xf numFmtId="0" fontId="20" fillId="26" borderId="13" xfId="0" applyFont="1" applyFill="1" applyBorder="1"/>
    <xf numFmtId="0" fontId="20" fillId="26" borderId="12" xfId="0" applyFont="1" applyFill="1" applyBorder="1" applyAlignment="1">
      <alignment wrapText="1"/>
    </xf>
    <xf numFmtId="166" fontId="20" fillId="26" borderId="10" xfId="28" applyNumberFormat="1" applyFont="1" applyFill="1" applyBorder="1"/>
    <xf numFmtId="5" fontId="0" fillId="0" borderId="0" xfId="28" applyNumberFormat="1" applyFont="1" applyFill="1" applyBorder="1"/>
    <xf numFmtId="0" fontId="20" fillId="0" borderId="0" xfId="0" applyFont="1" applyFill="1" applyBorder="1"/>
    <xf numFmtId="0" fontId="1" fillId="0" borderId="21" xfId="0" applyFont="1" applyFill="1" applyBorder="1"/>
    <xf numFmtId="5" fontId="0" fillId="0" borderId="21" xfId="28" applyNumberFormat="1" applyFont="1" applyFill="1" applyBorder="1"/>
    <xf numFmtId="5" fontId="1" fillId="0" borderId="0" xfId="0" applyNumberFormat="1" applyFont="1" applyFill="1" applyBorder="1" applyAlignment="1">
      <alignment horizontal="center" vertical="center" wrapText="1"/>
    </xf>
    <xf numFmtId="164" fontId="0" fillId="0" borderId="0" xfId="28" applyNumberFormat="1" applyFont="1" applyFill="1"/>
    <xf numFmtId="9" fontId="20" fillId="0" borderId="0" xfId="40" applyFont="1" applyFill="1" applyAlignment="1">
      <alignment horizontal="center" vertical="center"/>
    </xf>
    <xf numFmtId="164" fontId="0" fillId="0" borderId="21" xfId="28" applyNumberFormat="1" applyFont="1" applyFill="1" applyBorder="1"/>
    <xf numFmtId="0" fontId="0" fillId="0" borderId="21" xfId="0" applyFill="1" applyBorder="1"/>
    <xf numFmtId="5" fontId="0" fillId="0" borderId="0" xfId="28" applyNumberFormat="1" applyFont="1" applyFill="1" applyBorder="1" applyAlignment="1">
      <alignment horizontal="center"/>
    </xf>
    <xf numFmtId="0" fontId="20" fillId="25" borderId="0" xfId="0" applyFont="1" applyFill="1"/>
    <xf numFmtId="5" fontId="0" fillId="0" borderId="0" xfId="40" applyNumberFormat="1" applyFont="1" applyFill="1" applyBorder="1"/>
    <xf numFmtId="5" fontId="20" fillId="25" borderId="0" xfId="28" applyNumberFormat="1" applyFont="1" applyFill="1" applyBorder="1"/>
    <xf numFmtId="5" fontId="0" fillId="25" borderId="0" xfId="28" applyNumberFormat="1" applyFont="1" applyFill="1" applyBorder="1"/>
    <xf numFmtId="5" fontId="1" fillId="0" borderId="0" xfId="0" applyNumberFormat="1" applyFont="1"/>
    <xf numFmtId="5" fontId="1" fillId="0" borderId="21" xfId="0" applyNumberFormat="1" applyFont="1" applyBorder="1"/>
    <xf numFmtId="5" fontId="0" fillId="0" borderId="21" xfId="40" applyNumberFormat="1" applyFont="1" applyFill="1" applyBorder="1"/>
    <xf numFmtId="5" fontId="1" fillId="0" borderId="0" xfId="0" applyNumberFormat="1" applyFont="1" applyFill="1" applyBorder="1"/>
    <xf numFmtId="165" fontId="0" fillId="0" borderId="0" xfId="40" applyNumberFormat="1" applyFont="1" applyFill="1" applyBorder="1"/>
    <xf numFmtId="0" fontId="20" fillId="25" borderId="0" xfId="0" applyFont="1" applyFill="1" applyBorder="1"/>
    <xf numFmtId="0" fontId="0" fillId="2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28" applyNumberFormat="1" applyFont="1" applyFill="1" applyBorder="1" applyAlignment="1">
      <alignment horizontal="center"/>
    </xf>
    <xf numFmtId="9" fontId="0" fillId="0" borderId="0" xfId="40" applyFont="1" applyFill="1" applyBorder="1" applyAlignment="1">
      <alignment horizontal="center"/>
    </xf>
    <xf numFmtId="0" fontId="1" fillId="24" borderId="0" xfId="0" applyFont="1" applyFill="1" applyBorder="1"/>
    <xf numFmtId="165" fontId="0" fillId="0" borderId="21" xfId="40" applyNumberFormat="1" applyFont="1" applyFill="1" applyBorder="1"/>
    <xf numFmtId="9" fontId="0" fillId="0" borderId="21" xfId="40" applyFont="1" applyFill="1" applyBorder="1"/>
    <xf numFmtId="9" fontId="0" fillId="0" borderId="21" xfId="40" applyFont="1" applyFill="1" applyBorder="1" applyAlignment="1">
      <alignment horizontal="center"/>
    </xf>
    <xf numFmtId="0" fontId="20" fillId="0" borderId="0" xfId="0" applyFont="1" applyFill="1"/>
    <xf numFmtId="0" fontId="20" fillId="0" borderId="21" xfId="0" applyFont="1" applyFill="1" applyBorder="1"/>
    <xf numFmtId="164" fontId="0" fillId="0" borderId="0" xfId="0" applyNumberFormat="1"/>
    <xf numFmtId="168" fontId="1" fillId="0" borderId="10" xfId="0" applyNumberFormat="1" applyFont="1" applyBorder="1"/>
    <xf numFmtId="0" fontId="1" fillId="0" borderId="12" xfId="0" applyFont="1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1" fillId="0" borderId="0" xfId="28" applyNumberFormat="1" applyFont="1" applyFill="1" applyBorder="1" applyAlignment="1">
      <alignment horizontal="center"/>
    </xf>
    <xf numFmtId="0" fontId="0" fillId="27" borderId="0" xfId="28" applyNumberFormat="1" applyFont="1" applyFill="1" applyBorder="1" applyAlignment="1">
      <alignment horizontal="center"/>
    </xf>
    <xf numFmtId="5" fontId="20" fillId="0" borderId="0" xfId="28" applyNumberFormat="1" applyFont="1" applyFill="1" applyBorder="1"/>
    <xf numFmtId="5" fontId="20" fillId="0" borderId="0" xfId="0" applyNumberFormat="1" applyFont="1" applyFill="1" applyBorder="1" applyAlignment="1">
      <alignment horizontal="center" vertical="center" wrapText="1"/>
    </xf>
    <xf numFmtId="5" fontId="20" fillId="0" borderId="0" xfId="0" applyNumberFormat="1" applyFont="1" applyFill="1" applyBorder="1"/>
    <xf numFmtId="5" fontId="20" fillId="0" borderId="0" xfId="4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27" borderId="21" xfId="28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10" xfId="44" applyBorder="1" applyAlignment="1">
      <alignment horizontal="left"/>
    </xf>
    <xf numFmtId="0" fontId="1" fillId="0" borderId="10" xfId="44" quotePrefix="1" applyBorder="1" applyAlignment="1">
      <alignment horizontal="left"/>
    </xf>
    <xf numFmtId="0" fontId="0" fillId="0" borderId="10" xfId="0" applyFill="1" applyBorder="1"/>
    <xf numFmtId="0" fontId="0" fillId="0" borderId="10" xfId="0" applyBorder="1" applyAlignment="1">
      <alignment horizontal="left"/>
    </xf>
    <xf numFmtId="0" fontId="1" fillId="0" borderId="10" xfId="0" quotePrefix="1" applyFont="1" applyBorder="1" applyAlignment="1">
      <alignment horizontal="left"/>
    </xf>
    <xf numFmtId="5" fontId="0" fillId="0" borderId="10" xfId="40" applyNumberFormat="1" applyFont="1" applyFill="1" applyBorder="1"/>
    <xf numFmtId="0" fontId="1" fillId="0" borderId="10" xfId="0" applyFont="1" applyFill="1" applyBorder="1"/>
    <xf numFmtId="0" fontId="0" fillId="0" borderId="10" xfId="0" applyFont="1" applyFill="1" applyBorder="1"/>
    <xf numFmtId="0" fontId="24" fillId="0" borderId="0" xfId="0" applyFont="1" applyFill="1"/>
    <xf numFmtId="0" fontId="25" fillId="0" borderId="0" xfId="0" applyFont="1" applyFill="1"/>
    <xf numFmtId="1" fontId="20" fillId="0" borderId="0" xfId="0" applyNumberFormat="1" applyFont="1"/>
    <xf numFmtId="5" fontId="20" fillId="0" borderId="10" xfId="0" applyNumberFormat="1" applyFont="1" applyFill="1" applyBorder="1" applyAlignment="1">
      <alignment horizontal="center" vertical="center" wrapText="1"/>
    </xf>
    <xf numFmtId="5" fontId="20" fillId="0" borderId="10" xfId="28" applyNumberFormat="1" applyFont="1" applyFill="1" applyBorder="1" applyAlignment="1">
      <alignment horizontal="center"/>
    </xf>
    <xf numFmtId="5" fontId="1" fillId="0" borderId="0" xfId="0" applyNumberFormat="1" applyFont="1" applyFill="1"/>
    <xf numFmtId="164" fontId="0" fillId="0" borderId="0" xfId="0" applyNumberFormat="1" applyFill="1" applyBorder="1"/>
    <xf numFmtId="166" fontId="1" fillId="0" borderId="0" xfId="28" quotePrefix="1" applyNumberFormat="1" applyFont="1" applyFill="1" applyBorder="1" applyAlignment="1">
      <alignment wrapText="1"/>
    </xf>
    <xf numFmtId="0" fontId="15" fillId="0" borderId="0" xfId="0" applyFont="1" applyBorder="1"/>
    <xf numFmtId="0" fontId="20" fillId="0" borderId="0" xfId="0" quotePrefix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28" applyNumberFormat="1" applyFont="1" applyFill="1"/>
    <xf numFmtId="164" fontId="20" fillId="0" borderId="0" xfId="28" applyNumberFormat="1" applyFont="1" applyFill="1" applyAlignment="1">
      <alignment horizontal="center"/>
    </xf>
    <xf numFmtId="164" fontId="20" fillId="0" borderId="0" xfId="28" quotePrefix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quotePrefix="1" applyFont="1" applyFill="1" applyAlignment="1">
      <alignment horizontal="center"/>
    </xf>
    <xf numFmtId="5" fontId="0" fillId="28" borderId="0" xfId="40" applyNumberFormat="1" applyFont="1" applyFill="1" applyBorder="1"/>
    <xf numFmtId="5" fontId="1" fillId="28" borderId="0" xfId="0" applyNumberFormat="1" applyFont="1" applyFill="1"/>
    <xf numFmtId="5" fontId="1" fillId="28" borderId="21" xfId="0" applyNumberFormat="1" applyFont="1" applyFill="1" applyBorder="1"/>
    <xf numFmtId="0" fontId="0" fillId="27" borderId="0" xfId="0" applyFill="1" applyBorder="1" applyAlignment="1">
      <alignment horizontal="left" wrapText="1"/>
    </xf>
    <xf numFmtId="0" fontId="0" fillId="27" borderId="0" xfId="0" applyFill="1"/>
    <xf numFmtId="5" fontId="1" fillId="0" borderId="0" xfId="40" applyNumberFormat="1" applyFont="1" applyFill="1" applyBorder="1"/>
    <xf numFmtId="165" fontId="1" fillId="0" borderId="0" xfId="40" applyNumberFormat="1" applyFont="1" applyFill="1" applyBorder="1"/>
    <xf numFmtId="9" fontId="1" fillId="0" borderId="0" xfId="40" applyFont="1" applyFill="1" applyBorder="1"/>
    <xf numFmtId="9" fontId="1" fillId="0" borderId="0" xfId="40" applyFont="1" applyFill="1" applyBorder="1" applyAlignment="1">
      <alignment horizontal="center"/>
    </xf>
    <xf numFmtId="0" fontId="20" fillId="0" borderId="0" xfId="0" quotePrefix="1" applyFont="1" applyFill="1" applyAlignment="1">
      <alignment horizontal="center" wrapText="1"/>
    </xf>
    <xf numFmtId="5" fontId="0" fillId="0" borderId="0" xfId="0" applyNumberFormat="1" applyFill="1" applyBorder="1"/>
    <xf numFmtId="164" fontId="20" fillId="0" borderId="0" xfId="28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11" xfId="0" applyFill="1" applyBorder="1"/>
    <xf numFmtId="1" fontId="0" fillId="0" borderId="10" xfId="0" applyNumberFormat="1" applyFill="1" applyBorder="1"/>
    <xf numFmtId="0" fontId="1" fillId="0" borderId="0" xfId="0" applyFont="1" applyFill="1" applyBorder="1" applyAlignment="1">
      <alignment wrapText="1"/>
    </xf>
    <xf numFmtId="0" fontId="25" fillId="0" borderId="0" xfId="0" applyFont="1" applyFill="1" applyAlignment="1">
      <alignment horizontal="left" wrapText="1"/>
    </xf>
    <xf numFmtId="0" fontId="1" fillId="28" borderId="0" xfId="0" applyFont="1" applyFill="1" applyBorder="1" applyAlignment="1">
      <alignment horizontal="left" wrapText="1"/>
    </xf>
    <xf numFmtId="0" fontId="0" fillId="28" borderId="0" xfId="0" applyFill="1" applyBorder="1" applyAlignment="1">
      <alignment horizontal="left" wrapText="1"/>
    </xf>
    <xf numFmtId="0" fontId="1" fillId="27" borderId="0" xfId="0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/>
    <cellStyle name="Currency" xfId="45" builtinId="4"/>
    <cellStyle name="Currency 2" xfId="4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/>
    <cellStyle name="Note" xfId="38" builtinId="10" customBuiltin="1"/>
    <cellStyle name="Output" xfId="39" builtinId="21" customBuiltin="1"/>
    <cellStyle name="Percent" xfId="40" builtinId="5"/>
    <cellStyle name="Percent 2" xfId="47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zoomScaleNormal="100" workbookViewId="0">
      <selection activeCell="F36" sqref="F36"/>
    </sheetView>
  </sheetViews>
  <sheetFormatPr defaultColWidth="8.6640625" defaultRowHeight="13.2"/>
  <cols>
    <col min="1" max="1" width="42.6640625" style="44" customWidth="1"/>
    <col min="2" max="2" width="10.88671875" style="49" customWidth="1"/>
    <col min="3" max="5" width="12.5546875" style="44" customWidth="1"/>
    <col min="6" max="16384" width="8.6640625" style="44"/>
  </cols>
  <sheetData>
    <row r="1" spans="1:5" ht="13.8">
      <c r="A1" s="126" t="s">
        <v>174</v>
      </c>
    </row>
    <row r="2" spans="1:5" ht="13.8">
      <c r="A2" s="126" t="s">
        <v>181</v>
      </c>
    </row>
    <row r="4" spans="1:5">
      <c r="B4" s="116" t="s">
        <v>179</v>
      </c>
      <c r="C4" s="117" t="s">
        <v>131</v>
      </c>
    </row>
    <row r="5" spans="1:5">
      <c r="A5" s="49"/>
      <c r="B5" s="78" t="s">
        <v>188</v>
      </c>
      <c r="C5" s="117" t="s">
        <v>132</v>
      </c>
    </row>
    <row r="6" spans="1:5">
      <c r="A6" s="49"/>
      <c r="B6" s="78" t="s">
        <v>182</v>
      </c>
      <c r="C6" s="117"/>
    </row>
    <row r="7" spans="1:5" ht="16.5" customHeight="1">
      <c r="A7" s="120" t="s">
        <v>0</v>
      </c>
      <c r="B7" s="123">
        <f>'Tiers Calc'!V11</f>
        <v>1050</v>
      </c>
      <c r="C7" s="118" t="s">
        <v>31</v>
      </c>
      <c r="D7" s="118" t="s">
        <v>32</v>
      </c>
      <c r="E7" s="119" t="s">
        <v>133</v>
      </c>
    </row>
    <row r="8" spans="1:5" ht="16.5" customHeight="1">
      <c r="A8" s="120" t="s">
        <v>1</v>
      </c>
      <c r="B8" s="123">
        <f>'Tiers Calc'!V12</f>
        <v>975</v>
      </c>
      <c r="C8" s="118" t="s">
        <v>33</v>
      </c>
      <c r="D8" s="120"/>
      <c r="E8" s="120"/>
    </row>
    <row r="9" spans="1:5" ht="16.5" customHeight="1">
      <c r="A9" s="120" t="s">
        <v>2</v>
      </c>
      <c r="B9" s="123">
        <f>'Tiers Calc'!V13</f>
        <v>975</v>
      </c>
      <c r="C9" s="118" t="s">
        <v>34</v>
      </c>
      <c r="D9" s="118" t="s">
        <v>35</v>
      </c>
      <c r="E9" s="119" t="s">
        <v>134</v>
      </c>
    </row>
    <row r="10" spans="1:5" ht="16.5" customHeight="1">
      <c r="A10" s="120" t="s">
        <v>3</v>
      </c>
      <c r="B10" s="123">
        <f>'Tiers Calc'!V14</f>
        <v>1050</v>
      </c>
      <c r="C10" s="118" t="s">
        <v>36</v>
      </c>
      <c r="D10" s="122" t="s">
        <v>140</v>
      </c>
      <c r="E10" s="120"/>
    </row>
    <row r="11" spans="1:5" ht="16.5" customHeight="1">
      <c r="A11" s="124" t="s">
        <v>21</v>
      </c>
      <c r="B11" s="123">
        <f>'Tiers Calc'!V15</f>
        <v>975</v>
      </c>
      <c r="C11" s="118" t="s">
        <v>38</v>
      </c>
      <c r="D11" s="120"/>
      <c r="E11" s="120"/>
    </row>
    <row r="12" spans="1:5" ht="16.5" customHeight="1">
      <c r="A12" s="120" t="s">
        <v>4</v>
      </c>
      <c r="B12" s="123">
        <f>'Tiers Calc'!V16</f>
        <v>1050</v>
      </c>
      <c r="C12" s="118" t="s">
        <v>39</v>
      </c>
      <c r="D12" s="120"/>
      <c r="E12" s="120"/>
    </row>
    <row r="13" spans="1:5" ht="16.5" customHeight="1">
      <c r="A13" s="124" t="s">
        <v>29</v>
      </c>
      <c r="B13" s="123">
        <f>'Tiers Calc'!V17</f>
        <v>1125</v>
      </c>
      <c r="C13" s="118" t="s">
        <v>53</v>
      </c>
      <c r="D13" s="118" t="s">
        <v>54</v>
      </c>
      <c r="E13" s="120"/>
    </row>
    <row r="14" spans="1:5" ht="16.5" customHeight="1">
      <c r="A14" s="120" t="s">
        <v>5</v>
      </c>
      <c r="B14" s="123">
        <f>'Tiers Calc'!V18</f>
        <v>975</v>
      </c>
      <c r="C14" s="118" t="s">
        <v>40</v>
      </c>
      <c r="D14" s="120"/>
      <c r="E14" s="120"/>
    </row>
    <row r="15" spans="1:5" ht="16.5" customHeight="1">
      <c r="A15" s="120" t="s">
        <v>6</v>
      </c>
      <c r="B15" s="123">
        <f>'Tiers Calc'!V19</f>
        <v>975</v>
      </c>
      <c r="C15" s="118" t="s">
        <v>41</v>
      </c>
      <c r="D15" s="118" t="s">
        <v>42</v>
      </c>
      <c r="E15" s="119" t="s">
        <v>139</v>
      </c>
    </row>
    <row r="16" spans="1:5" ht="16.5" customHeight="1">
      <c r="A16" s="120" t="s">
        <v>7</v>
      </c>
      <c r="B16" s="123">
        <f>'Tiers Calc'!V20</f>
        <v>975</v>
      </c>
      <c r="C16" s="118" t="s">
        <v>43</v>
      </c>
      <c r="D16" s="118" t="s">
        <v>44</v>
      </c>
      <c r="E16" s="120"/>
    </row>
    <row r="17" spans="1:5" ht="16.5" customHeight="1">
      <c r="A17" s="120" t="s">
        <v>8</v>
      </c>
      <c r="B17" s="123">
        <f>'Tiers Calc'!V21</f>
        <v>1125</v>
      </c>
      <c r="C17" s="118" t="s">
        <v>45</v>
      </c>
      <c r="D17" s="118" t="s">
        <v>46</v>
      </c>
      <c r="E17" s="120"/>
    </row>
    <row r="18" spans="1:5" ht="16.5" customHeight="1">
      <c r="A18" s="120" t="s">
        <v>9</v>
      </c>
      <c r="B18" s="123">
        <f>'Tiers Calc'!V22</f>
        <v>975</v>
      </c>
      <c r="C18" s="118" t="s">
        <v>47</v>
      </c>
      <c r="D18" s="118" t="s">
        <v>48</v>
      </c>
      <c r="E18" s="120"/>
    </row>
    <row r="19" spans="1:5" ht="16.5" customHeight="1">
      <c r="A19" s="120" t="s">
        <v>10</v>
      </c>
      <c r="B19" s="123">
        <f>'Tiers Calc'!V23</f>
        <v>1125</v>
      </c>
      <c r="C19" s="118" t="s">
        <v>49</v>
      </c>
      <c r="D19" s="120"/>
      <c r="E19" s="120"/>
    </row>
    <row r="20" spans="1:5" ht="16.5" customHeight="1">
      <c r="A20" s="124" t="s">
        <v>144</v>
      </c>
      <c r="B20" s="123">
        <f>'Tiers Calc'!V24</f>
        <v>975</v>
      </c>
      <c r="C20" s="122" t="s">
        <v>138</v>
      </c>
      <c r="D20" s="120"/>
      <c r="E20" s="120"/>
    </row>
    <row r="21" spans="1:5" ht="16.5" customHeight="1">
      <c r="A21" s="120" t="s">
        <v>11</v>
      </c>
      <c r="B21" s="123">
        <f>'Tiers Calc'!V25</f>
        <v>975</v>
      </c>
      <c r="C21" s="118" t="s">
        <v>55</v>
      </c>
      <c r="D21" s="118" t="s">
        <v>56</v>
      </c>
      <c r="E21" s="120"/>
    </row>
    <row r="22" spans="1:5" ht="16.5" customHeight="1">
      <c r="A22" s="120" t="s">
        <v>12</v>
      </c>
      <c r="B22" s="123">
        <f>'Tiers Calc'!V26</f>
        <v>975</v>
      </c>
      <c r="C22" s="118" t="s">
        <v>57</v>
      </c>
      <c r="D22" s="120"/>
      <c r="E22" s="120"/>
    </row>
    <row r="23" spans="1:5" ht="16.5" customHeight="1">
      <c r="A23" s="120" t="s">
        <v>13</v>
      </c>
      <c r="B23" s="123">
        <f>'Tiers Calc'!V27</f>
        <v>975</v>
      </c>
      <c r="C23" s="118" t="s">
        <v>58</v>
      </c>
      <c r="D23" s="118" t="s">
        <v>59</v>
      </c>
      <c r="E23" s="119" t="s">
        <v>141</v>
      </c>
    </row>
    <row r="24" spans="1:5" ht="16.5" customHeight="1">
      <c r="A24" s="120" t="s">
        <v>14</v>
      </c>
      <c r="B24" s="123">
        <f>'Tiers Calc'!V28</f>
        <v>1125</v>
      </c>
      <c r="C24" s="118" t="s">
        <v>51</v>
      </c>
      <c r="D24" s="122" t="s">
        <v>135</v>
      </c>
      <c r="E24" s="118" t="s">
        <v>52</v>
      </c>
    </row>
    <row r="25" spans="1:5" ht="16.5" customHeight="1">
      <c r="A25" s="120" t="s">
        <v>15</v>
      </c>
      <c r="B25" s="123">
        <f>'Tiers Calc'!V29</f>
        <v>1125</v>
      </c>
      <c r="C25" s="118" t="s">
        <v>60</v>
      </c>
      <c r="D25" s="118" t="s">
        <v>61</v>
      </c>
      <c r="E25" s="120"/>
    </row>
    <row r="26" spans="1:5" ht="16.5" customHeight="1">
      <c r="A26" s="120" t="s">
        <v>175</v>
      </c>
      <c r="B26" s="123">
        <f>'Tiers Calc'!V30</f>
        <v>975</v>
      </c>
      <c r="C26" s="118" t="s">
        <v>62</v>
      </c>
      <c r="D26" s="118" t="s">
        <v>63</v>
      </c>
      <c r="E26" s="120"/>
    </row>
    <row r="27" spans="1:5" ht="16.5" customHeight="1">
      <c r="A27" s="120" t="s">
        <v>16</v>
      </c>
      <c r="B27" s="123">
        <f>'Tiers Calc'!V31</f>
        <v>975</v>
      </c>
      <c r="C27" s="118" t="s">
        <v>64</v>
      </c>
      <c r="D27" s="118" t="s">
        <v>65</v>
      </c>
      <c r="E27" s="120"/>
    </row>
    <row r="28" spans="1:5" ht="16.5" customHeight="1">
      <c r="A28" s="120" t="s">
        <v>17</v>
      </c>
      <c r="B28" s="123">
        <f>'Tiers Calc'!V32</f>
        <v>975</v>
      </c>
      <c r="C28" s="118" t="s">
        <v>66</v>
      </c>
      <c r="D28" s="120"/>
      <c r="E28" s="120"/>
    </row>
    <row r="29" spans="1:5" s="82" customFormat="1" ht="16.5" customHeight="1">
      <c r="A29" s="124" t="s">
        <v>184</v>
      </c>
      <c r="B29" s="123">
        <f>'Tiers Calc'!V33</f>
        <v>1050</v>
      </c>
      <c r="C29" s="118" t="s">
        <v>68</v>
      </c>
      <c r="D29" s="118" t="s">
        <v>69</v>
      </c>
      <c r="E29" s="120"/>
    </row>
    <row r="30" spans="1:5" ht="16.5" customHeight="1">
      <c r="A30" s="75"/>
      <c r="B30" s="152"/>
    </row>
    <row r="31" spans="1:5" ht="16.5" customHeight="1"/>
    <row r="32" spans="1:5" ht="16.5" customHeight="1"/>
    <row r="33" spans="1:5" ht="28.95" customHeight="1">
      <c r="A33" s="158" t="s">
        <v>180</v>
      </c>
      <c r="B33" s="158"/>
      <c r="C33" s="158"/>
      <c r="D33" s="158"/>
      <c r="E33" s="158"/>
    </row>
    <row r="34" spans="1:5" ht="18.75" customHeight="1">
      <c r="A34" s="127"/>
      <c r="B34" s="116" t="s">
        <v>179</v>
      </c>
      <c r="C34" s="117" t="s">
        <v>131</v>
      </c>
    </row>
    <row r="35" spans="1:5">
      <c r="B35" s="78" t="s">
        <v>188</v>
      </c>
      <c r="C35" s="117" t="s">
        <v>132</v>
      </c>
    </row>
    <row r="36" spans="1:5">
      <c r="B36" s="78" t="s">
        <v>182</v>
      </c>
      <c r="C36" s="117"/>
    </row>
    <row r="37" spans="1:5" ht="16.5" customHeight="1">
      <c r="A37" s="125" t="s">
        <v>176</v>
      </c>
      <c r="B37" s="123">
        <v>975</v>
      </c>
      <c r="C37" s="122" t="s">
        <v>70</v>
      </c>
    </row>
    <row r="38" spans="1:5" ht="16.5" customHeight="1">
      <c r="A38" s="118" t="s">
        <v>25</v>
      </c>
      <c r="B38" s="123">
        <v>975</v>
      </c>
      <c r="C38" s="118" t="s">
        <v>37</v>
      </c>
    </row>
    <row r="39" spans="1:5" ht="16.2" customHeight="1">
      <c r="A39" s="121" t="s">
        <v>26</v>
      </c>
      <c r="B39" s="123">
        <v>975</v>
      </c>
      <c r="C39" s="122" t="s">
        <v>136</v>
      </c>
    </row>
    <row r="40" spans="1:5" ht="16.2" customHeight="1">
      <c r="A40" s="121" t="s">
        <v>27</v>
      </c>
      <c r="B40" s="123">
        <v>975</v>
      </c>
      <c r="C40" s="122" t="s">
        <v>137</v>
      </c>
    </row>
    <row r="41" spans="1:5" ht="16.2" customHeight="1">
      <c r="A41" s="118" t="s">
        <v>177</v>
      </c>
      <c r="B41" s="123">
        <v>975</v>
      </c>
      <c r="C41" s="118" t="s">
        <v>50</v>
      </c>
    </row>
    <row r="42" spans="1:5" ht="16.2" customHeight="1">
      <c r="A42" s="118" t="s">
        <v>178</v>
      </c>
      <c r="B42" s="123">
        <v>975</v>
      </c>
      <c r="C42" s="118" t="s">
        <v>67</v>
      </c>
    </row>
    <row r="43" spans="1:5">
      <c r="C43" s="49"/>
    </row>
    <row r="44" spans="1:5">
      <c r="C44" s="49"/>
    </row>
    <row r="46" spans="1:5">
      <c r="B46" s="85"/>
    </row>
  </sheetData>
  <mergeCells count="1">
    <mergeCell ref="A33:E33"/>
  </mergeCells>
  <pageMargins left="0.45" right="0.45" top="0.75" bottom="0.75" header="0.3" footer="0.3"/>
  <pageSetup scale="98" fitToWidth="2" orientation="portrait" r:id="rId1"/>
  <headerFooter>
    <oddFooter>&amp;L&amp;8&amp;Z&amp;F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C45"/>
  <sheetViews>
    <sheetView zoomScaleNormal="100" workbookViewId="0">
      <pane xSplit="1" ySplit="9" topLeftCell="B10" activePane="bottomRight" state="frozen"/>
      <selection activeCell="A47" sqref="A1:AC47"/>
      <selection pane="topRight" activeCell="A47" sqref="A1:AC47"/>
      <selection pane="bottomLeft" activeCell="A47" sqref="A1:AC47"/>
      <selection pane="bottomRight" activeCell="B10" sqref="B10"/>
    </sheetView>
  </sheetViews>
  <sheetFormatPr defaultColWidth="8.6640625" defaultRowHeight="13.2"/>
  <cols>
    <col min="1" max="1" width="20.33203125" style="44" customWidth="1"/>
    <col min="2" max="2" width="9.6640625" style="79" bestFit="1" customWidth="1"/>
    <col min="3" max="5" width="8.6640625" style="44"/>
    <col min="6" max="6" width="15.5546875" style="44" bestFit="1" customWidth="1"/>
    <col min="7" max="7" width="1.33203125" style="44" customWidth="1"/>
    <col min="8" max="8" width="9.88671875" style="48" bestFit="1" customWidth="1"/>
    <col min="9" max="9" width="9.5546875" style="48" bestFit="1" customWidth="1"/>
    <col min="10" max="10" width="2" style="48" customWidth="1"/>
    <col min="11" max="11" width="11.88671875" style="44" bestFit="1" customWidth="1"/>
    <col min="12" max="12" width="12.88671875" style="44" customWidth="1"/>
    <col min="13" max="13" width="12.88671875" customWidth="1"/>
    <col min="14" max="14" width="12.88671875" bestFit="1" customWidth="1"/>
    <col min="15" max="15" width="4.44140625" customWidth="1"/>
    <col min="16" max="17" width="11.5546875" bestFit="1" customWidth="1"/>
    <col min="18" max="18" width="11.5546875" style="44" bestFit="1" customWidth="1"/>
    <col min="19" max="19" width="11.88671875" style="44" bestFit="1" customWidth="1"/>
    <col min="20" max="20" width="3.6640625" style="49" customWidth="1"/>
    <col min="21" max="21" width="7.6640625" style="49" customWidth="1"/>
    <col min="22" max="22" width="8.6640625" style="49"/>
    <col min="23" max="23" width="12" style="49" bestFit="1" customWidth="1"/>
    <col min="24" max="24" width="12.109375" style="44" bestFit="1" customWidth="1"/>
    <col min="25" max="26" width="8.6640625" style="44"/>
    <col min="27" max="28" width="0" style="44" hidden="1" customWidth="1"/>
    <col min="29" max="29" width="55.88671875" style="44" hidden="1" customWidth="1"/>
    <col min="30" max="16384" width="8.6640625" style="44"/>
  </cols>
  <sheetData>
    <row r="4" spans="1:29">
      <c r="A4" s="32">
        <v>-1</v>
      </c>
      <c r="B4" s="32">
        <v>-2</v>
      </c>
      <c r="C4" s="32">
        <v>-3</v>
      </c>
      <c r="D4" s="32">
        <v>-4</v>
      </c>
      <c r="E4" s="32">
        <v>-5</v>
      </c>
      <c r="F4" s="32">
        <v>-6</v>
      </c>
      <c r="H4" s="32">
        <v>-7</v>
      </c>
      <c r="I4" s="32">
        <v>-8</v>
      </c>
      <c r="J4" s="44"/>
      <c r="K4" s="32">
        <v>-9</v>
      </c>
      <c r="L4" s="32">
        <v>-10</v>
      </c>
      <c r="M4" s="32">
        <v>-11</v>
      </c>
      <c r="N4" s="32">
        <v>-12</v>
      </c>
      <c r="O4" s="44"/>
      <c r="P4" s="32">
        <v>-13</v>
      </c>
      <c r="Q4" s="32">
        <v>-14</v>
      </c>
      <c r="R4" s="32">
        <v>-15</v>
      </c>
      <c r="S4" s="32">
        <v>-16</v>
      </c>
      <c r="T4" s="44"/>
      <c r="U4" s="32">
        <v>-17</v>
      </c>
      <c r="V4" s="32">
        <v>-18</v>
      </c>
      <c r="W4" s="32">
        <v>-19</v>
      </c>
      <c r="X4" s="32">
        <v>-20</v>
      </c>
      <c r="Y4" s="32">
        <v>-21</v>
      </c>
      <c r="Z4" s="32">
        <v>-22</v>
      </c>
      <c r="AA4" s="32">
        <v>-23</v>
      </c>
      <c r="AB4" s="32"/>
      <c r="AC4" s="32"/>
    </row>
    <row r="6" spans="1:29" ht="26.4">
      <c r="B6" s="138" t="s">
        <v>157</v>
      </c>
      <c r="C6" s="138" t="s">
        <v>157</v>
      </c>
      <c r="D6" s="138" t="s">
        <v>157</v>
      </c>
      <c r="E6" s="139" t="s">
        <v>159</v>
      </c>
      <c r="F6" s="138" t="s">
        <v>157</v>
      </c>
      <c r="H6" s="138" t="s">
        <v>158</v>
      </c>
      <c r="K6" s="140" t="s">
        <v>160</v>
      </c>
      <c r="L6" s="140" t="s">
        <v>161</v>
      </c>
      <c r="M6" s="140" t="s">
        <v>162</v>
      </c>
      <c r="N6" s="140" t="s">
        <v>163</v>
      </c>
      <c r="P6" s="141" t="s">
        <v>164</v>
      </c>
      <c r="Q6" s="141" t="s">
        <v>165</v>
      </c>
      <c r="R6" s="141" t="s">
        <v>166</v>
      </c>
      <c r="S6" s="141" t="s">
        <v>167</v>
      </c>
      <c r="U6" s="138" t="s">
        <v>169</v>
      </c>
      <c r="V6" s="138" t="s">
        <v>169</v>
      </c>
      <c r="W6" s="141" t="s">
        <v>185</v>
      </c>
      <c r="X6" s="141" t="s">
        <v>170</v>
      </c>
      <c r="Y6" s="151" t="s">
        <v>171</v>
      </c>
      <c r="Z6" s="151" t="s">
        <v>172</v>
      </c>
    </row>
    <row r="8" spans="1:29">
      <c r="B8" s="44"/>
      <c r="H8" s="44"/>
      <c r="I8" s="80">
        <v>0.9</v>
      </c>
      <c r="J8" s="80"/>
      <c r="K8" s="84" t="s">
        <v>121</v>
      </c>
      <c r="L8" s="84"/>
      <c r="M8" s="53"/>
      <c r="N8" s="53"/>
      <c r="O8" s="44"/>
      <c r="P8" s="86" t="s">
        <v>130</v>
      </c>
      <c r="Q8" s="86"/>
      <c r="R8" s="53"/>
      <c r="S8" s="87"/>
      <c r="T8" s="74"/>
      <c r="U8" s="93" t="s">
        <v>173</v>
      </c>
      <c r="V8" s="93"/>
      <c r="W8" s="94"/>
      <c r="X8" s="94"/>
      <c r="Y8" s="94"/>
      <c r="Z8" s="94"/>
      <c r="AA8" s="94"/>
    </row>
    <row r="9" spans="1:29" ht="66">
      <c r="A9" s="49"/>
      <c r="B9" s="78" t="s">
        <v>187</v>
      </c>
      <c r="C9" s="78" t="s">
        <v>114</v>
      </c>
      <c r="D9" s="78" t="s">
        <v>115</v>
      </c>
      <c r="E9" s="78" t="s">
        <v>116</v>
      </c>
      <c r="F9" s="111" t="s">
        <v>113</v>
      </c>
      <c r="G9" s="78"/>
      <c r="H9" s="78" t="s">
        <v>142</v>
      </c>
      <c r="I9" s="78" t="s">
        <v>143</v>
      </c>
      <c r="J9" s="78"/>
      <c r="K9" s="78" t="s">
        <v>120</v>
      </c>
      <c r="L9" s="78" t="s">
        <v>117</v>
      </c>
      <c r="M9" s="78" t="s">
        <v>118</v>
      </c>
      <c r="N9" s="78" t="s">
        <v>119</v>
      </c>
      <c r="O9" s="78"/>
      <c r="P9" s="78" t="s">
        <v>120</v>
      </c>
      <c r="Q9" s="78" t="s">
        <v>117</v>
      </c>
      <c r="R9" s="78" t="s">
        <v>118</v>
      </c>
      <c r="S9" s="78" t="s">
        <v>119</v>
      </c>
      <c r="T9" s="78"/>
      <c r="U9" s="78" t="s">
        <v>122</v>
      </c>
      <c r="V9" s="78" t="s">
        <v>112</v>
      </c>
      <c r="W9" s="111" t="s">
        <v>121</v>
      </c>
      <c r="X9" s="111" t="s">
        <v>123</v>
      </c>
      <c r="Y9" s="78" t="s">
        <v>126</v>
      </c>
      <c r="Z9" s="78" t="s">
        <v>127</v>
      </c>
      <c r="AA9" s="78" t="s">
        <v>124</v>
      </c>
    </row>
    <row r="10" spans="1:29">
      <c r="A10" s="49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129">
        <v>975</v>
      </c>
      <c r="M10" s="130">
        <v>1050</v>
      </c>
      <c r="N10" s="130">
        <v>1125</v>
      </c>
      <c r="O10" s="83"/>
      <c r="R10" s="78"/>
      <c r="S10" s="78"/>
      <c r="T10" s="78"/>
      <c r="U10" s="95"/>
      <c r="X10" s="49"/>
      <c r="Y10" s="49"/>
      <c r="Z10" s="49"/>
      <c r="AA10" s="49"/>
    </row>
    <row r="11" spans="1:29">
      <c r="A11" s="49" t="s">
        <v>0</v>
      </c>
      <c r="B11" s="79">
        <f>'Data+Rates'!Q11</f>
        <v>3567</v>
      </c>
      <c r="C11" s="74">
        <f>'Data+Rates'!K11</f>
        <v>765.34</v>
      </c>
      <c r="D11" s="74">
        <f>'Data+Rates'!P11</f>
        <v>1035.9024211711712</v>
      </c>
      <c r="E11" s="74">
        <f>F11/B11</f>
        <v>1034.7646481637232</v>
      </c>
      <c r="F11" s="74">
        <f>'Data+Rates'!R11+'Data+Rates'!S11</f>
        <v>3691005.5000000005</v>
      </c>
      <c r="G11" s="74"/>
      <c r="H11" s="74">
        <v>1083.6199999999999</v>
      </c>
      <c r="I11" s="74">
        <f>H11*$I$8</f>
        <v>975.25799999999992</v>
      </c>
      <c r="J11" s="74"/>
      <c r="K11" s="74">
        <f>I11*B11</f>
        <v>3478745.2859999998</v>
      </c>
      <c r="L11" s="74">
        <f>$L$10*B11</f>
        <v>3477825</v>
      </c>
      <c r="M11" s="74">
        <f>$M$10*$B11</f>
        <v>3745350</v>
      </c>
      <c r="N11" s="74">
        <f>$N$10*$B11</f>
        <v>4012875</v>
      </c>
      <c r="O11" s="74"/>
      <c r="P11" s="88">
        <f>K11-F11</f>
        <v>-212260.21400000062</v>
      </c>
      <c r="Q11" s="131">
        <f>L11-F11</f>
        <v>-213180.50000000047</v>
      </c>
      <c r="R11" s="142">
        <f>M11-$F11</f>
        <v>54344.499999999534</v>
      </c>
      <c r="S11" s="85">
        <f>N11-$F11</f>
        <v>321869.49999999953</v>
      </c>
      <c r="T11" s="85"/>
      <c r="U11" s="96">
        <v>2</v>
      </c>
      <c r="V11" s="85">
        <f>IF(U11=1,$L$10,(IF(U11=2,$M$10,$N$10)))</f>
        <v>1050</v>
      </c>
      <c r="W11" s="85">
        <f t="shared" ref="W11:W33" si="0">V11*B11</f>
        <v>3745350</v>
      </c>
      <c r="X11" s="85">
        <f>W11-$F11</f>
        <v>54344.499999999534</v>
      </c>
      <c r="Y11" s="92">
        <f>(W11-$F11)/$F11</f>
        <v>1.4723494722508413E-2</v>
      </c>
      <c r="Z11" s="45">
        <f>W11/($H11*$B11)</f>
        <v>0.96897436370683465</v>
      </c>
      <c r="AA11" s="97" t="str">
        <f>IF(Y11&lt;0,(IF(Z11&lt;1,"x","ok")),"ok")</f>
        <v>ok</v>
      </c>
      <c r="AB11" s="50" t="s">
        <v>86</v>
      </c>
      <c r="AC11" s="102"/>
    </row>
    <row r="12" spans="1:29">
      <c r="A12" s="49" t="s">
        <v>1</v>
      </c>
      <c r="B12" s="79">
        <f>'Data+Rates'!Q12</f>
        <v>1369</v>
      </c>
      <c r="C12" s="74">
        <f>'Data+Rates'!K12</f>
        <v>721.54</v>
      </c>
      <c r="D12" s="74">
        <f>'Data+Rates'!P12</f>
        <v>951.22349665924276</v>
      </c>
      <c r="E12" s="74">
        <f t="shared" ref="E12:E34" si="1">F12/B12</f>
        <v>947.53245434623807</v>
      </c>
      <c r="F12" s="74">
        <f>'Data+Rates'!R12+'Data+Rates'!S12</f>
        <v>1297171.93</v>
      </c>
      <c r="G12" s="74"/>
      <c r="H12" s="74">
        <v>1097.58</v>
      </c>
      <c r="I12" s="74">
        <f t="shared" ref="I12:I34" si="2">H12*$I$8</f>
        <v>987.822</v>
      </c>
      <c r="J12" s="74"/>
      <c r="K12" s="74">
        <f t="shared" ref="K12:K33" si="3">I12*B12</f>
        <v>1352328.318</v>
      </c>
      <c r="L12" s="74">
        <f t="shared" ref="L12:L33" si="4">$L$10*B12</f>
        <v>1334775</v>
      </c>
      <c r="M12" s="74">
        <f t="shared" ref="M12:M33" si="5">$M$10*$B12</f>
        <v>1437450</v>
      </c>
      <c r="N12" s="74">
        <f t="shared" ref="N12:N33" si="6">$N$10*$B12</f>
        <v>1540125</v>
      </c>
      <c r="O12" s="74"/>
      <c r="P12" s="131">
        <f t="shared" ref="P12:P34" si="7">K12-F12</f>
        <v>55156.388000000035</v>
      </c>
      <c r="Q12" s="143">
        <f t="shared" ref="Q12:Q33" si="8">L12-F12</f>
        <v>37603.070000000065</v>
      </c>
      <c r="R12" s="85">
        <f t="shared" ref="R12:R33" si="9">M12-$F12</f>
        <v>140278.07000000007</v>
      </c>
      <c r="S12" s="85">
        <f t="shared" ref="S12:S33" si="10">N12-$F12</f>
        <v>242953.07000000007</v>
      </c>
      <c r="T12" s="85"/>
      <c r="U12" s="96">
        <v>1</v>
      </c>
      <c r="V12" s="85">
        <f t="shared" ref="V12:V33" si="11">IF(U12=1,$L$10,(IF(U12=2,$M$10,$N$10)))</f>
        <v>975</v>
      </c>
      <c r="W12" s="85">
        <f t="shared" si="0"/>
        <v>1334775</v>
      </c>
      <c r="X12" s="85">
        <f t="shared" ref="X12:X34" si="12">W12-$F12</f>
        <v>37603.070000000065</v>
      </c>
      <c r="Y12" s="92">
        <f t="shared" ref="Y12:Y34" si="13">(W12-$F12)/$F12</f>
        <v>2.898850116190848E-2</v>
      </c>
      <c r="Z12" s="45">
        <f t="shared" ref="Z12:Z34" si="14">W12/($H12*$B12)</f>
        <v>0.88831793582244589</v>
      </c>
      <c r="AA12" s="97" t="str">
        <f>IF(Y12&lt;0,(IF(Z12&lt;1,"x","ok")),"ok")</f>
        <v>ok</v>
      </c>
      <c r="AB12" s="50" t="s">
        <v>87</v>
      </c>
      <c r="AC12" s="102"/>
    </row>
    <row r="13" spans="1:29">
      <c r="A13" s="49" t="s">
        <v>2</v>
      </c>
      <c r="B13" s="79">
        <f>'Data+Rates'!Q13</f>
        <v>1852</v>
      </c>
      <c r="C13" s="74">
        <f>'Data+Rates'!K13</f>
        <v>742.18</v>
      </c>
      <c r="D13" s="74">
        <f>'Data+Rates'!P13</f>
        <v>874.21927031509119</v>
      </c>
      <c r="E13" s="74">
        <f t="shared" si="1"/>
        <v>871.1535637149027</v>
      </c>
      <c r="F13" s="74">
        <f>'Data+Rates'!R13+'Data+Rates'!S13</f>
        <v>1613376.4</v>
      </c>
      <c r="G13" s="74"/>
      <c r="H13" s="74">
        <v>1129.4000000000001</v>
      </c>
      <c r="I13" s="74">
        <f t="shared" si="2"/>
        <v>1016.4600000000002</v>
      </c>
      <c r="J13" s="74"/>
      <c r="K13" s="74">
        <f t="shared" si="3"/>
        <v>1882483.9200000004</v>
      </c>
      <c r="L13" s="74">
        <f t="shared" si="4"/>
        <v>1805700</v>
      </c>
      <c r="M13" s="74">
        <f t="shared" si="5"/>
        <v>1944600</v>
      </c>
      <c r="N13" s="74">
        <f t="shared" si="6"/>
        <v>2083500</v>
      </c>
      <c r="O13" s="74"/>
      <c r="P13" s="131">
        <f t="shared" si="7"/>
        <v>269107.52000000048</v>
      </c>
      <c r="Q13" s="143">
        <f t="shared" si="8"/>
        <v>192323.60000000009</v>
      </c>
      <c r="R13" s="85">
        <f t="shared" si="9"/>
        <v>331223.60000000009</v>
      </c>
      <c r="S13" s="85">
        <f t="shared" si="10"/>
        <v>470123.60000000009</v>
      </c>
      <c r="T13" s="85"/>
      <c r="U13" s="96">
        <v>1</v>
      </c>
      <c r="V13" s="85">
        <f t="shared" si="11"/>
        <v>975</v>
      </c>
      <c r="W13" s="85">
        <f t="shared" si="0"/>
        <v>1805700</v>
      </c>
      <c r="X13" s="85">
        <f t="shared" si="12"/>
        <v>192323.60000000009</v>
      </c>
      <c r="Y13" s="92">
        <f>(W13-$F13)/$F13</f>
        <v>0.11920566087368087</v>
      </c>
      <c r="Z13" s="45">
        <f t="shared" si="14"/>
        <v>0.86329024260669374</v>
      </c>
      <c r="AA13" s="97" t="str">
        <f t="shared" ref="AA13:AA34" si="15">IF(Y13&lt;0,(IF(Z13&lt;1,"x","ok")),"ok")</f>
        <v>ok</v>
      </c>
      <c r="AB13" s="50" t="s">
        <v>88</v>
      </c>
      <c r="AC13" s="102"/>
    </row>
    <row r="14" spans="1:29">
      <c r="A14" s="49" t="s">
        <v>3</v>
      </c>
      <c r="B14" s="79">
        <f>'Data+Rates'!Q14</f>
        <v>1723</v>
      </c>
      <c r="C14" s="74">
        <f>'Data+Rates'!K14</f>
        <v>623.79999999999995</v>
      </c>
      <c r="D14" s="74">
        <f>'Data+Rates'!P14</f>
        <v>1004.8461121267519</v>
      </c>
      <c r="E14" s="74">
        <f t="shared" si="1"/>
        <v>986.71159024956478</v>
      </c>
      <c r="F14" s="74">
        <f>'Data+Rates'!R14+'Data+Rates'!S14</f>
        <v>1700104.07</v>
      </c>
      <c r="G14" s="74"/>
      <c r="H14" s="74">
        <v>1263.71</v>
      </c>
      <c r="I14" s="74">
        <f t="shared" si="2"/>
        <v>1137.3390000000002</v>
      </c>
      <c r="J14" s="74"/>
      <c r="K14" s="74">
        <f t="shared" si="3"/>
        <v>1959635.0970000003</v>
      </c>
      <c r="L14" s="74">
        <f t="shared" si="4"/>
        <v>1679925</v>
      </c>
      <c r="M14" s="74">
        <f t="shared" si="5"/>
        <v>1809150</v>
      </c>
      <c r="N14" s="74">
        <f t="shared" si="6"/>
        <v>1938375</v>
      </c>
      <c r="O14" s="74"/>
      <c r="P14" s="131">
        <f t="shared" si="7"/>
        <v>259531.02700000023</v>
      </c>
      <c r="Q14" s="143">
        <f t="shared" si="8"/>
        <v>-20179.070000000065</v>
      </c>
      <c r="R14" s="85">
        <f t="shared" si="9"/>
        <v>109045.92999999993</v>
      </c>
      <c r="S14" s="85">
        <f t="shared" si="10"/>
        <v>238270.92999999993</v>
      </c>
      <c r="T14" s="85"/>
      <c r="U14" s="109">
        <v>2</v>
      </c>
      <c r="V14" s="85">
        <f t="shared" si="11"/>
        <v>1050</v>
      </c>
      <c r="W14" s="85">
        <f t="shared" si="0"/>
        <v>1809150</v>
      </c>
      <c r="X14" s="85">
        <f t="shared" si="12"/>
        <v>109045.92999999993</v>
      </c>
      <c r="Y14" s="92">
        <f t="shared" si="13"/>
        <v>6.4140738160811492E-2</v>
      </c>
      <c r="Z14" s="45">
        <f t="shared" si="14"/>
        <v>0.83088683321331636</v>
      </c>
      <c r="AA14" s="97" t="str">
        <f t="shared" si="15"/>
        <v>ok</v>
      </c>
      <c r="AB14" s="50" t="s">
        <v>89</v>
      </c>
      <c r="AC14" s="102"/>
    </row>
    <row r="15" spans="1:29">
      <c r="A15" s="50" t="s">
        <v>21</v>
      </c>
      <c r="B15" s="79">
        <f>'Data+Rates'!Q15</f>
        <v>872</v>
      </c>
      <c r="C15" s="74">
        <f>'Data+Rates'!K15</f>
        <v>728.08</v>
      </c>
      <c r="D15" s="74">
        <f>'Data+Rates'!P15</f>
        <v>741.71254060324827</v>
      </c>
      <c r="E15" s="74">
        <f t="shared" si="1"/>
        <v>741.55620412844041</v>
      </c>
      <c r="F15" s="74">
        <f>'Data+Rates'!R15+'Data+Rates'!S15</f>
        <v>646637.01</v>
      </c>
      <c r="G15" s="74"/>
      <c r="H15" s="74">
        <v>1092.3900000000001</v>
      </c>
      <c r="I15" s="74">
        <f t="shared" si="2"/>
        <v>983.15100000000007</v>
      </c>
      <c r="J15" s="74"/>
      <c r="K15" s="74">
        <f t="shared" si="3"/>
        <v>857307.67200000002</v>
      </c>
      <c r="L15" s="74">
        <f t="shared" si="4"/>
        <v>850200</v>
      </c>
      <c r="M15" s="74">
        <f t="shared" si="5"/>
        <v>915600</v>
      </c>
      <c r="N15" s="74">
        <f t="shared" si="6"/>
        <v>981000</v>
      </c>
      <c r="O15" s="74"/>
      <c r="P15" s="131">
        <f t="shared" si="7"/>
        <v>210670.66200000001</v>
      </c>
      <c r="Q15" s="143">
        <f t="shared" si="8"/>
        <v>203562.99</v>
      </c>
      <c r="R15" s="85">
        <f t="shared" si="9"/>
        <v>268962.99</v>
      </c>
      <c r="S15" s="85">
        <f t="shared" si="10"/>
        <v>334362.99</v>
      </c>
      <c r="T15" s="85"/>
      <c r="U15" s="108">
        <v>1</v>
      </c>
      <c r="V15" s="85">
        <f t="shared" si="11"/>
        <v>975</v>
      </c>
      <c r="W15" s="85">
        <f t="shared" si="0"/>
        <v>850200</v>
      </c>
      <c r="X15" s="85">
        <f t="shared" si="12"/>
        <v>203562.99</v>
      </c>
      <c r="Y15" s="92">
        <f t="shared" si="13"/>
        <v>0.31480256597128581</v>
      </c>
      <c r="Z15" s="45">
        <f t="shared" si="14"/>
        <v>0.89253837915030343</v>
      </c>
      <c r="AA15" s="97" t="str">
        <f t="shared" si="15"/>
        <v>ok</v>
      </c>
      <c r="AB15" s="50" t="s">
        <v>90</v>
      </c>
      <c r="AC15" s="102"/>
    </row>
    <row r="16" spans="1:29">
      <c r="A16" s="49" t="s">
        <v>4</v>
      </c>
      <c r="B16" s="79">
        <f>'Data+Rates'!Q16</f>
        <v>14796</v>
      </c>
      <c r="C16" s="74">
        <f>'Data+Rates'!K16</f>
        <v>854.66</v>
      </c>
      <c r="D16" s="74">
        <f>'Data+Rates'!P16</f>
        <v>1081.4288624128499</v>
      </c>
      <c r="E16" s="74">
        <f t="shared" si="1"/>
        <v>1028.3230156799136</v>
      </c>
      <c r="F16" s="74">
        <f>'Data+Rates'!R16+'Data+Rates'!S16</f>
        <v>15215067.340000002</v>
      </c>
      <c r="G16" s="74"/>
      <c r="H16" s="74">
        <v>1013.16</v>
      </c>
      <c r="I16" s="74">
        <f t="shared" si="2"/>
        <v>911.84399999999994</v>
      </c>
      <c r="J16" s="74"/>
      <c r="K16" s="74">
        <f t="shared" si="3"/>
        <v>13491643.823999999</v>
      </c>
      <c r="L16" s="74">
        <f t="shared" si="4"/>
        <v>14426100</v>
      </c>
      <c r="M16" s="74">
        <f t="shared" si="5"/>
        <v>15535800</v>
      </c>
      <c r="N16" s="74">
        <f t="shared" si="6"/>
        <v>16645500</v>
      </c>
      <c r="O16" s="74"/>
      <c r="P16" s="131">
        <f t="shared" si="7"/>
        <v>-1723423.5160000026</v>
      </c>
      <c r="Q16" s="143">
        <f t="shared" si="8"/>
        <v>-788967.34000000171</v>
      </c>
      <c r="R16" s="85">
        <f t="shared" si="9"/>
        <v>320732.65999999829</v>
      </c>
      <c r="S16" s="85">
        <f>N16-$F16</f>
        <v>1430432.6599999983</v>
      </c>
      <c r="T16" s="85"/>
      <c r="U16" s="109">
        <v>2</v>
      </c>
      <c r="V16" s="147">
        <f t="shared" si="11"/>
        <v>1050</v>
      </c>
      <c r="W16" s="147">
        <f t="shared" si="0"/>
        <v>15535800</v>
      </c>
      <c r="X16" s="147">
        <f t="shared" si="12"/>
        <v>320732.65999999829</v>
      </c>
      <c r="Y16" s="148">
        <f t="shared" si="13"/>
        <v>2.1079936935724287E-2</v>
      </c>
      <c r="Z16" s="149">
        <f t="shared" si="14"/>
        <v>1.0363614828852303</v>
      </c>
      <c r="AA16" s="150" t="str">
        <f t="shared" si="15"/>
        <v>ok</v>
      </c>
      <c r="AB16" s="50" t="s">
        <v>91</v>
      </c>
      <c r="AC16" s="102"/>
    </row>
    <row r="17" spans="1:29">
      <c r="A17" s="50" t="s">
        <v>29</v>
      </c>
      <c r="B17" s="79">
        <f>'Data+Rates'!Q17</f>
        <v>1935</v>
      </c>
      <c r="C17" s="74">
        <f>'Data+Rates'!K17</f>
        <v>776.29</v>
      </c>
      <c r="D17" s="74">
        <f>'Data+Rates'!P17</f>
        <v>1812.5736006207967</v>
      </c>
      <c r="E17" s="74">
        <f t="shared" si="1"/>
        <v>1811.5025064599483</v>
      </c>
      <c r="F17" s="74">
        <f>'Data+Rates'!R17+'Data+Rates'!S17</f>
        <v>3505257.35</v>
      </c>
      <c r="G17" s="74"/>
      <c r="H17" s="74">
        <v>1830.49</v>
      </c>
      <c r="I17" s="74">
        <f t="shared" si="2"/>
        <v>1647.441</v>
      </c>
      <c r="J17" s="74"/>
      <c r="K17" s="74">
        <f t="shared" si="3"/>
        <v>3187798.335</v>
      </c>
      <c r="L17" s="74">
        <f t="shared" si="4"/>
        <v>1886625</v>
      </c>
      <c r="M17" s="74">
        <f t="shared" si="5"/>
        <v>2031750</v>
      </c>
      <c r="N17" s="74">
        <f t="shared" si="6"/>
        <v>2176875</v>
      </c>
      <c r="O17" s="74"/>
      <c r="P17" s="131">
        <f t="shared" si="7"/>
        <v>-317459.01500000013</v>
      </c>
      <c r="Q17" s="131">
        <f t="shared" si="8"/>
        <v>-1618632.35</v>
      </c>
      <c r="R17" s="85">
        <f t="shared" si="9"/>
        <v>-1473507.35</v>
      </c>
      <c r="S17" s="142">
        <f t="shared" si="10"/>
        <v>-1328382.3500000001</v>
      </c>
      <c r="T17" s="85"/>
      <c r="U17" s="96">
        <v>3</v>
      </c>
      <c r="V17" s="85">
        <f t="shared" si="11"/>
        <v>1125</v>
      </c>
      <c r="W17" s="85">
        <f t="shared" si="0"/>
        <v>2176875</v>
      </c>
      <c r="X17" s="85">
        <f t="shared" si="12"/>
        <v>-1328382.3500000001</v>
      </c>
      <c r="Y17" s="92">
        <f t="shared" si="13"/>
        <v>-0.37896856560332154</v>
      </c>
      <c r="Z17" s="45">
        <f t="shared" si="14"/>
        <v>0.61458953613513323</v>
      </c>
      <c r="AA17" s="97" t="str">
        <f t="shared" si="15"/>
        <v>x</v>
      </c>
      <c r="AB17" s="98" t="s">
        <v>93</v>
      </c>
      <c r="AC17" s="102" t="s">
        <v>168</v>
      </c>
    </row>
    <row r="18" spans="1:29">
      <c r="A18" s="49" t="s">
        <v>5</v>
      </c>
      <c r="B18" s="79">
        <f>'Data+Rates'!Q18</f>
        <v>965</v>
      </c>
      <c r="C18" s="74">
        <f>'Data+Rates'!K18</f>
        <v>766.01</v>
      </c>
      <c r="D18" s="74">
        <f>'Data+Rates'!P18</f>
        <v>587.22255252100842</v>
      </c>
      <c r="E18" s="74">
        <f t="shared" si="1"/>
        <v>589.63108808290156</v>
      </c>
      <c r="F18" s="74">
        <f>'Data+Rates'!R18+'Data+Rates'!S18</f>
        <v>568994</v>
      </c>
      <c r="G18" s="74"/>
      <c r="H18" s="74">
        <v>1603</v>
      </c>
      <c r="I18" s="74">
        <f t="shared" si="2"/>
        <v>1442.7</v>
      </c>
      <c r="J18" s="74"/>
      <c r="K18" s="74">
        <f t="shared" si="3"/>
        <v>1392205.5</v>
      </c>
      <c r="L18" s="74">
        <f t="shared" si="4"/>
        <v>940875</v>
      </c>
      <c r="M18" s="74">
        <f t="shared" si="5"/>
        <v>1013250</v>
      </c>
      <c r="N18" s="74">
        <f t="shared" si="6"/>
        <v>1085625</v>
      </c>
      <c r="O18" s="74"/>
      <c r="P18" s="131">
        <f t="shared" si="7"/>
        <v>823211.5</v>
      </c>
      <c r="Q18" s="143">
        <f t="shared" si="8"/>
        <v>371881</v>
      </c>
      <c r="R18" s="85">
        <f t="shared" si="9"/>
        <v>444256</v>
      </c>
      <c r="S18" s="85">
        <f t="shared" si="10"/>
        <v>516631</v>
      </c>
      <c r="T18" s="85"/>
      <c r="U18" s="96">
        <v>1</v>
      </c>
      <c r="V18" s="85">
        <f t="shared" si="11"/>
        <v>975</v>
      </c>
      <c r="W18" s="85">
        <f t="shared" si="0"/>
        <v>940875</v>
      </c>
      <c r="X18" s="85">
        <f t="shared" si="12"/>
        <v>371881</v>
      </c>
      <c r="Y18" s="92">
        <f t="shared" si="13"/>
        <v>0.65357631187675091</v>
      </c>
      <c r="Z18" s="45">
        <f t="shared" si="14"/>
        <v>0.60823456019962574</v>
      </c>
      <c r="AA18" s="97" t="str">
        <f t="shared" si="15"/>
        <v>ok</v>
      </c>
      <c r="AB18" s="50" t="s">
        <v>92</v>
      </c>
      <c r="AC18" s="102"/>
    </row>
    <row r="19" spans="1:29">
      <c r="A19" s="49" t="s">
        <v>6</v>
      </c>
      <c r="B19" s="79">
        <f>'Data+Rates'!Q19</f>
        <v>2352</v>
      </c>
      <c r="C19" s="74">
        <f>'Data+Rates'!K19</f>
        <v>697.32</v>
      </c>
      <c r="D19" s="74">
        <f>'Data+Rates'!P19</f>
        <v>752.44922611327274</v>
      </c>
      <c r="E19" s="74">
        <f t="shared" si="1"/>
        <v>751.53509353741492</v>
      </c>
      <c r="F19" s="74">
        <f>'Data+Rates'!R19+'Data+Rates'!S19</f>
        <v>1767610.5399999998</v>
      </c>
      <c r="G19" s="74"/>
      <c r="H19" s="74">
        <v>1692.05</v>
      </c>
      <c r="I19" s="74">
        <f t="shared" si="2"/>
        <v>1522.845</v>
      </c>
      <c r="J19" s="74"/>
      <c r="K19" s="74">
        <f t="shared" si="3"/>
        <v>3581731.44</v>
      </c>
      <c r="L19" s="74">
        <f t="shared" si="4"/>
        <v>2293200</v>
      </c>
      <c r="M19" s="74">
        <f t="shared" si="5"/>
        <v>2469600</v>
      </c>
      <c r="N19" s="74">
        <f t="shared" si="6"/>
        <v>2646000</v>
      </c>
      <c r="O19" s="74"/>
      <c r="P19" s="131">
        <f t="shared" si="7"/>
        <v>1814120.9000000001</v>
      </c>
      <c r="Q19" s="143">
        <f t="shared" si="8"/>
        <v>525589.4600000002</v>
      </c>
      <c r="R19" s="85">
        <f t="shared" si="9"/>
        <v>701989.4600000002</v>
      </c>
      <c r="S19" s="85">
        <f t="shared" si="10"/>
        <v>878389.4600000002</v>
      </c>
      <c r="T19" s="85"/>
      <c r="U19" s="96">
        <v>1</v>
      </c>
      <c r="V19" s="85">
        <f t="shared" si="11"/>
        <v>975</v>
      </c>
      <c r="W19" s="85">
        <f t="shared" si="0"/>
        <v>2293200</v>
      </c>
      <c r="X19" s="85">
        <f t="shared" si="12"/>
        <v>525589.4600000002</v>
      </c>
      <c r="Y19" s="92">
        <f t="shared" si="13"/>
        <v>0.29734460623888354</v>
      </c>
      <c r="Z19" s="45">
        <f t="shared" si="14"/>
        <v>0.57622410685263437</v>
      </c>
      <c r="AA19" s="97" t="str">
        <f t="shared" si="15"/>
        <v>ok</v>
      </c>
      <c r="AB19" s="50" t="s">
        <v>94</v>
      </c>
      <c r="AC19" s="102"/>
    </row>
    <row r="20" spans="1:29">
      <c r="A20" s="49" t="s">
        <v>7</v>
      </c>
      <c r="B20" s="79">
        <f>'Data+Rates'!Q20</f>
        <v>4184</v>
      </c>
      <c r="C20" s="74">
        <f>'Data+Rates'!K20</f>
        <v>722.69</v>
      </c>
      <c r="D20" s="74">
        <f>'Data+Rates'!P20</f>
        <v>1009.4542415229031</v>
      </c>
      <c r="E20" s="74">
        <f t="shared" si="1"/>
        <v>953.11576003824098</v>
      </c>
      <c r="F20" s="74">
        <f>'Data+Rates'!R20+'Data+Rates'!S20</f>
        <v>3987836.3400000003</v>
      </c>
      <c r="G20" s="74"/>
      <c r="H20" s="74">
        <v>1024.3499999999999</v>
      </c>
      <c r="I20" s="74">
        <f t="shared" si="2"/>
        <v>921.91499999999996</v>
      </c>
      <c r="J20" s="74"/>
      <c r="K20" s="74">
        <f t="shared" si="3"/>
        <v>3857292.36</v>
      </c>
      <c r="L20" s="74">
        <f t="shared" si="4"/>
        <v>4079400</v>
      </c>
      <c r="M20" s="74">
        <f t="shared" si="5"/>
        <v>4393200</v>
      </c>
      <c r="N20" s="74">
        <f t="shared" si="6"/>
        <v>4707000</v>
      </c>
      <c r="O20" s="74"/>
      <c r="P20" s="131">
        <f t="shared" si="7"/>
        <v>-130543.98000000045</v>
      </c>
      <c r="Q20" s="143">
        <f t="shared" si="8"/>
        <v>91563.659999999683</v>
      </c>
      <c r="R20" s="85">
        <f t="shared" si="9"/>
        <v>405363.65999999968</v>
      </c>
      <c r="S20" s="85">
        <f t="shared" si="10"/>
        <v>719163.65999999968</v>
      </c>
      <c r="T20" s="85"/>
      <c r="U20" s="96">
        <v>1</v>
      </c>
      <c r="V20" s="85">
        <f t="shared" si="11"/>
        <v>975</v>
      </c>
      <c r="W20" s="85">
        <f t="shared" si="0"/>
        <v>4079400</v>
      </c>
      <c r="X20" s="85">
        <f t="shared" si="12"/>
        <v>91563.659999999683</v>
      </c>
      <c r="Y20" s="92">
        <f t="shared" si="13"/>
        <v>2.2960736648485348E-2</v>
      </c>
      <c r="Z20" s="45">
        <f t="shared" si="14"/>
        <v>0.95182310733635977</v>
      </c>
      <c r="AA20" s="97" t="str">
        <f t="shared" si="15"/>
        <v>ok</v>
      </c>
      <c r="AB20" s="50" t="s">
        <v>95</v>
      </c>
      <c r="AC20" s="102"/>
    </row>
    <row r="21" spans="1:29">
      <c r="A21" s="49" t="s">
        <v>8</v>
      </c>
      <c r="B21" s="79">
        <f>'Data+Rates'!Q21</f>
        <v>2172</v>
      </c>
      <c r="C21" s="74">
        <f>'Data+Rates'!K21</f>
        <v>776.67</v>
      </c>
      <c r="D21" s="74">
        <f>'Data+Rates'!P21</f>
        <v>1059.4283988894031</v>
      </c>
      <c r="E21" s="74">
        <f t="shared" si="1"/>
        <v>1057.9963812154697</v>
      </c>
      <c r="F21" s="74">
        <f>'Data+Rates'!R21+'Data+Rates'!S21</f>
        <v>2297968.14</v>
      </c>
      <c r="G21" s="74"/>
      <c r="H21" s="74">
        <v>1166.8599999999999</v>
      </c>
      <c r="I21" s="74">
        <f t="shared" si="2"/>
        <v>1050.174</v>
      </c>
      <c r="J21" s="74"/>
      <c r="K21" s="74">
        <f t="shared" si="3"/>
        <v>2280977.9279999998</v>
      </c>
      <c r="L21" s="74">
        <f t="shared" si="4"/>
        <v>2117700</v>
      </c>
      <c r="M21" s="74">
        <f t="shared" si="5"/>
        <v>2280600</v>
      </c>
      <c r="N21" s="74">
        <f t="shared" si="6"/>
        <v>2443500</v>
      </c>
      <c r="O21" s="74"/>
      <c r="P21" s="131">
        <f t="shared" si="7"/>
        <v>-16990.212000000291</v>
      </c>
      <c r="Q21" s="131">
        <f t="shared" si="8"/>
        <v>-180268.14000000013</v>
      </c>
      <c r="R21" s="142">
        <f t="shared" si="9"/>
        <v>-17368.14000000013</v>
      </c>
      <c r="S21" s="85">
        <f t="shared" si="10"/>
        <v>145531.85999999987</v>
      </c>
      <c r="T21" s="85"/>
      <c r="U21" s="109">
        <v>3</v>
      </c>
      <c r="V21" s="85">
        <f t="shared" si="11"/>
        <v>1125</v>
      </c>
      <c r="W21" s="85">
        <f t="shared" si="0"/>
        <v>2443500</v>
      </c>
      <c r="X21" s="85">
        <f t="shared" si="12"/>
        <v>145531.85999999987</v>
      </c>
      <c r="Y21" s="92">
        <f t="shared" si="13"/>
        <v>6.3330669153663657E-2</v>
      </c>
      <c r="Z21" s="45">
        <f t="shared" si="14"/>
        <v>0.96412594484342595</v>
      </c>
      <c r="AA21" s="97" t="str">
        <f t="shared" si="15"/>
        <v>ok</v>
      </c>
      <c r="AB21" s="50" t="s">
        <v>96</v>
      </c>
      <c r="AC21" s="102"/>
    </row>
    <row r="22" spans="1:29">
      <c r="A22" s="49" t="s">
        <v>9</v>
      </c>
      <c r="B22" s="79">
        <f>'Data+Rates'!Q22</f>
        <v>993</v>
      </c>
      <c r="C22" s="74">
        <f>'Data+Rates'!K22</f>
        <v>827.74</v>
      </c>
      <c r="D22" s="74">
        <f>'Data+Rates'!P22</f>
        <v>727.93009100101108</v>
      </c>
      <c r="E22" s="74">
        <f t="shared" si="1"/>
        <v>728.33214501510565</v>
      </c>
      <c r="F22" s="74">
        <f>'Data+Rates'!R22+'Data+Rates'!S22</f>
        <v>723233.82</v>
      </c>
      <c r="G22" s="74"/>
      <c r="H22" s="74">
        <v>2178.85</v>
      </c>
      <c r="I22" s="74">
        <f t="shared" si="2"/>
        <v>1960.9649999999999</v>
      </c>
      <c r="J22" s="74"/>
      <c r="K22" s="74">
        <f t="shared" si="3"/>
        <v>1947238.2449999999</v>
      </c>
      <c r="L22" s="74">
        <f t="shared" si="4"/>
        <v>968175</v>
      </c>
      <c r="M22" s="74">
        <f t="shared" si="5"/>
        <v>1042650</v>
      </c>
      <c r="N22" s="74">
        <f t="shared" si="6"/>
        <v>1117125</v>
      </c>
      <c r="O22" s="74"/>
      <c r="P22" s="131">
        <f t="shared" si="7"/>
        <v>1224004.4249999998</v>
      </c>
      <c r="Q22" s="143">
        <f t="shared" si="8"/>
        <v>244941.18000000005</v>
      </c>
      <c r="R22" s="85">
        <f t="shared" si="9"/>
        <v>319416.18000000005</v>
      </c>
      <c r="S22" s="85">
        <f t="shared" si="10"/>
        <v>393891.18000000005</v>
      </c>
      <c r="T22" s="85"/>
      <c r="U22" s="96">
        <v>1</v>
      </c>
      <c r="V22" s="85">
        <f t="shared" si="11"/>
        <v>975</v>
      </c>
      <c r="W22" s="85">
        <f t="shared" si="0"/>
        <v>968175</v>
      </c>
      <c r="X22" s="85">
        <f t="shared" si="12"/>
        <v>244941.18000000005</v>
      </c>
      <c r="Y22" s="92">
        <f t="shared" si="13"/>
        <v>0.33867495300482503</v>
      </c>
      <c r="Z22" s="45">
        <f t="shared" si="14"/>
        <v>0.44748376437111326</v>
      </c>
      <c r="AA22" s="97" t="str">
        <f t="shared" si="15"/>
        <v>ok</v>
      </c>
      <c r="AB22" s="50" t="s">
        <v>97</v>
      </c>
      <c r="AC22" s="102"/>
    </row>
    <row r="23" spans="1:29">
      <c r="A23" s="49" t="s">
        <v>10</v>
      </c>
      <c r="B23" s="79">
        <f>'Data+Rates'!Q23</f>
        <v>754</v>
      </c>
      <c r="C23" s="74">
        <f>'Data+Rates'!K23</f>
        <v>785.51</v>
      </c>
      <c r="D23" s="74">
        <f>'Data+Rates'!P23</f>
        <v>1224.822804377565</v>
      </c>
      <c r="E23" s="74">
        <f t="shared" si="1"/>
        <v>1211.4220159151193</v>
      </c>
      <c r="F23" s="74">
        <f>'Data+Rates'!R23+'Data+Rates'!S23</f>
        <v>913412.20000000007</v>
      </c>
      <c r="G23" s="74"/>
      <c r="H23" s="74">
        <v>2563.13</v>
      </c>
      <c r="I23" s="74">
        <f t="shared" si="2"/>
        <v>2306.817</v>
      </c>
      <c r="J23" s="74"/>
      <c r="K23" s="74">
        <f t="shared" si="3"/>
        <v>1739340.0179999999</v>
      </c>
      <c r="L23" s="74">
        <f t="shared" si="4"/>
        <v>735150</v>
      </c>
      <c r="M23" s="74">
        <f t="shared" si="5"/>
        <v>791700</v>
      </c>
      <c r="N23" s="74">
        <f t="shared" si="6"/>
        <v>848250</v>
      </c>
      <c r="O23" s="74"/>
      <c r="P23" s="131">
        <f t="shared" si="7"/>
        <v>825927.81799999985</v>
      </c>
      <c r="Q23" s="131">
        <f t="shared" si="8"/>
        <v>-178262.20000000007</v>
      </c>
      <c r="R23" s="85">
        <f t="shared" si="9"/>
        <v>-121712.20000000007</v>
      </c>
      <c r="S23" s="142">
        <f t="shared" si="10"/>
        <v>-65162.20000000007</v>
      </c>
      <c r="T23" s="85"/>
      <c r="U23" s="96">
        <v>3</v>
      </c>
      <c r="V23" s="85">
        <f t="shared" si="11"/>
        <v>1125</v>
      </c>
      <c r="W23" s="85">
        <f t="shared" si="0"/>
        <v>848250</v>
      </c>
      <c r="X23" s="85">
        <f t="shared" si="12"/>
        <v>-65162.20000000007</v>
      </c>
      <c r="Y23" s="92">
        <f t="shared" si="13"/>
        <v>-7.1339314276730778E-2</v>
      </c>
      <c r="Z23" s="45">
        <f t="shared" si="14"/>
        <v>0.43891648102125136</v>
      </c>
      <c r="AA23" s="97" t="str">
        <f t="shared" si="15"/>
        <v>x</v>
      </c>
      <c r="AB23" s="98" t="s">
        <v>98</v>
      </c>
      <c r="AC23" s="102" t="s">
        <v>168</v>
      </c>
    </row>
    <row r="24" spans="1:29">
      <c r="A24" s="50" t="s">
        <v>144</v>
      </c>
      <c r="B24" s="79">
        <f>'Data+Rates'!Q24</f>
        <v>0</v>
      </c>
      <c r="C24" s="74">
        <f>'Data+Rates'!K24</f>
        <v>0</v>
      </c>
      <c r="D24" s="74">
        <f>'Data+Rates'!P24</f>
        <v>0</v>
      </c>
      <c r="E24" s="74">
        <v>0</v>
      </c>
      <c r="F24" s="74">
        <f>'Data+Rates'!R24+'Data+Rates'!S24</f>
        <v>0</v>
      </c>
      <c r="G24" s="74"/>
      <c r="H24" s="74">
        <v>1207.6500000000001</v>
      </c>
      <c r="I24" s="74">
        <f t="shared" si="2"/>
        <v>1086.8850000000002</v>
      </c>
      <c r="J24" s="74"/>
      <c r="K24" s="74">
        <f t="shared" si="3"/>
        <v>0</v>
      </c>
      <c r="L24" s="74">
        <f t="shared" si="4"/>
        <v>0</v>
      </c>
      <c r="M24" s="74">
        <f t="shared" si="5"/>
        <v>0</v>
      </c>
      <c r="N24" s="74">
        <f t="shared" si="6"/>
        <v>0</v>
      </c>
      <c r="O24" s="74"/>
      <c r="P24" s="131">
        <f t="shared" si="7"/>
        <v>0</v>
      </c>
      <c r="Q24" s="131">
        <f t="shared" si="8"/>
        <v>0</v>
      </c>
      <c r="R24" s="85">
        <f t="shared" si="9"/>
        <v>0</v>
      </c>
      <c r="S24" s="85">
        <f t="shared" si="10"/>
        <v>0</v>
      </c>
      <c r="T24" s="85"/>
      <c r="U24" s="96">
        <v>1</v>
      </c>
      <c r="V24" s="85">
        <f t="shared" si="11"/>
        <v>975</v>
      </c>
      <c r="W24" s="85">
        <f t="shared" si="0"/>
        <v>0</v>
      </c>
      <c r="X24" s="85">
        <f t="shared" si="12"/>
        <v>0</v>
      </c>
      <c r="Y24" s="92"/>
      <c r="Z24" s="45"/>
      <c r="AA24" s="97"/>
      <c r="AB24" s="50" t="s">
        <v>99</v>
      </c>
      <c r="AC24" s="102"/>
    </row>
    <row r="25" spans="1:29">
      <c r="A25" s="49" t="s">
        <v>11</v>
      </c>
      <c r="B25" s="79">
        <f>'Data+Rates'!Q25</f>
        <v>6833</v>
      </c>
      <c r="C25" s="74">
        <f>'Data+Rates'!K25</f>
        <v>718.33</v>
      </c>
      <c r="D25" s="74">
        <f>'Data+Rates'!P25</f>
        <v>1055.5132893674293</v>
      </c>
      <c r="E25" s="74">
        <f t="shared" si="1"/>
        <v>901.65151617152048</v>
      </c>
      <c r="F25" s="74">
        <f>'Data+Rates'!R25+'Data+Rates'!S25</f>
        <v>6160984.8099999996</v>
      </c>
      <c r="G25" s="74"/>
      <c r="H25" s="74">
        <v>1199.48</v>
      </c>
      <c r="I25" s="74">
        <f t="shared" si="2"/>
        <v>1079.5320000000002</v>
      </c>
      <c r="J25" s="74"/>
      <c r="K25" s="74">
        <f t="shared" si="3"/>
        <v>7376442.1560000014</v>
      </c>
      <c r="L25" s="74">
        <f t="shared" si="4"/>
        <v>6662175</v>
      </c>
      <c r="M25" s="74">
        <f t="shared" si="5"/>
        <v>7174650</v>
      </c>
      <c r="N25" s="74">
        <f t="shared" si="6"/>
        <v>7687125</v>
      </c>
      <c r="O25" s="74"/>
      <c r="P25" s="131">
        <f t="shared" si="7"/>
        <v>1215457.3460000018</v>
      </c>
      <c r="Q25" s="143">
        <f t="shared" si="8"/>
        <v>501190.19000000041</v>
      </c>
      <c r="R25" s="85">
        <f t="shared" si="9"/>
        <v>1013665.1900000004</v>
      </c>
      <c r="S25" s="85">
        <f t="shared" si="10"/>
        <v>1526140.1900000004</v>
      </c>
      <c r="T25" s="85"/>
      <c r="U25" s="96">
        <v>1</v>
      </c>
      <c r="V25" s="85">
        <f t="shared" si="11"/>
        <v>975</v>
      </c>
      <c r="W25" s="85">
        <f t="shared" si="0"/>
        <v>6662175</v>
      </c>
      <c r="X25" s="85">
        <f t="shared" si="12"/>
        <v>501190.19000000041</v>
      </c>
      <c r="Y25" s="92">
        <f t="shared" si="13"/>
        <v>8.1349038417772121E-2</v>
      </c>
      <c r="Z25" s="45">
        <f t="shared" si="14"/>
        <v>0.81285223596891987</v>
      </c>
      <c r="AA25" s="97" t="str">
        <f t="shared" si="15"/>
        <v>ok</v>
      </c>
      <c r="AB25" s="50" t="s">
        <v>100</v>
      </c>
      <c r="AC25" s="102"/>
    </row>
    <row r="26" spans="1:29">
      <c r="A26" s="49" t="s">
        <v>12</v>
      </c>
      <c r="B26" s="79">
        <f>'Data+Rates'!Q26</f>
        <v>1471</v>
      </c>
      <c r="C26" s="74">
        <f>'Data+Rates'!K26</f>
        <v>664.74</v>
      </c>
      <c r="D26" s="74">
        <f>'Data+Rates'!P26</f>
        <v>976.87936899862825</v>
      </c>
      <c r="E26" s="74">
        <f t="shared" si="1"/>
        <v>974.12082936777699</v>
      </c>
      <c r="F26" s="74">
        <f>'Data+Rates'!R26+'Data+Rates'!S26</f>
        <v>1432931.74</v>
      </c>
      <c r="G26" s="74"/>
      <c r="H26" s="74">
        <v>1124.52</v>
      </c>
      <c r="I26" s="74">
        <f t="shared" si="2"/>
        <v>1012.068</v>
      </c>
      <c r="J26" s="74"/>
      <c r="K26" s="74">
        <f t="shared" si="3"/>
        <v>1488752.0279999999</v>
      </c>
      <c r="L26" s="74">
        <f t="shared" si="4"/>
        <v>1434225</v>
      </c>
      <c r="M26" s="74">
        <f t="shared" si="5"/>
        <v>1544550</v>
      </c>
      <c r="N26" s="74">
        <f t="shared" si="6"/>
        <v>1654875</v>
      </c>
      <c r="O26" s="74"/>
      <c r="P26" s="131">
        <f t="shared" si="7"/>
        <v>55820.287999999942</v>
      </c>
      <c r="Q26" s="143">
        <f t="shared" si="8"/>
        <v>1293.2600000000093</v>
      </c>
      <c r="R26" s="85">
        <f t="shared" si="9"/>
        <v>111618.26000000001</v>
      </c>
      <c r="S26" s="85">
        <f t="shared" si="10"/>
        <v>221943.26</v>
      </c>
      <c r="T26" s="85"/>
      <c r="U26" s="96">
        <v>1</v>
      </c>
      <c r="V26" s="85">
        <f t="shared" si="11"/>
        <v>975</v>
      </c>
      <c r="W26" s="85">
        <f t="shared" si="0"/>
        <v>1434225</v>
      </c>
      <c r="X26" s="85">
        <f t="shared" si="12"/>
        <v>1293.2600000000093</v>
      </c>
      <c r="Y26" s="92">
        <f t="shared" si="13"/>
        <v>9.0252728996009909E-4</v>
      </c>
      <c r="Z26" s="45">
        <f t="shared" si="14"/>
        <v>0.8670366022836411</v>
      </c>
      <c r="AA26" s="97" t="str">
        <f t="shared" si="15"/>
        <v>ok</v>
      </c>
      <c r="AB26" s="50" t="s">
        <v>101</v>
      </c>
      <c r="AC26" s="102"/>
    </row>
    <row r="27" spans="1:29">
      <c r="A27" s="49" t="s">
        <v>13</v>
      </c>
      <c r="B27" s="79">
        <f>'Data+Rates'!Q27</f>
        <v>11429</v>
      </c>
      <c r="C27" s="74">
        <f>'Data+Rates'!K27</f>
        <v>822.52</v>
      </c>
      <c r="D27" s="74">
        <f>'Data+Rates'!P27</f>
        <v>800.61232584130141</v>
      </c>
      <c r="E27" s="74">
        <f t="shared" si="1"/>
        <v>807.08361011462068</v>
      </c>
      <c r="F27" s="74">
        <f>'Data+Rates'!R27+'Data+Rates'!S27</f>
        <v>9224158.5800000001</v>
      </c>
      <c r="G27" s="74"/>
      <c r="H27" s="74">
        <v>735.05</v>
      </c>
      <c r="I27" s="74">
        <f t="shared" si="2"/>
        <v>661.54499999999996</v>
      </c>
      <c r="J27" s="74"/>
      <c r="K27" s="74">
        <f t="shared" si="3"/>
        <v>7560797.8049999997</v>
      </c>
      <c r="L27" s="74">
        <f t="shared" si="4"/>
        <v>11143275</v>
      </c>
      <c r="M27" s="74">
        <f t="shared" si="5"/>
        <v>12000450</v>
      </c>
      <c r="N27" s="74">
        <f t="shared" si="6"/>
        <v>12857625</v>
      </c>
      <c r="O27" s="74"/>
      <c r="P27" s="131">
        <f t="shared" si="7"/>
        <v>-1663360.7750000004</v>
      </c>
      <c r="Q27" s="143">
        <f t="shared" si="8"/>
        <v>1919116.42</v>
      </c>
      <c r="R27" s="85">
        <f t="shared" si="9"/>
        <v>2776291.42</v>
      </c>
      <c r="S27" s="85">
        <f t="shared" si="10"/>
        <v>3633466.42</v>
      </c>
      <c r="T27" s="85"/>
      <c r="U27" s="96">
        <v>1</v>
      </c>
      <c r="V27" s="147">
        <f t="shared" si="11"/>
        <v>975</v>
      </c>
      <c r="W27" s="147">
        <f t="shared" si="0"/>
        <v>11143275</v>
      </c>
      <c r="X27" s="147">
        <f t="shared" si="12"/>
        <v>1919116.42</v>
      </c>
      <c r="Y27" s="148">
        <f t="shared" si="13"/>
        <v>0.20805327698518383</v>
      </c>
      <c r="Z27" s="149">
        <f t="shared" si="14"/>
        <v>1.3264403782055643</v>
      </c>
      <c r="AA27" s="97" t="str">
        <f t="shared" si="15"/>
        <v>ok</v>
      </c>
      <c r="AB27" s="50" t="s">
        <v>102</v>
      </c>
      <c r="AC27" s="102" t="s">
        <v>128</v>
      </c>
    </row>
    <row r="28" spans="1:29">
      <c r="A28" s="49" t="s">
        <v>14</v>
      </c>
      <c r="B28" s="79">
        <f>'Data+Rates'!Q28</f>
        <v>1444</v>
      </c>
      <c r="C28" s="74">
        <f>'Data+Rates'!K28</f>
        <v>781.03</v>
      </c>
      <c r="D28" s="74">
        <f>'Data+Rates'!P28</f>
        <v>1140.3669758948138</v>
      </c>
      <c r="E28" s="74">
        <f t="shared" si="1"/>
        <v>1121.7033518005542</v>
      </c>
      <c r="F28" s="74">
        <f>'Data+Rates'!R28+'Data+Rates'!S28</f>
        <v>1619739.6400000001</v>
      </c>
      <c r="G28" s="74"/>
      <c r="H28" s="74">
        <v>1528.18</v>
      </c>
      <c r="I28" s="74">
        <f t="shared" si="2"/>
        <v>1375.3620000000001</v>
      </c>
      <c r="J28" s="74"/>
      <c r="K28" s="74">
        <f t="shared" si="3"/>
        <v>1986022.7280000001</v>
      </c>
      <c r="L28" s="74">
        <f t="shared" si="4"/>
        <v>1407900</v>
      </c>
      <c r="M28" s="74">
        <f t="shared" si="5"/>
        <v>1516200</v>
      </c>
      <c r="N28" s="74">
        <f t="shared" si="6"/>
        <v>1624500</v>
      </c>
      <c r="O28" s="74"/>
      <c r="P28" s="131">
        <f t="shared" si="7"/>
        <v>366283.08799999999</v>
      </c>
      <c r="Q28" s="131">
        <f t="shared" si="8"/>
        <v>-211839.64000000013</v>
      </c>
      <c r="R28" s="85">
        <f t="shared" si="9"/>
        <v>-103539.64000000013</v>
      </c>
      <c r="S28" s="142">
        <f t="shared" si="10"/>
        <v>4760.3599999998696</v>
      </c>
      <c r="T28" s="85"/>
      <c r="U28" s="96">
        <v>3</v>
      </c>
      <c r="V28" s="85">
        <f t="shared" si="11"/>
        <v>1125</v>
      </c>
      <c r="W28" s="85">
        <f t="shared" si="0"/>
        <v>1624500</v>
      </c>
      <c r="X28" s="85">
        <f t="shared" si="12"/>
        <v>4760.3599999998696</v>
      </c>
      <c r="Y28" s="92">
        <f t="shared" si="13"/>
        <v>2.938966166191913E-3</v>
      </c>
      <c r="Z28" s="45">
        <f t="shared" si="14"/>
        <v>0.73616982292661859</v>
      </c>
      <c r="AA28" s="97" t="str">
        <f t="shared" si="15"/>
        <v>ok</v>
      </c>
      <c r="AB28" s="50" t="s">
        <v>103</v>
      </c>
      <c r="AC28" s="102"/>
    </row>
    <row r="29" spans="1:29">
      <c r="A29" s="49" t="s">
        <v>15</v>
      </c>
      <c r="B29" s="79">
        <f>'Data+Rates'!Q29</f>
        <v>968</v>
      </c>
      <c r="C29" s="74">
        <f>'Data+Rates'!K29</f>
        <v>752.45</v>
      </c>
      <c r="D29" s="74">
        <f>'Data+Rates'!P29</f>
        <v>1104.1514438502675</v>
      </c>
      <c r="E29" s="74">
        <f t="shared" si="1"/>
        <v>1092.1616219008267</v>
      </c>
      <c r="F29" s="74">
        <f>'Data+Rates'!R29+'Data+Rates'!S29</f>
        <v>1057212.4500000002</v>
      </c>
      <c r="G29" s="74"/>
      <c r="H29" s="74">
        <v>1327.36</v>
      </c>
      <c r="I29" s="74">
        <f t="shared" si="2"/>
        <v>1194.624</v>
      </c>
      <c r="J29" s="74"/>
      <c r="K29" s="74">
        <f t="shared" si="3"/>
        <v>1156396.0320000001</v>
      </c>
      <c r="L29" s="74">
        <f t="shared" si="4"/>
        <v>943800</v>
      </c>
      <c r="M29" s="74">
        <f t="shared" si="5"/>
        <v>1016400</v>
      </c>
      <c r="N29" s="74">
        <f t="shared" si="6"/>
        <v>1089000</v>
      </c>
      <c r="O29" s="74"/>
      <c r="P29" s="131">
        <f t="shared" si="7"/>
        <v>99183.581999999937</v>
      </c>
      <c r="Q29" s="131">
        <f t="shared" si="8"/>
        <v>-113412.45000000019</v>
      </c>
      <c r="R29" s="85">
        <f t="shared" si="9"/>
        <v>-40812.450000000186</v>
      </c>
      <c r="S29" s="142">
        <f t="shared" si="10"/>
        <v>31787.549999999814</v>
      </c>
      <c r="T29" s="85"/>
      <c r="U29" s="96">
        <v>3</v>
      </c>
      <c r="V29" s="85">
        <f t="shared" si="11"/>
        <v>1125</v>
      </c>
      <c r="W29" s="85">
        <f t="shared" si="0"/>
        <v>1089000</v>
      </c>
      <c r="X29" s="85">
        <f t="shared" si="12"/>
        <v>31787.549999999814</v>
      </c>
      <c r="Y29" s="92">
        <f t="shared" si="13"/>
        <v>3.0067324689564343E-2</v>
      </c>
      <c r="Z29" s="45">
        <f t="shared" si="14"/>
        <v>0.84754701060752169</v>
      </c>
      <c r="AA29" s="97" t="str">
        <f t="shared" si="15"/>
        <v>ok</v>
      </c>
      <c r="AB29" s="50" t="s">
        <v>104</v>
      </c>
      <c r="AC29" s="102"/>
    </row>
    <row r="30" spans="1:29">
      <c r="A30" s="49" t="s">
        <v>105</v>
      </c>
      <c r="B30" s="79">
        <f>'Data+Rates'!Q30</f>
        <v>3082</v>
      </c>
      <c r="C30" s="74">
        <f>'Data+Rates'!K30</f>
        <v>735.41</v>
      </c>
      <c r="D30" s="74">
        <f>'Data+Rates'!P30</f>
        <v>694.06372477671198</v>
      </c>
      <c r="E30" s="74">
        <f t="shared" si="1"/>
        <v>694.85523361453602</v>
      </c>
      <c r="F30" s="74">
        <f>'Data+Rates'!R30+'Data+Rates'!S30</f>
        <v>2141543.83</v>
      </c>
      <c r="G30" s="74"/>
      <c r="H30" s="74">
        <v>966.08</v>
      </c>
      <c r="I30" s="74">
        <f t="shared" si="2"/>
        <v>869.47200000000009</v>
      </c>
      <c r="J30" s="74"/>
      <c r="K30" s="74">
        <f t="shared" si="3"/>
        <v>2679712.7040000004</v>
      </c>
      <c r="L30" s="74">
        <f t="shared" si="4"/>
        <v>3004950</v>
      </c>
      <c r="M30" s="74">
        <f t="shared" si="5"/>
        <v>3236100</v>
      </c>
      <c r="N30" s="74">
        <f t="shared" si="6"/>
        <v>3467250</v>
      </c>
      <c r="O30" s="74"/>
      <c r="P30" s="131">
        <f t="shared" si="7"/>
        <v>538168.8740000003</v>
      </c>
      <c r="Q30" s="143">
        <f t="shared" si="8"/>
        <v>863406.16999999993</v>
      </c>
      <c r="R30" s="85">
        <f t="shared" si="9"/>
        <v>1094556.17</v>
      </c>
      <c r="S30" s="85">
        <f t="shared" si="10"/>
        <v>1325706.17</v>
      </c>
      <c r="T30" s="85"/>
      <c r="U30" s="96">
        <v>1</v>
      </c>
      <c r="V30" s="85">
        <f t="shared" si="11"/>
        <v>975</v>
      </c>
      <c r="W30" s="85">
        <f t="shared" si="0"/>
        <v>3004950</v>
      </c>
      <c r="X30" s="85">
        <f t="shared" si="12"/>
        <v>863406.16999999993</v>
      </c>
      <c r="Y30" s="92">
        <f t="shared" si="13"/>
        <v>0.40316997387814374</v>
      </c>
      <c r="Z30" s="45">
        <f t="shared" si="14"/>
        <v>1.0092331897979463</v>
      </c>
      <c r="AA30" s="97" t="str">
        <f t="shared" si="15"/>
        <v>ok</v>
      </c>
      <c r="AB30" s="49" t="s">
        <v>105</v>
      </c>
      <c r="AC30" s="102"/>
    </row>
    <row r="31" spans="1:29">
      <c r="A31" s="49" t="s">
        <v>16</v>
      </c>
      <c r="B31" s="79">
        <f>'Data+Rates'!Q31</f>
        <v>1911</v>
      </c>
      <c r="C31" s="74">
        <f>'Data+Rates'!K31</f>
        <v>677.78</v>
      </c>
      <c r="D31" s="74">
        <f>'Data+Rates'!P31</f>
        <v>760.15670021186429</v>
      </c>
      <c r="E31" s="74">
        <f t="shared" si="1"/>
        <v>759.16524856096271</v>
      </c>
      <c r="F31" s="74">
        <f>'Data+Rates'!R31+'Data+Rates'!S31</f>
        <v>1450764.7899999998</v>
      </c>
      <c r="G31" s="74"/>
      <c r="H31" s="74">
        <v>1194.4100000000001</v>
      </c>
      <c r="I31" s="74">
        <f t="shared" si="2"/>
        <v>1074.9690000000001</v>
      </c>
      <c r="J31" s="74"/>
      <c r="K31" s="74">
        <f t="shared" si="3"/>
        <v>2054265.7590000001</v>
      </c>
      <c r="L31" s="74">
        <f t="shared" si="4"/>
        <v>1863225</v>
      </c>
      <c r="M31" s="74">
        <f t="shared" si="5"/>
        <v>2006550</v>
      </c>
      <c r="N31" s="74">
        <f t="shared" si="6"/>
        <v>2149875</v>
      </c>
      <c r="O31" s="74"/>
      <c r="P31" s="131">
        <f t="shared" si="7"/>
        <v>603500.96900000027</v>
      </c>
      <c r="Q31" s="143">
        <f t="shared" si="8"/>
        <v>412460.2100000002</v>
      </c>
      <c r="R31" s="85">
        <f t="shared" si="9"/>
        <v>555785.2100000002</v>
      </c>
      <c r="S31" s="85">
        <f t="shared" si="10"/>
        <v>699110.2100000002</v>
      </c>
      <c r="T31" s="85"/>
      <c r="U31" s="96">
        <v>1</v>
      </c>
      <c r="V31" s="85">
        <f t="shared" si="11"/>
        <v>975</v>
      </c>
      <c r="W31" s="85">
        <f t="shared" si="0"/>
        <v>1863225</v>
      </c>
      <c r="X31" s="85">
        <f t="shared" si="12"/>
        <v>412460.2100000002</v>
      </c>
      <c r="Y31" s="92">
        <f t="shared" si="13"/>
        <v>0.28430536282866381</v>
      </c>
      <c r="Z31" s="45">
        <f t="shared" si="14"/>
        <v>0.81630260965665047</v>
      </c>
      <c r="AA31" s="97" t="str">
        <f t="shared" si="15"/>
        <v>ok</v>
      </c>
      <c r="AB31" s="50" t="s">
        <v>106</v>
      </c>
      <c r="AC31" s="102"/>
    </row>
    <row r="32" spans="1:29">
      <c r="A32" s="49" t="s">
        <v>17</v>
      </c>
      <c r="B32" s="79">
        <f>'Data+Rates'!Q32</f>
        <v>4376</v>
      </c>
      <c r="C32" s="74">
        <f>'Data+Rates'!K32</f>
        <v>831.38</v>
      </c>
      <c r="D32" s="74">
        <f>'Data+Rates'!P32</f>
        <v>897.55041076880377</v>
      </c>
      <c r="E32" s="74">
        <f t="shared" si="1"/>
        <v>885.86171617915909</v>
      </c>
      <c r="F32" s="74">
        <f>'Data+Rates'!R32+'Data+Rates'!S32</f>
        <v>3876530.87</v>
      </c>
      <c r="G32" s="74"/>
      <c r="H32" s="74">
        <v>1154.01</v>
      </c>
      <c r="I32" s="74">
        <f t="shared" si="2"/>
        <v>1038.6089999999999</v>
      </c>
      <c r="J32" s="74"/>
      <c r="K32" s="74">
        <f t="shared" si="3"/>
        <v>4544952.9839999992</v>
      </c>
      <c r="L32" s="74">
        <f t="shared" si="4"/>
        <v>4266600</v>
      </c>
      <c r="M32" s="74">
        <f t="shared" si="5"/>
        <v>4594800</v>
      </c>
      <c r="N32" s="74">
        <f t="shared" si="6"/>
        <v>4923000</v>
      </c>
      <c r="O32" s="74"/>
      <c r="P32" s="131">
        <f t="shared" si="7"/>
        <v>668422.11399999913</v>
      </c>
      <c r="Q32" s="143">
        <f t="shared" si="8"/>
        <v>390069.12999999989</v>
      </c>
      <c r="R32" s="85">
        <f t="shared" si="9"/>
        <v>718269.12999999989</v>
      </c>
      <c r="S32" s="85">
        <f t="shared" si="10"/>
        <v>1046469.1299999999</v>
      </c>
      <c r="T32" s="85"/>
      <c r="U32" s="96">
        <v>1</v>
      </c>
      <c r="V32" s="85">
        <f t="shared" si="11"/>
        <v>975</v>
      </c>
      <c r="W32" s="85">
        <f t="shared" si="0"/>
        <v>4266600</v>
      </c>
      <c r="X32" s="85">
        <f t="shared" si="12"/>
        <v>390069.12999999989</v>
      </c>
      <c r="Y32" s="92">
        <f t="shared" si="13"/>
        <v>0.10062324874508219</v>
      </c>
      <c r="Z32" s="45">
        <f t="shared" si="14"/>
        <v>0.84488002703616094</v>
      </c>
      <c r="AA32" s="97" t="str">
        <f t="shared" si="15"/>
        <v>ok</v>
      </c>
      <c r="AB32" s="50" t="s">
        <v>107</v>
      </c>
      <c r="AC32" s="75"/>
    </row>
    <row r="33" spans="1:29" s="82" customFormat="1">
      <c r="A33" s="76" t="s">
        <v>74</v>
      </c>
      <c r="B33" s="81">
        <f>'Data+Rates'!Q33</f>
        <v>21112</v>
      </c>
      <c r="C33" s="77">
        <f>'Data+Rates'!K33</f>
        <v>906.06</v>
      </c>
      <c r="D33" s="77">
        <f>'Data+Rates'!P33</f>
        <v>1045.8865764860479</v>
      </c>
      <c r="E33" s="77">
        <f t="shared" si="1"/>
        <v>991.74285430087161</v>
      </c>
      <c r="F33" s="77">
        <f>'Data+Rates'!R33+'Data+Rates'!S33</f>
        <v>20937675.140000001</v>
      </c>
      <c r="G33" s="77"/>
      <c r="H33" s="77">
        <v>1339.44</v>
      </c>
      <c r="I33" s="77">
        <f t="shared" si="2"/>
        <v>1205.4960000000001</v>
      </c>
      <c r="J33" s="74"/>
      <c r="K33" s="77">
        <f t="shared" si="3"/>
        <v>25450431.552000001</v>
      </c>
      <c r="L33" s="77">
        <f t="shared" si="4"/>
        <v>20584200</v>
      </c>
      <c r="M33" s="77">
        <f t="shared" si="5"/>
        <v>22167600</v>
      </c>
      <c r="N33" s="77">
        <f t="shared" si="6"/>
        <v>23751000</v>
      </c>
      <c r="O33" s="74"/>
      <c r="P33" s="89">
        <f t="shared" si="7"/>
        <v>4512756.4120000005</v>
      </c>
      <c r="Q33" s="144">
        <f t="shared" si="8"/>
        <v>-353475.1400000006</v>
      </c>
      <c r="R33" s="90">
        <f t="shared" si="9"/>
        <v>1229924.8599999994</v>
      </c>
      <c r="S33" s="90">
        <f t="shared" si="10"/>
        <v>2813324.8599999994</v>
      </c>
      <c r="T33" s="90"/>
      <c r="U33" s="115">
        <v>2</v>
      </c>
      <c r="V33" s="90">
        <f t="shared" si="11"/>
        <v>1050</v>
      </c>
      <c r="W33" s="90">
        <f t="shared" si="0"/>
        <v>22167600</v>
      </c>
      <c r="X33" s="90">
        <f t="shared" si="12"/>
        <v>1229924.8599999994</v>
      </c>
      <c r="Y33" s="99">
        <f t="shared" si="13"/>
        <v>5.8742188508327353E-2</v>
      </c>
      <c r="Z33" s="100">
        <f t="shared" si="14"/>
        <v>0.78390969360329688</v>
      </c>
      <c r="AA33" s="101" t="str">
        <f t="shared" si="15"/>
        <v>ok</v>
      </c>
      <c r="AB33" s="76" t="s">
        <v>74</v>
      </c>
      <c r="AC33" s="103"/>
    </row>
    <row r="34" spans="1:29">
      <c r="A34" s="75" t="s">
        <v>18</v>
      </c>
      <c r="B34" s="79">
        <f>SUM(B11:B33)</f>
        <v>90160</v>
      </c>
      <c r="C34" s="74">
        <f>'Data+Rates'!K34</f>
        <v>839.72474747474746</v>
      </c>
      <c r="D34" s="74">
        <f>'Data+Rates'!P34</f>
        <v>984.36532345206115</v>
      </c>
      <c r="E34" s="74">
        <f t="shared" si="1"/>
        <v>951.9655777506656</v>
      </c>
      <c r="F34" s="110">
        <f>'Data+Rates'!R34+'Data+Rates'!S34</f>
        <v>85829216.49000001</v>
      </c>
      <c r="G34" s="74"/>
      <c r="H34" s="74">
        <f>SUMPRODUCT($B11:$B33,H11:H33)/$B34</f>
        <v>1174.5354147071876</v>
      </c>
      <c r="I34" s="74">
        <f t="shared" si="2"/>
        <v>1057.0818732364689</v>
      </c>
      <c r="J34" s="74"/>
      <c r="K34" s="48">
        <f>SUM(K11:K33)</f>
        <v>95306501.691000015</v>
      </c>
      <c r="L34" s="48">
        <f>SUM(L11:L33)</f>
        <v>87906000</v>
      </c>
      <c r="M34" s="48">
        <f t="shared" ref="M34:N34" si="16">SUM(M11:M33)</f>
        <v>94668000</v>
      </c>
      <c r="N34" s="48">
        <f t="shared" si="16"/>
        <v>101430000</v>
      </c>
      <c r="P34" s="48">
        <f t="shared" si="7"/>
        <v>9477285.201000005</v>
      </c>
      <c r="Q34" s="91">
        <f>SUM(Q11:Q33)</f>
        <v>2076783.5099999965</v>
      </c>
      <c r="R34" s="91">
        <f t="shared" ref="R34:S34" si="17">SUM(R11:R33)</f>
        <v>8838783.5099999979</v>
      </c>
      <c r="S34" s="91">
        <f t="shared" si="17"/>
        <v>15600783.509999998</v>
      </c>
      <c r="U34" s="96"/>
      <c r="V34" s="152"/>
      <c r="W34" s="112">
        <f>SUM(W11:W33)</f>
        <v>92086800</v>
      </c>
      <c r="X34" s="113">
        <f t="shared" si="12"/>
        <v>6257583.5099999905</v>
      </c>
      <c r="Y34" s="92">
        <f t="shared" si="13"/>
        <v>7.2907382426461553E-2</v>
      </c>
      <c r="Z34" s="45">
        <f t="shared" si="14"/>
        <v>0.86959565747890988</v>
      </c>
      <c r="AA34" s="97" t="str">
        <f t="shared" si="15"/>
        <v>ok</v>
      </c>
    </row>
    <row r="36" spans="1:29" ht="12.75" customHeight="1">
      <c r="U36" s="44"/>
      <c r="V36" s="114"/>
      <c r="W36" s="114"/>
      <c r="X36" s="114"/>
      <c r="Y36" s="114"/>
      <c r="Z36" s="114"/>
      <c r="AA36" s="114"/>
    </row>
    <row r="37" spans="1:29">
      <c r="A37" s="153" t="s">
        <v>157</v>
      </c>
      <c r="B37" s="137" t="s">
        <v>156</v>
      </c>
      <c r="U37" s="75" t="s">
        <v>169</v>
      </c>
      <c r="Z37" s="49"/>
      <c r="AA37" s="49"/>
    </row>
    <row r="38" spans="1:29">
      <c r="A38" s="154"/>
      <c r="U38" s="75"/>
      <c r="Z38" s="49"/>
      <c r="AA38" s="49"/>
    </row>
    <row r="39" spans="1:29">
      <c r="A39" s="153" t="s">
        <v>158</v>
      </c>
      <c r="B39" s="137" t="s">
        <v>183</v>
      </c>
      <c r="U39" s="159" t="s">
        <v>125</v>
      </c>
      <c r="V39" s="160"/>
      <c r="W39" s="160"/>
      <c r="X39" s="160"/>
      <c r="Y39" s="160"/>
      <c r="Z39" s="160"/>
      <c r="AA39" s="160"/>
    </row>
    <row r="40" spans="1:29">
      <c r="U40" s="160"/>
      <c r="V40" s="160"/>
      <c r="W40" s="160"/>
      <c r="X40" s="160"/>
      <c r="Y40" s="160"/>
      <c r="Z40" s="160"/>
      <c r="AA40" s="160"/>
    </row>
    <row r="41" spans="1:29">
      <c r="V41" s="107"/>
      <c r="W41" s="107"/>
      <c r="X41" s="107"/>
      <c r="Y41" s="107"/>
      <c r="Z41" s="107"/>
      <c r="AA41" s="107"/>
    </row>
    <row r="42" spans="1:29" ht="61.5" customHeight="1">
      <c r="U42" s="161" t="s">
        <v>186</v>
      </c>
      <c r="V42" s="161"/>
      <c r="W42" s="161"/>
      <c r="X42" s="161"/>
      <c r="Y42" s="161"/>
      <c r="Z42" s="161"/>
      <c r="AA42" s="145"/>
      <c r="AB42" s="146"/>
    </row>
    <row r="43" spans="1:29">
      <c r="AA43" s="145"/>
      <c r="AB43" s="146"/>
    </row>
    <row r="44" spans="1:29">
      <c r="AA44" s="145"/>
      <c r="AB44" s="146"/>
    </row>
    <row r="45" spans="1:29">
      <c r="AA45" s="146"/>
      <c r="AB45" s="146"/>
    </row>
  </sheetData>
  <mergeCells count="2">
    <mergeCell ref="U39:AA40"/>
    <mergeCell ref="U42:Z42"/>
  </mergeCells>
  <printOptions headings="1" gridLines="1"/>
  <pageMargins left="0.2" right="0.2" top="0.75" bottom="0.75" header="0.3" footer="0.3"/>
  <pageSetup scale="71" fitToWidth="2" orientation="landscape" r:id="rId1"/>
  <headerFooter>
    <oddFooter>&amp;L&amp;Z&amp;F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view="pageBreakPreview" zoomScaleNormal="98" zoomScaleSheetLayoutView="100" workbookViewId="0">
      <pane xSplit="1" ySplit="10" topLeftCell="E11" activePane="bottomRight" state="frozen"/>
      <selection activeCell="A47" sqref="A1:AC47"/>
      <selection pane="topRight" activeCell="A47" sqref="A1:AC47"/>
      <selection pane="bottomLeft" activeCell="A47" sqref="A1:AC47"/>
      <selection pane="bottomRight" activeCell="G11" sqref="G11"/>
    </sheetView>
  </sheetViews>
  <sheetFormatPr defaultRowHeight="13.2"/>
  <cols>
    <col min="1" max="1" width="13.6640625" customWidth="1"/>
    <col min="2" max="2" width="10.33203125" bestFit="1" customWidth="1"/>
    <col min="3" max="3" width="10.5546875" customWidth="1"/>
    <col min="4" max="4" width="7.33203125" bestFit="1" customWidth="1"/>
    <col min="5" max="5" width="6.44140625" bestFit="1" customWidth="1"/>
    <col min="6" max="6" width="9.5546875" customWidth="1"/>
    <col min="7" max="7" width="10.109375" customWidth="1"/>
    <col min="8" max="8" width="8.88671875" bestFit="1" customWidth="1"/>
    <col min="9" max="9" width="10.33203125" bestFit="1" customWidth="1"/>
    <col min="10" max="10" width="6" customWidth="1"/>
    <col min="11" max="11" width="9.33203125" bestFit="1" customWidth="1"/>
    <col min="12" max="12" width="9.33203125" customWidth="1"/>
    <col min="13" max="13" width="10.109375" bestFit="1" customWidth="1"/>
    <col min="14" max="14" width="7.5546875" bestFit="1" customWidth="1"/>
    <col min="15" max="15" width="9.109375" bestFit="1" customWidth="1"/>
    <col min="16" max="16" width="11.5546875" customWidth="1"/>
    <col min="17" max="17" width="10.88671875" bestFit="1" customWidth="1"/>
    <col min="18" max="18" width="11.6640625" bestFit="1" customWidth="1"/>
    <col min="19" max="19" width="11.44140625" bestFit="1" customWidth="1"/>
    <col min="20" max="20" width="3.33203125" customWidth="1"/>
    <col min="21" max="21" width="12.88671875" hidden="1" customWidth="1"/>
    <col min="22" max="22" width="11.6640625" bestFit="1" customWidth="1"/>
    <col min="23" max="23" width="12.6640625" bestFit="1" customWidth="1"/>
    <col min="24" max="26" width="12.6640625" customWidth="1"/>
    <col min="27" max="27" width="10.33203125" customWidth="1"/>
  </cols>
  <sheetData>
    <row r="1" spans="1:27" ht="12.75" customHeight="1">
      <c r="A1" s="38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32"/>
      <c r="S1" s="32"/>
      <c r="T1" s="3"/>
      <c r="U1" s="58"/>
      <c r="V1" s="58"/>
      <c r="W1" s="58"/>
      <c r="X1" s="58"/>
      <c r="Y1" s="58"/>
      <c r="Z1" s="58"/>
      <c r="AA1" s="58"/>
    </row>
    <row r="2" spans="1:27" ht="12.75" customHeight="1">
      <c r="A2" s="3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32"/>
      <c r="S2" s="32"/>
      <c r="T2" s="3"/>
      <c r="U2" s="58"/>
      <c r="V2" s="58"/>
      <c r="W2" s="58"/>
      <c r="X2" s="58"/>
      <c r="Y2" s="58"/>
      <c r="Z2" s="58"/>
      <c r="AA2" s="58"/>
    </row>
    <row r="3" spans="1:27" ht="12.75" customHeight="1">
      <c r="A3" s="32">
        <v>-1</v>
      </c>
      <c r="B3" s="32">
        <v>-2</v>
      </c>
      <c r="C3" s="32">
        <v>-3</v>
      </c>
      <c r="D3" s="32">
        <v>-4</v>
      </c>
      <c r="E3" s="32">
        <v>-5</v>
      </c>
      <c r="F3" s="32">
        <v>-6</v>
      </c>
      <c r="G3" s="32">
        <v>-7</v>
      </c>
      <c r="H3" s="32">
        <v>-8</v>
      </c>
      <c r="I3" s="32">
        <v>-9</v>
      </c>
      <c r="J3" s="32">
        <v>-10</v>
      </c>
      <c r="K3" s="32">
        <v>-11</v>
      </c>
      <c r="L3" s="32">
        <v>-12</v>
      </c>
      <c r="M3" s="32">
        <v>-13</v>
      </c>
      <c r="N3" s="32">
        <v>-14</v>
      </c>
      <c r="O3" s="32">
        <v>-15</v>
      </c>
      <c r="P3" s="32">
        <v>-16</v>
      </c>
      <c r="Q3" s="32">
        <v>-17</v>
      </c>
      <c r="R3" s="32">
        <v>-18</v>
      </c>
      <c r="S3" s="32">
        <v>-19</v>
      </c>
      <c r="T3" s="3"/>
      <c r="U3" s="58"/>
      <c r="V3" s="58"/>
      <c r="W3" s="58"/>
      <c r="X3" s="58"/>
      <c r="Y3" s="58"/>
      <c r="Z3" s="58"/>
      <c r="AA3" s="58"/>
    </row>
    <row r="4" spans="1:27" ht="12.75" customHeight="1">
      <c r="A4" s="3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2"/>
      <c r="S4" s="32"/>
      <c r="T4" s="3"/>
      <c r="V4" s="58"/>
      <c r="W4" s="58"/>
      <c r="X4" s="58"/>
      <c r="Y4" s="58"/>
      <c r="Z4" s="58"/>
      <c r="AA4" s="58"/>
    </row>
    <row r="5" spans="1:27">
      <c r="A5" s="38"/>
      <c r="B5" s="67"/>
      <c r="C5" s="1"/>
      <c r="D5" s="133"/>
      <c r="E5" s="134"/>
      <c r="F5" s="133"/>
      <c r="G5" s="133"/>
      <c r="H5" s="134"/>
      <c r="I5" s="134"/>
      <c r="J5" s="133"/>
      <c r="K5" s="1"/>
      <c r="L5" s="1"/>
      <c r="M5" s="1"/>
      <c r="N5" s="1"/>
      <c r="O5" s="1"/>
      <c r="P5" s="1"/>
      <c r="Q5" s="1"/>
      <c r="R5" s="1"/>
      <c r="S5" s="1"/>
      <c r="T5" s="3"/>
      <c r="V5" s="58"/>
      <c r="W5" s="58"/>
      <c r="X5" s="58"/>
      <c r="Y5" s="58"/>
      <c r="Z5" s="58"/>
      <c r="AA5" s="58"/>
    </row>
    <row r="6" spans="1:27" ht="12.75" customHeight="1">
      <c r="B6" s="1"/>
      <c r="C6" s="1"/>
      <c r="D6" s="1"/>
      <c r="E6" s="1"/>
      <c r="F6" s="1"/>
      <c r="G6" s="1"/>
      <c r="H6" s="1"/>
      <c r="I6" s="1"/>
      <c r="J6" s="38"/>
      <c r="K6" s="1"/>
      <c r="L6" s="1"/>
      <c r="M6" s="1"/>
      <c r="N6" s="1"/>
      <c r="O6" s="1"/>
      <c r="P6" s="1"/>
      <c r="T6" s="3"/>
      <c r="U6" s="70" t="e">
        <f>#REF!-U9</f>
        <v>#REF!</v>
      </c>
      <c r="V6" s="62"/>
      <c r="W6" s="3"/>
      <c r="X6" s="3"/>
      <c r="Y6" s="3"/>
      <c r="Z6" s="3"/>
      <c r="AA6" s="3"/>
    </row>
    <row r="7" spans="1:27" ht="12.75" customHeight="1" thickBot="1">
      <c r="O7" s="56"/>
      <c r="P7" s="56"/>
      <c r="R7" s="136" t="s">
        <v>71</v>
      </c>
      <c r="S7" s="136" t="s">
        <v>154</v>
      </c>
      <c r="T7" s="3"/>
      <c r="U7" s="54" t="s">
        <v>110</v>
      </c>
      <c r="V7" s="3"/>
      <c r="W7" s="3"/>
      <c r="X7" s="3"/>
      <c r="Y7" s="3"/>
      <c r="Z7" s="3"/>
      <c r="AA7" s="59"/>
    </row>
    <row r="8" spans="1:27" ht="12.75" customHeight="1" thickBot="1">
      <c r="A8" s="1"/>
      <c r="B8" s="27" t="s">
        <v>81</v>
      </c>
      <c r="C8" s="28"/>
      <c r="D8" s="28"/>
      <c r="E8" s="28"/>
      <c r="F8" s="28"/>
      <c r="G8" s="28"/>
      <c r="H8" s="28"/>
      <c r="I8" s="28"/>
      <c r="J8" s="29"/>
      <c r="K8" s="71" t="s">
        <v>85</v>
      </c>
      <c r="L8" s="17"/>
      <c r="M8" s="26"/>
      <c r="N8" s="17"/>
      <c r="O8" s="20"/>
      <c r="P8" s="21"/>
      <c r="Q8" s="136" t="s">
        <v>153</v>
      </c>
      <c r="R8" s="136" t="s">
        <v>84</v>
      </c>
      <c r="S8" s="136" t="s">
        <v>84</v>
      </c>
      <c r="T8" s="3"/>
      <c r="U8" s="54" t="s">
        <v>111</v>
      </c>
      <c r="V8" s="3"/>
      <c r="W8" s="59"/>
      <c r="X8" s="59"/>
      <c r="Y8" s="60"/>
      <c r="Z8" s="59"/>
      <c r="AA8" s="59"/>
    </row>
    <row r="9" spans="1:27" ht="12.75" customHeight="1" thickBot="1">
      <c r="A9" s="1"/>
      <c r="B9" s="30"/>
      <c r="C9" s="23"/>
      <c r="D9" s="23"/>
      <c r="E9" s="23"/>
      <c r="F9" s="23"/>
      <c r="G9" s="23"/>
      <c r="H9" s="23"/>
      <c r="I9" s="23"/>
      <c r="J9" s="31"/>
      <c r="K9" s="71" t="s">
        <v>80</v>
      </c>
      <c r="L9" s="18"/>
      <c r="M9" s="22" t="s">
        <v>79</v>
      </c>
      <c r="N9" s="23"/>
      <c r="O9" s="24"/>
      <c r="P9" s="25"/>
      <c r="Q9" s="135" t="s">
        <v>72</v>
      </c>
      <c r="R9" s="136" t="s">
        <v>83</v>
      </c>
      <c r="S9" s="136" t="s">
        <v>83</v>
      </c>
      <c r="T9" s="3"/>
      <c r="U9" s="68">
        <v>22.66</v>
      </c>
      <c r="V9" s="61"/>
      <c r="W9" s="3"/>
      <c r="X9" s="3"/>
      <c r="Y9" s="3"/>
      <c r="Z9" s="3"/>
      <c r="AA9" s="3"/>
    </row>
    <row r="10" spans="1:27" ht="100.5" customHeight="1">
      <c r="A10" s="157"/>
      <c r="B10" s="106" t="s">
        <v>73</v>
      </c>
      <c r="C10" s="106" t="s">
        <v>19</v>
      </c>
      <c r="D10" s="106" t="s">
        <v>20</v>
      </c>
      <c r="E10" s="106" t="s">
        <v>108</v>
      </c>
      <c r="F10" s="106" t="s">
        <v>147</v>
      </c>
      <c r="G10" s="106" t="s">
        <v>148</v>
      </c>
      <c r="H10" s="106" t="s">
        <v>23</v>
      </c>
      <c r="I10" s="106" t="s">
        <v>146</v>
      </c>
      <c r="J10" s="16" t="s">
        <v>24</v>
      </c>
      <c r="K10" s="72" t="s">
        <v>76</v>
      </c>
      <c r="L10" s="34" t="s">
        <v>75</v>
      </c>
      <c r="M10" s="19" t="s">
        <v>77</v>
      </c>
      <c r="N10" s="16" t="s">
        <v>78</v>
      </c>
      <c r="O10" s="16" t="s">
        <v>82</v>
      </c>
      <c r="P10" s="72" t="s">
        <v>150</v>
      </c>
      <c r="Q10" s="35" t="s">
        <v>149</v>
      </c>
      <c r="R10" s="35" t="s">
        <v>151</v>
      </c>
      <c r="S10" s="35" t="s">
        <v>152</v>
      </c>
      <c r="T10" s="3"/>
      <c r="U10" s="69" t="s">
        <v>109</v>
      </c>
      <c r="V10" s="57"/>
      <c r="W10" s="57"/>
      <c r="X10" s="57"/>
      <c r="Y10" s="57"/>
      <c r="Z10" s="57"/>
      <c r="AA10" s="57"/>
    </row>
    <row r="11" spans="1:27">
      <c r="A11" s="11" t="s">
        <v>0</v>
      </c>
      <c r="B11" s="8">
        <v>15</v>
      </c>
      <c r="C11" s="8">
        <v>3</v>
      </c>
      <c r="D11" s="4">
        <f>B11/C11</f>
        <v>5</v>
      </c>
      <c r="E11" s="8">
        <v>0</v>
      </c>
      <c r="F11" s="8">
        <f>B11-E11</f>
        <v>15</v>
      </c>
      <c r="G11" s="4">
        <f>IF(C11=0,0,(B11-E11)/C11)</f>
        <v>5</v>
      </c>
      <c r="H11" s="9">
        <v>3552</v>
      </c>
      <c r="I11" s="9">
        <v>437</v>
      </c>
      <c r="J11" s="4">
        <f t="shared" ref="J11:J34" si="0">H11/I11</f>
        <v>8.1281464530892453</v>
      </c>
      <c r="K11" s="73">
        <v>765.34</v>
      </c>
      <c r="L11" s="33">
        <v>650.54</v>
      </c>
      <c r="M11" s="5">
        <v>6207.16</v>
      </c>
      <c r="N11" s="5">
        <v>272.24</v>
      </c>
      <c r="O11" s="5">
        <v>1722.51</v>
      </c>
      <c r="P11" s="73">
        <f>(M11/J11)+N11</f>
        <v>1035.9024211711712</v>
      </c>
      <c r="Q11" s="36">
        <f>F11+H11</f>
        <v>3567</v>
      </c>
      <c r="R11" s="105">
        <f>F11*K11</f>
        <v>11480.1</v>
      </c>
      <c r="S11" s="105">
        <f t="shared" ref="S11:S34" si="1">H11*P11</f>
        <v>3679525.4000000004</v>
      </c>
      <c r="T11" s="62"/>
      <c r="U11" s="42">
        <f>$U$9*B11</f>
        <v>339.9</v>
      </c>
      <c r="V11" s="47"/>
      <c r="W11" s="47"/>
      <c r="X11" s="47"/>
      <c r="Y11" s="47"/>
      <c r="Z11" s="47"/>
      <c r="AA11" s="63"/>
    </row>
    <row r="12" spans="1:27">
      <c r="A12" s="11" t="s">
        <v>1</v>
      </c>
      <c r="B12" s="8">
        <v>22</v>
      </c>
      <c r="C12" s="8">
        <v>6</v>
      </c>
      <c r="D12" s="4">
        <f t="shared" ref="D12:D34" si="2">B12/C12</f>
        <v>3.6666666666666665</v>
      </c>
      <c r="E12" s="8">
        <v>0</v>
      </c>
      <c r="F12" s="8">
        <f t="shared" ref="F12:F33" si="3">B12-E12</f>
        <v>22</v>
      </c>
      <c r="G12" s="4">
        <f t="shared" ref="G12:G34" si="4">IF(C12=0,0,(B12-E12)/C12)</f>
        <v>3.6666666666666665</v>
      </c>
      <c r="H12" s="9">
        <v>1347</v>
      </c>
      <c r="I12" s="8">
        <v>315</v>
      </c>
      <c r="J12" s="4">
        <f t="shared" si="0"/>
        <v>4.2761904761904761</v>
      </c>
      <c r="K12" s="73">
        <v>721.54</v>
      </c>
      <c r="L12" s="33">
        <v>613.30999999999995</v>
      </c>
      <c r="M12" s="5">
        <v>3590.39</v>
      </c>
      <c r="N12" s="5">
        <v>111.6</v>
      </c>
      <c r="O12" s="5">
        <v>1095.26</v>
      </c>
      <c r="P12" s="73">
        <f t="shared" ref="P12:P33" si="5">(M12/J12)+N12</f>
        <v>951.22349665924276</v>
      </c>
      <c r="Q12" s="36">
        <f t="shared" ref="P12:Q33" si="6">F12+H12</f>
        <v>1369</v>
      </c>
      <c r="R12" s="40">
        <f t="shared" ref="R12:R34" si="7">F12*K12</f>
        <v>15873.88</v>
      </c>
      <c r="S12" s="40">
        <f t="shared" si="1"/>
        <v>1281298.05</v>
      </c>
      <c r="T12" s="62"/>
      <c r="U12" s="42">
        <f t="shared" ref="U12:U34" si="8">$U$9*B12</f>
        <v>498.52</v>
      </c>
      <c r="V12" s="64"/>
      <c r="W12" s="47"/>
      <c r="X12" s="47"/>
      <c r="Y12" s="47"/>
      <c r="Z12" s="47"/>
      <c r="AA12" s="63"/>
    </row>
    <row r="13" spans="1:27">
      <c r="A13" s="11" t="s">
        <v>2</v>
      </c>
      <c r="B13" s="8">
        <v>43</v>
      </c>
      <c r="C13" s="8">
        <v>5</v>
      </c>
      <c r="D13" s="4">
        <f t="shared" si="2"/>
        <v>8.6</v>
      </c>
      <c r="E13" s="8">
        <v>0</v>
      </c>
      <c r="F13" s="8">
        <f t="shared" si="3"/>
        <v>43</v>
      </c>
      <c r="G13" s="4">
        <f t="shared" si="4"/>
        <v>8.6</v>
      </c>
      <c r="H13" s="9">
        <v>1809</v>
      </c>
      <c r="I13" s="8">
        <v>206</v>
      </c>
      <c r="J13" s="4">
        <f t="shared" si="0"/>
        <v>8.7815533980582519</v>
      </c>
      <c r="K13" s="73">
        <v>742.18</v>
      </c>
      <c r="L13" s="33">
        <v>630.86</v>
      </c>
      <c r="M13" s="5">
        <v>5377.29</v>
      </c>
      <c r="N13" s="5">
        <v>261.88</v>
      </c>
      <c r="O13" s="5">
        <v>1435.96</v>
      </c>
      <c r="P13" s="73">
        <f t="shared" si="5"/>
        <v>874.21927031509119</v>
      </c>
      <c r="Q13" s="36">
        <f t="shared" si="6"/>
        <v>1852</v>
      </c>
      <c r="R13" s="40">
        <f t="shared" si="7"/>
        <v>31913.739999999998</v>
      </c>
      <c r="S13" s="40">
        <f t="shared" si="1"/>
        <v>1581462.66</v>
      </c>
      <c r="T13" s="62"/>
      <c r="U13" s="42">
        <f t="shared" si="8"/>
        <v>974.38</v>
      </c>
      <c r="V13" s="47"/>
      <c r="W13" s="47"/>
      <c r="X13" s="47"/>
      <c r="Y13" s="47"/>
      <c r="Z13" s="47"/>
      <c r="AA13" s="63"/>
    </row>
    <row r="14" spans="1:27">
      <c r="A14" s="11" t="s">
        <v>3</v>
      </c>
      <c r="B14" s="8">
        <v>82</v>
      </c>
      <c r="C14" s="8">
        <v>15</v>
      </c>
      <c r="D14" s="4">
        <f t="shared" si="2"/>
        <v>5.4666666666666668</v>
      </c>
      <c r="E14" s="8">
        <v>0</v>
      </c>
      <c r="F14" s="8">
        <f t="shared" si="3"/>
        <v>82</v>
      </c>
      <c r="G14" s="4">
        <f t="shared" si="4"/>
        <v>5.4666666666666668</v>
      </c>
      <c r="H14" s="9">
        <v>1641</v>
      </c>
      <c r="I14" s="8">
        <v>310</v>
      </c>
      <c r="J14" s="4">
        <f t="shared" si="0"/>
        <v>5.2935483870967746</v>
      </c>
      <c r="K14" s="73">
        <v>623.79999999999995</v>
      </c>
      <c r="L14" s="33">
        <v>530.23</v>
      </c>
      <c r="M14" s="5">
        <v>4425.28</v>
      </c>
      <c r="N14" s="5">
        <v>168.87</v>
      </c>
      <c r="O14" s="5">
        <v>1408.44</v>
      </c>
      <c r="P14" s="73">
        <f t="shared" si="5"/>
        <v>1004.8461121267519</v>
      </c>
      <c r="Q14" s="36">
        <f t="shared" si="6"/>
        <v>1723</v>
      </c>
      <c r="R14" s="40">
        <f t="shared" si="7"/>
        <v>51151.6</v>
      </c>
      <c r="S14" s="40">
        <f t="shared" si="1"/>
        <v>1648952.47</v>
      </c>
      <c r="T14" s="62"/>
      <c r="U14" s="42">
        <f t="shared" si="8"/>
        <v>1858.1200000000001</v>
      </c>
      <c r="V14" s="47"/>
      <c r="W14" s="47"/>
      <c r="X14" s="47"/>
      <c r="Y14" s="47"/>
      <c r="Z14" s="47"/>
      <c r="AA14" s="63"/>
    </row>
    <row r="15" spans="1:27">
      <c r="A15" s="12" t="s">
        <v>21</v>
      </c>
      <c r="B15" s="8">
        <v>10</v>
      </c>
      <c r="C15" s="8">
        <v>2</v>
      </c>
      <c r="D15" s="4">
        <f t="shared" si="2"/>
        <v>5</v>
      </c>
      <c r="E15" s="8">
        <v>0</v>
      </c>
      <c r="F15" s="8">
        <f t="shared" si="3"/>
        <v>10</v>
      </c>
      <c r="G15" s="4">
        <f t="shared" si="4"/>
        <v>5</v>
      </c>
      <c r="H15" s="9">
        <v>862</v>
      </c>
      <c r="I15" s="8">
        <v>107</v>
      </c>
      <c r="J15" s="4">
        <f t="shared" si="0"/>
        <v>8.05607476635514</v>
      </c>
      <c r="K15" s="73">
        <v>728.08</v>
      </c>
      <c r="L15" s="33">
        <v>618.87</v>
      </c>
      <c r="M15" s="6">
        <v>4225.1899999999996</v>
      </c>
      <c r="N15" s="5">
        <v>217.24</v>
      </c>
      <c r="O15" s="5">
        <v>1330.83</v>
      </c>
      <c r="P15" s="73">
        <f t="shared" si="5"/>
        <v>741.71254060324827</v>
      </c>
      <c r="Q15" s="36">
        <f t="shared" si="6"/>
        <v>872</v>
      </c>
      <c r="R15" s="40">
        <f t="shared" si="7"/>
        <v>7280.8</v>
      </c>
      <c r="S15" s="40">
        <f t="shared" si="1"/>
        <v>639356.21</v>
      </c>
      <c r="T15" s="62"/>
      <c r="U15" s="42">
        <f t="shared" si="8"/>
        <v>226.6</v>
      </c>
      <c r="V15" s="47"/>
      <c r="W15" s="47"/>
      <c r="X15" s="47"/>
      <c r="Y15" s="47"/>
      <c r="Z15" s="47"/>
      <c r="AA15" s="63"/>
    </row>
    <row r="16" spans="1:27">
      <c r="A16" s="155" t="s">
        <v>4</v>
      </c>
      <c r="B16" s="156">
        <f>4507-896</f>
        <v>3611</v>
      </c>
      <c r="C16" s="156">
        <f>695-461</f>
        <v>234</v>
      </c>
      <c r="D16" s="4">
        <f t="shared" si="2"/>
        <v>15.431623931623932</v>
      </c>
      <c r="E16" s="8">
        <v>146</v>
      </c>
      <c r="F16" s="8">
        <f t="shared" si="3"/>
        <v>3465</v>
      </c>
      <c r="G16" s="4">
        <f t="shared" si="4"/>
        <v>14.807692307692308</v>
      </c>
      <c r="H16" s="9">
        <v>11331</v>
      </c>
      <c r="I16" s="8">
        <v>1181</v>
      </c>
      <c r="J16" s="4">
        <f t="shared" si="0"/>
        <v>9.5944115156646905</v>
      </c>
      <c r="K16" s="73">
        <v>854.66</v>
      </c>
      <c r="L16" s="33">
        <v>726.46</v>
      </c>
      <c r="M16" s="5">
        <v>6694.01</v>
      </c>
      <c r="N16" s="5">
        <v>383.73</v>
      </c>
      <c r="O16" s="5">
        <v>1609.74</v>
      </c>
      <c r="P16" s="73">
        <f t="shared" si="5"/>
        <v>1081.4288624128499</v>
      </c>
      <c r="Q16" s="36">
        <f t="shared" si="6"/>
        <v>14796</v>
      </c>
      <c r="R16" s="40">
        <f t="shared" si="7"/>
        <v>2961396.9</v>
      </c>
      <c r="S16" s="40">
        <f t="shared" si="1"/>
        <v>12253670.440000001</v>
      </c>
      <c r="T16" s="62"/>
      <c r="U16" s="42">
        <f t="shared" si="8"/>
        <v>81825.259999999995</v>
      </c>
      <c r="V16" s="47"/>
      <c r="W16" s="47"/>
      <c r="X16" s="47"/>
      <c r="Y16" s="47"/>
      <c r="Z16" s="47"/>
      <c r="AA16" s="63"/>
    </row>
    <row r="17" spans="1:27">
      <c r="A17" s="12" t="s">
        <v>29</v>
      </c>
      <c r="B17" s="8">
        <v>2</v>
      </c>
      <c r="C17" s="8">
        <v>1</v>
      </c>
      <c r="D17" s="4">
        <v>0</v>
      </c>
      <c r="E17" s="8">
        <v>0</v>
      </c>
      <c r="F17" s="8">
        <f t="shared" si="3"/>
        <v>2</v>
      </c>
      <c r="G17" s="4">
        <f t="shared" si="4"/>
        <v>2</v>
      </c>
      <c r="H17" s="9">
        <v>1933</v>
      </c>
      <c r="I17" s="9">
        <v>261</v>
      </c>
      <c r="J17" s="4">
        <f t="shared" si="0"/>
        <v>7.4061302681992336</v>
      </c>
      <c r="K17" s="73">
        <v>776.29</v>
      </c>
      <c r="L17" s="33">
        <v>659.85</v>
      </c>
      <c r="M17" s="5">
        <v>11643.13</v>
      </c>
      <c r="N17" s="5">
        <v>240.48</v>
      </c>
      <c r="O17" s="5">
        <v>2698.64</v>
      </c>
      <c r="P17" s="73">
        <f t="shared" si="5"/>
        <v>1812.5736006207967</v>
      </c>
      <c r="Q17" s="36">
        <f t="shared" si="6"/>
        <v>1935</v>
      </c>
      <c r="R17" s="40">
        <f t="shared" si="7"/>
        <v>1552.58</v>
      </c>
      <c r="S17" s="40">
        <f t="shared" si="1"/>
        <v>3503704.77</v>
      </c>
      <c r="T17" s="62"/>
      <c r="U17" s="42">
        <f t="shared" si="8"/>
        <v>45.32</v>
      </c>
      <c r="V17" s="47"/>
      <c r="W17" s="47"/>
      <c r="X17" s="47"/>
      <c r="Y17" s="47"/>
      <c r="Z17" s="47"/>
      <c r="AA17" s="63"/>
    </row>
    <row r="18" spans="1:27">
      <c r="A18" s="11" t="s">
        <v>5</v>
      </c>
      <c r="B18" s="8">
        <v>13</v>
      </c>
      <c r="C18" s="8">
        <v>3</v>
      </c>
      <c r="D18" s="4">
        <f t="shared" si="2"/>
        <v>4.333333333333333</v>
      </c>
      <c r="E18" s="8">
        <v>0</v>
      </c>
      <c r="F18" s="8">
        <f t="shared" si="3"/>
        <v>13</v>
      </c>
      <c r="G18" s="4">
        <f t="shared" si="4"/>
        <v>4.333333333333333</v>
      </c>
      <c r="H18" s="9">
        <v>952</v>
      </c>
      <c r="I18" s="8">
        <v>123</v>
      </c>
      <c r="J18" s="4">
        <f t="shared" si="0"/>
        <v>7.7398373983739841</v>
      </c>
      <c r="K18" s="73">
        <v>766.01</v>
      </c>
      <c r="L18" s="33">
        <v>651.11</v>
      </c>
      <c r="M18" s="5">
        <v>3225.21</v>
      </c>
      <c r="N18" s="5">
        <v>170.52</v>
      </c>
      <c r="O18" s="5">
        <v>887.23</v>
      </c>
      <c r="P18" s="73">
        <f t="shared" si="5"/>
        <v>587.22255252100842</v>
      </c>
      <c r="Q18" s="36">
        <f t="shared" si="6"/>
        <v>965</v>
      </c>
      <c r="R18" s="40">
        <f t="shared" si="7"/>
        <v>9958.1299999999992</v>
      </c>
      <c r="S18" s="40">
        <f t="shared" si="1"/>
        <v>559035.87</v>
      </c>
      <c r="T18" s="62"/>
      <c r="U18" s="42">
        <f t="shared" si="8"/>
        <v>294.58</v>
      </c>
      <c r="V18" s="47"/>
      <c r="W18" s="47"/>
      <c r="X18" s="47"/>
      <c r="Y18" s="47"/>
      <c r="Z18" s="47"/>
      <c r="AA18" s="63"/>
    </row>
    <row r="19" spans="1:27">
      <c r="A19" s="11" t="s">
        <v>6</v>
      </c>
      <c r="B19" s="8">
        <v>39</v>
      </c>
      <c r="C19" s="8">
        <v>6</v>
      </c>
      <c r="D19" s="4">
        <f t="shared" si="2"/>
        <v>6.5</v>
      </c>
      <c r="E19" s="8">
        <v>0</v>
      </c>
      <c r="F19" s="8">
        <f t="shared" si="3"/>
        <v>39</v>
      </c>
      <c r="G19" s="4">
        <f t="shared" si="4"/>
        <v>6.5</v>
      </c>
      <c r="H19" s="9">
        <v>2313</v>
      </c>
      <c r="I19" s="9">
        <v>304</v>
      </c>
      <c r="J19" s="4">
        <f t="shared" si="0"/>
        <v>7.6085526315789478</v>
      </c>
      <c r="K19" s="73">
        <v>697.32</v>
      </c>
      <c r="L19" s="33">
        <v>592.72</v>
      </c>
      <c r="M19" s="5">
        <v>4520.92</v>
      </c>
      <c r="N19" s="5">
        <v>158.26</v>
      </c>
      <c r="O19" s="5">
        <v>1156.25</v>
      </c>
      <c r="P19" s="73">
        <f t="shared" si="5"/>
        <v>752.44922611327274</v>
      </c>
      <c r="Q19" s="36">
        <f t="shared" si="6"/>
        <v>2352</v>
      </c>
      <c r="R19" s="40">
        <f t="shared" si="7"/>
        <v>27195.480000000003</v>
      </c>
      <c r="S19" s="40">
        <f t="shared" si="1"/>
        <v>1740415.0599999998</v>
      </c>
      <c r="T19" s="62"/>
      <c r="U19" s="42">
        <f t="shared" si="8"/>
        <v>883.74</v>
      </c>
      <c r="V19" s="47"/>
      <c r="W19" s="47"/>
      <c r="X19" s="47"/>
      <c r="Y19" s="47"/>
      <c r="Z19" s="47"/>
      <c r="AA19" s="63"/>
    </row>
    <row r="20" spans="1:27">
      <c r="A20" s="11" t="s">
        <v>7</v>
      </c>
      <c r="B20" s="8">
        <v>829</v>
      </c>
      <c r="C20" s="8">
        <v>130</v>
      </c>
      <c r="D20" s="4">
        <f t="shared" si="2"/>
        <v>6.3769230769230774</v>
      </c>
      <c r="E20" s="8">
        <v>7</v>
      </c>
      <c r="F20" s="8">
        <f t="shared" si="3"/>
        <v>822</v>
      </c>
      <c r="G20" s="4">
        <f t="shared" si="4"/>
        <v>6.3230769230769228</v>
      </c>
      <c r="H20" s="9">
        <v>3362</v>
      </c>
      <c r="I20" s="9">
        <v>494</v>
      </c>
      <c r="J20" s="4">
        <f t="shared" si="0"/>
        <v>6.8056680161943319</v>
      </c>
      <c r="K20" s="73">
        <v>722.69</v>
      </c>
      <c r="L20" s="33">
        <v>614.29</v>
      </c>
      <c r="M20" s="5">
        <v>4842.67</v>
      </c>
      <c r="N20" s="5">
        <v>297.89</v>
      </c>
      <c r="O20" s="5">
        <v>1292.27</v>
      </c>
      <c r="P20" s="73">
        <f t="shared" si="5"/>
        <v>1009.4542415229031</v>
      </c>
      <c r="Q20" s="36">
        <f t="shared" si="6"/>
        <v>4184</v>
      </c>
      <c r="R20" s="40">
        <f t="shared" si="7"/>
        <v>594051.18000000005</v>
      </c>
      <c r="S20" s="40">
        <f t="shared" si="1"/>
        <v>3393785.16</v>
      </c>
      <c r="T20" s="62"/>
      <c r="U20" s="42">
        <f t="shared" si="8"/>
        <v>18785.14</v>
      </c>
      <c r="V20" s="47"/>
      <c r="W20" s="47"/>
      <c r="X20" s="47"/>
      <c r="Y20" s="47"/>
      <c r="Z20" s="47"/>
      <c r="AA20" s="63"/>
    </row>
    <row r="21" spans="1:27">
      <c r="A21" s="11" t="s">
        <v>8</v>
      </c>
      <c r="B21" s="8">
        <v>11</v>
      </c>
      <c r="C21" s="8">
        <v>2</v>
      </c>
      <c r="D21" s="4">
        <f t="shared" si="2"/>
        <v>5.5</v>
      </c>
      <c r="E21" s="8">
        <v>0</v>
      </c>
      <c r="F21" s="8">
        <f t="shared" si="3"/>
        <v>11</v>
      </c>
      <c r="G21" s="4">
        <f t="shared" si="4"/>
        <v>5.5</v>
      </c>
      <c r="H21" s="9">
        <v>2161</v>
      </c>
      <c r="I21" s="9">
        <v>315</v>
      </c>
      <c r="J21" s="4">
        <f t="shared" si="0"/>
        <v>6.8603174603174599</v>
      </c>
      <c r="K21" s="73">
        <v>776.67</v>
      </c>
      <c r="L21" s="33">
        <v>660.17</v>
      </c>
      <c r="M21" s="5">
        <v>4546.3900000000003</v>
      </c>
      <c r="N21" s="5">
        <v>396.72</v>
      </c>
      <c r="O21" s="5">
        <v>1489.6</v>
      </c>
      <c r="P21" s="73">
        <f t="shared" si="5"/>
        <v>1059.4283988894031</v>
      </c>
      <c r="Q21" s="36">
        <f t="shared" si="6"/>
        <v>2172</v>
      </c>
      <c r="R21" s="40">
        <f t="shared" si="7"/>
        <v>8543.369999999999</v>
      </c>
      <c r="S21" s="40">
        <f t="shared" si="1"/>
        <v>2289424.77</v>
      </c>
      <c r="T21" s="62"/>
      <c r="U21" s="42">
        <f t="shared" si="8"/>
        <v>249.26</v>
      </c>
      <c r="V21" s="47"/>
      <c r="W21" s="47"/>
      <c r="X21" s="47"/>
      <c r="Y21" s="47"/>
      <c r="Z21" s="47"/>
      <c r="AA21" s="63"/>
    </row>
    <row r="22" spans="1:27">
      <c r="A22" s="11" t="s">
        <v>9</v>
      </c>
      <c r="B22" s="8">
        <v>4</v>
      </c>
      <c r="C22" s="8">
        <v>1</v>
      </c>
      <c r="D22" s="4">
        <f t="shared" si="2"/>
        <v>4</v>
      </c>
      <c r="E22" s="8">
        <v>0</v>
      </c>
      <c r="F22" s="8">
        <f t="shared" si="3"/>
        <v>4</v>
      </c>
      <c r="G22" s="4">
        <f t="shared" si="4"/>
        <v>4</v>
      </c>
      <c r="H22" s="9">
        <v>989</v>
      </c>
      <c r="I22" s="9">
        <v>104</v>
      </c>
      <c r="J22" s="4">
        <f t="shared" si="0"/>
        <v>9.509615384615385</v>
      </c>
      <c r="K22" s="73">
        <v>827.74</v>
      </c>
      <c r="L22" s="33">
        <v>703.58</v>
      </c>
      <c r="M22" s="5">
        <v>3900.75</v>
      </c>
      <c r="N22" s="5">
        <v>317.74</v>
      </c>
      <c r="O22" s="5">
        <v>1366.33</v>
      </c>
      <c r="P22" s="73">
        <f t="shared" si="5"/>
        <v>727.93009100101108</v>
      </c>
      <c r="Q22" s="36">
        <f t="shared" si="6"/>
        <v>993</v>
      </c>
      <c r="R22" s="40">
        <f t="shared" si="7"/>
        <v>3310.96</v>
      </c>
      <c r="S22" s="40">
        <f t="shared" si="1"/>
        <v>719922.86</v>
      </c>
      <c r="T22" s="62"/>
      <c r="U22" s="42">
        <f t="shared" si="8"/>
        <v>90.64</v>
      </c>
      <c r="V22" s="47"/>
      <c r="W22" s="47"/>
      <c r="X22" s="47"/>
      <c r="Y22" s="47"/>
      <c r="Z22" s="47"/>
      <c r="AA22" s="63"/>
    </row>
    <row r="23" spans="1:27">
      <c r="A23" s="11" t="s">
        <v>10</v>
      </c>
      <c r="B23" s="8">
        <v>23</v>
      </c>
      <c r="C23" s="8">
        <v>4</v>
      </c>
      <c r="D23" s="4">
        <f t="shared" si="2"/>
        <v>5.75</v>
      </c>
      <c r="E23" s="8">
        <v>0</v>
      </c>
      <c r="F23" s="8">
        <f t="shared" si="3"/>
        <v>23</v>
      </c>
      <c r="G23" s="4">
        <f t="shared" si="4"/>
        <v>5.75</v>
      </c>
      <c r="H23" s="9">
        <v>731</v>
      </c>
      <c r="I23" s="9">
        <v>113</v>
      </c>
      <c r="J23" s="4">
        <f t="shared" si="0"/>
        <v>6.4690265486725664</v>
      </c>
      <c r="K23" s="73">
        <v>785.51</v>
      </c>
      <c r="L23" s="33">
        <v>667.69</v>
      </c>
      <c r="M23" s="5">
        <v>5803.77</v>
      </c>
      <c r="N23" s="5">
        <v>327.66000000000003</v>
      </c>
      <c r="O23" s="5">
        <v>1831.22</v>
      </c>
      <c r="P23" s="73">
        <f t="shared" si="5"/>
        <v>1224.822804377565</v>
      </c>
      <c r="Q23" s="36">
        <f t="shared" si="6"/>
        <v>754</v>
      </c>
      <c r="R23" s="40">
        <f t="shared" si="7"/>
        <v>18066.73</v>
      </c>
      <c r="S23" s="40">
        <f t="shared" si="1"/>
        <v>895345.47000000009</v>
      </c>
      <c r="T23" s="62"/>
      <c r="U23" s="42">
        <f t="shared" si="8"/>
        <v>521.17999999999995</v>
      </c>
      <c r="V23" s="47"/>
      <c r="W23" s="47"/>
      <c r="X23" s="47"/>
      <c r="Y23" s="47"/>
      <c r="Z23" s="47"/>
      <c r="AA23" s="63"/>
    </row>
    <row r="24" spans="1:27">
      <c r="A24" s="12" t="s">
        <v>144</v>
      </c>
      <c r="B24" s="8">
        <v>0</v>
      </c>
      <c r="C24" s="8">
        <v>0</v>
      </c>
      <c r="D24" s="4">
        <v>0</v>
      </c>
      <c r="E24" s="8">
        <v>0</v>
      </c>
      <c r="F24" s="8">
        <f t="shared" si="3"/>
        <v>0</v>
      </c>
      <c r="G24" s="4">
        <f t="shared" si="4"/>
        <v>0</v>
      </c>
      <c r="H24" s="9">
        <v>0</v>
      </c>
      <c r="I24" s="9">
        <v>0</v>
      </c>
      <c r="J24" s="4">
        <f>IF(I24=0,0,H24/I24)</f>
        <v>0</v>
      </c>
      <c r="K24" s="73"/>
      <c r="L24" s="33"/>
      <c r="M24" s="5">
        <v>3447.13</v>
      </c>
      <c r="N24" s="5">
        <v>272.77999999999997</v>
      </c>
      <c r="O24" s="5">
        <v>1425.66</v>
      </c>
      <c r="P24" s="36">
        <f t="shared" si="6"/>
        <v>0</v>
      </c>
      <c r="Q24" s="36">
        <f t="shared" si="6"/>
        <v>0</v>
      </c>
      <c r="R24" s="40">
        <f t="shared" si="7"/>
        <v>0</v>
      </c>
      <c r="S24" s="40">
        <f t="shared" si="1"/>
        <v>0</v>
      </c>
      <c r="T24" s="62"/>
      <c r="U24" s="42">
        <f t="shared" si="8"/>
        <v>0</v>
      </c>
      <c r="V24" s="47"/>
      <c r="W24" s="47"/>
      <c r="X24" s="47"/>
      <c r="Y24" s="47"/>
      <c r="Z24" s="47"/>
      <c r="AA24" s="63"/>
    </row>
    <row r="25" spans="1:27">
      <c r="A25" s="11" t="s">
        <v>11</v>
      </c>
      <c r="B25" s="8">
        <v>3367</v>
      </c>
      <c r="C25" s="8">
        <v>286</v>
      </c>
      <c r="D25" s="4">
        <f t="shared" si="2"/>
        <v>11.772727272727273</v>
      </c>
      <c r="E25" s="8">
        <v>249</v>
      </c>
      <c r="F25" s="8">
        <f t="shared" si="3"/>
        <v>3118</v>
      </c>
      <c r="G25" s="4">
        <f t="shared" si="4"/>
        <v>10.902097902097902</v>
      </c>
      <c r="H25" s="9">
        <v>3715</v>
      </c>
      <c r="I25" s="9">
        <v>548</v>
      </c>
      <c r="J25" s="4">
        <f t="shared" si="0"/>
        <v>6.7791970802919712</v>
      </c>
      <c r="K25" s="73">
        <v>718.33</v>
      </c>
      <c r="L25" s="33">
        <v>610.58000000000004</v>
      </c>
      <c r="M25" s="5">
        <v>5598.69</v>
      </c>
      <c r="N25" s="5">
        <v>229.65</v>
      </c>
      <c r="O25" s="5">
        <v>1388.8</v>
      </c>
      <c r="P25" s="73">
        <f t="shared" si="5"/>
        <v>1055.5132893674293</v>
      </c>
      <c r="Q25" s="36">
        <f t="shared" si="6"/>
        <v>6833</v>
      </c>
      <c r="R25" s="40">
        <f t="shared" si="7"/>
        <v>2239752.94</v>
      </c>
      <c r="S25" s="40">
        <f t="shared" si="1"/>
        <v>3921231.8699999996</v>
      </c>
      <c r="T25" s="62"/>
      <c r="U25" s="42">
        <f t="shared" si="8"/>
        <v>76296.22</v>
      </c>
      <c r="V25" s="47"/>
      <c r="W25" s="47"/>
      <c r="X25" s="47"/>
      <c r="Y25" s="47"/>
      <c r="Z25" s="47"/>
      <c r="AA25" s="63"/>
    </row>
    <row r="26" spans="1:27">
      <c r="A26" s="11" t="s">
        <v>12</v>
      </c>
      <c r="B26" s="8">
        <v>13</v>
      </c>
      <c r="C26" s="8">
        <v>2</v>
      </c>
      <c r="D26" s="4">
        <f t="shared" si="2"/>
        <v>6.5</v>
      </c>
      <c r="E26" s="8">
        <v>0</v>
      </c>
      <c r="F26" s="8">
        <f t="shared" si="3"/>
        <v>13</v>
      </c>
      <c r="G26" s="4">
        <f t="shared" si="4"/>
        <v>6.5</v>
      </c>
      <c r="H26" s="9">
        <v>1458</v>
      </c>
      <c r="I26" s="9">
        <v>209</v>
      </c>
      <c r="J26" s="4">
        <f t="shared" si="0"/>
        <v>6.9760765550239237</v>
      </c>
      <c r="K26" s="73">
        <v>664.74</v>
      </c>
      <c r="L26" s="33">
        <v>565.03</v>
      </c>
      <c r="M26" s="5">
        <v>5052.1400000000003</v>
      </c>
      <c r="N26" s="5">
        <v>252.67</v>
      </c>
      <c r="O26" s="5">
        <v>1534.94</v>
      </c>
      <c r="P26" s="73">
        <f t="shared" si="5"/>
        <v>976.87936899862825</v>
      </c>
      <c r="Q26" s="36">
        <f t="shared" si="6"/>
        <v>1471</v>
      </c>
      <c r="R26" s="40">
        <f t="shared" si="7"/>
        <v>8641.6200000000008</v>
      </c>
      <c r="S26" s="40">
        <f t="shared" si="1"/>
        <v>1424290.1199999999</v>
      </c>
      <c r="T26" s="62"/>
      <c r="U26" s="42">
        <f t="shared" si="8"/>
        <v>294.58</v>
      </c>
      <c r="V26" s="47"/>
      <c r="W26" s="47"/>
      <c r="X26" s="47"/>
      <c r="Y26" s="47"/>
      <c r="Z26" s="47"/>
      <c r="AA26" s="63"/>
    </row>
    <row r="27" spans="1:27">
      <c r="A27" s="11" t="s">
        <v>13</v>
      </c>
      <c r="B27" s="8">
        <v>3583</v>
      </c>
      <c r="C27" s="8">
        <v>280</v>
      </c>
      <c r="D27" s="4">
        <f t="shared" si="2"/>
        <v>12.796428571428571</v>
      </c>
      <c r="E27" s="8">
        <v>207</v>
      </c>
      <c r="F27" s="8">
        <f t="shared" si="3"/>
        <v>3376</v>
      </c>
      <c r="G27" s="4">
        <f t="shared" si="4"/>
        <v>12.057142857142857</v>
      </c>
      <c r="H27" s="9">
        <v>8053</v>
      </c>
      <c r="I27" s="9">
        <v>818</v>
      </c>
      <c r="J27" s="4">
        <f t="shared" si="0"/>
        <v>9.8447432762836193</v>
      </c>
      <c r="K27" s="73">
        <v>822.52</v>
      </c>
      <c r="L27" s="33">
        <v>699.14</v>
      </c>
      <c r="M27" s="5">
        <v>5190.2700000000004</v>
      </c>
      <c r="N27" s="5">
        <v>273.39999999999998</v>
      </c>
      <c r="O27" s="5">
        <v>1205.23</v>
      </c>
      <c r="P27" s="73">
        <f t="shared" si="5"/>
        <v>800.61232584130141</v>
      </c>
      <c r="Q27" s="36">
        <f t="shared" si="6"/>
        <v>11429</v>
      </c>
      <c r="R27" s="40">
        <f t="shared" si="7"/>
        <v>2776827.52</v>
      </c>
      <c r="S27" s="40">
        <f t="shared" si="1"/>
        <v>6447331.0600000005</v>
      </c>
      <c r="T27" s="62"/>
      <c r="U27" s="42">
        <f t="shared" si="8"/>
        <v>81190.78</v>
      </c>
      <c r="V27" s="47"/>
      <c r="W27" s="47"/>
      <c r="X27" s="47"/>
      <c r="Y27" s="47"/>
      <c r="Z27" s="47"/>
      <c r="AA27" s="63"/>
    </row>
    <row r="28" spans="1:27">
      <c r="A28" s="11" t="s">
        <v>14</v>
      </c>
      <c r="B28" s="8">
        <v>75</v>
      </c>
      <c r="C28" s="8">
        <v>17</v>
      </c>
      <c r="D28" s="4">
        <f t="shared" si="2"/>
        <v>4.4117647058823533</v>
      </c>
      <c r="E28" s="8">
        <v>0</v>
      </c>
      <c r="F28" s="8">
        <f t="shared" si="3"/>
        <v>75</v>
      </c>
      <c r="G28" s="4">
        <f t="shared" si="4"/>
        <v>4.4117647058823533</v>
      </c>
      <c r="H28" s="9">
        <v>1369</v>
      </c>
      <c r="I28" s="9">
        <v>210</v>
      </c>
      <c r="J28" s="4">
        <f t="shared" si="0"/>
        <v>6.519047619047619</v>
      </c>
      <c r="K28" s="73">
        <v>781.03</v>
      </c>
      <c r="L28" s="33">
        <v>663.88</v>
      </c>
      <c r="M28" s="5">
        <v>4568.92</v>
      </c>
      <c r="N28" s="5">
        <v>439.51</v>
      </c>
      <c r="O28" s="5">
        <v>1463.93</v>
      </c>
      <c r="P28" s="73">
        <f t="shared" si="5"/>
        <v>1140.3669758948138</v>
      </c>
      <c r="Q28" s="36">
        <f t="shared" si="6"/>
        <v>1444</v>
      </c>
      <c r="R28" s="40">
        <f t="shared" si="7"/>
        <v>58577.25</v>
      </c>
      <c r="S28" s="40">
        <f t="shared" si="1"/>
        <v>1561162.3900000001</v>
      </c>
      <c r="T28" s="62"/>
      <c r="U28" s="42">
        <f t="shared" si="8"/>
        <v>1699.5</v>
      </c>
      <c r="V28" s="47"/>
      <c r="W28" s="47"/>
      <c r="X28" s="47"/>
      <c r="Y28" s="47"/>
      <c r="Z28" s="47"/>
      <c r="AA28" s="63"/>
    </row>
    <row r="29" spans="1:27">
      <c r="A29" s="11" t="s">
        <v>15</v>
      </c>
      <c r="B29" s="8">
        <v>33</v>
      </c>
      <c r="C29" s="8">
        <v>8</v>
      </c>
      <c r="D29" s="4">
        <f t="shared" si="2"/>
        <v>4.125</v>
      </c>
      <c r="E29" s="8">
        <v>0</v>
      </c>
      <c r="F29" s="8">
        <f t="shared" si="3"/>
        <v>33</v>
      </c>
      <c r="G29" s="4">
        <f t="shared" si="4"/>
        <v>4.125</v>
      </c>
      <c r="H29" s="9">
        <v>935</v>
      </c>
      <c r="I29" s="9">
        <v>175</v>
      </c>
      <c r="J29" s="4">
        <f t="shared" si="0"/>
        <v>5.3428571428571425</v>
      </c>
      <c r="K29" s="73">
        <v>752.45</v>
      </c>
      <c r="L29" s="33">
        <v>639.58000000000004</v>
      </c>
      <c r="M29" s="5">
        <v>4100.33</v>
      </c>
      <c r="N29" s="5">
        <v>336.71</v>
      </c>
      <c r="O29" s="5">
        <v>1415.74</v>
      </c>
      <c r="P29" s="73">
        <f t="shared" si="5"/>
        <v>1104.1514438502675</v>
      </c>
      <c r="Q29" s="36">
        <f t="shared" si="6"/>
        <v>968</v>
      </c>
      <c r="R29" s="40">
        <f t="shared" si="7"/>
        <v>24830.850000000002</v>
      </c>
      <c r="S29" s="40">
        <f t="shared" si="1"/>
        <v>1032381.6000000001</v>
      </c>
      <c r="T29" s="62"/>
      <c r="U29" s="42">
        <f t="shared" si="8"/>
        <v>747.78</v>
      </c>
      <c r="V29" s="47"/>
      <c r="W29" s="47"/>
      <c r="X29" s="47"/>
      <c r="Y29" s="47"/>
      <c r="Z29" s="47"/>
      <c r="AA29" s="63"/>
    </row>
    <row r="30" spans="1:27">
      <c r="A30" s="11" t="s">
        <v>105</v>
      </c>
      <c r="B30" s="8">
        <v>59</v>
      </c>
      <c r="C30" s="8">
        <v>11</v>
      </c>
      <c r="D30" s="4">
        <f t="shared" si="2"/>
        <v>5.3636363636363633</v>
      </c>
      <c r="E30" s="8">
        <v>0</v>
      </c>
      <c r="F30" s="8">
        <f t="shared" si="3"/>
        <v>59</v>
      </c>
      <c r="G30" s="4">
        <f t="shared" si="4"/>
        <v>5.3636363636363633</v>
      </c>
      <c r="H30" s="9">
        <v>3023</v>
      </c>
      <c r="I30" s="9">
        <v>272</v>
      </c>
      <c r="J30" s="4">
        <f t="shared" si="0"/>
        <v>11.113970588235293</v>
      </c>
      <c r="K30" s="73">
        <v>735.41</v>
      </c>
      <c r="L30" s="33">
        <v>625.1</v>
      </c>
      <c r="M30" s="5">
        <v>4170.67</v>
      </c>
      <c r="N30" s="5">
        <v>318.8</v>
      </c>
      <c r="O30" s="5">
        <v>1346.06</v>
      </c>
      <c r="P30" s="73">
        <f t="shared" si="5"/>
        <v>694.06372477671198</v>
      </c>
      <c r="Q30" s="36">
        <f t="shared" si="6"/>
        <v>3082</v>
      </c>
      <c r="R30" s="40">
        <f t="shared" si="7"/>
        <v>43389.189999999995</v>
      </c>
      <c r="S30" s="40">
        <f t="shared" si="1"/>
        <v>2098154.64</v>
      </c>
      <c r="T30" s="62"/>
      <c r="U30" s="42">
        <f t="shared" si="8"/>
        <v>1336.94</v>
      </c>
      <c r="V30" s="47"/>
      <c r="W30" s="47"/>
      <c r="X30" s="47"/>
      <c r="Y30" s="47"/>
      <c r="Z30" s="47"/>
      <c r="AA30" s="63"/>
    </row>
    <row r="31" spans="1:27">
      <c r="A31" s="11" t="s">
        <v>16</v>
      </c>
      <c r="B31" s="8">
        <v>23</v>
      </c>
      <c r="C31" s="8">
        <v>4</v>
      </c>
      <c r="D31" s="4">
        <f t="shared" si="2"/>
        <v>5.75</v>
      </c>
      <c r="E31" s="8">
        <v>0</v>
      </c>
      <c r="F31" s="8">
        <f t="shared" si="3"/>
        <v>23</v>
      </c>
      <c r="G31" s="4">
        <f t="shared" si="4"/>
        <v>5.75</v>
      </c>
      <c r="H31" s="9">
        <v>1888</v>
      </c>
      <c r="I31" s="9">
        <v>227</v>
      </c>
      <c r="J31" s="4">
        <f t="shared" si="0"/>
        <v>8.3171806167400888</v>
      </c>
      <c r="K31" s="73">
        <v>677.78</v>
      </c>
      <c r="L31" s="33">
        <v>576.11</v>
      </c>
      <c r="M31" s="5">
        <v>4201.2299999999996</v>
      </c>
      <c r="N31" s="5">
        <v>255.03</v>
      </c>
      <c r="O31" s="5">
        <v>1332.27</v>
      </c>
      <c r="P31" s="73">
        <f t="shared" si="5"/>
        <v>760.15670021186429</v>
      </c>
      <c r="Q31" s="36">
        <f t="shared" si="6"/>
        <v>1911</v>
      </c>
      <c r="R31" s="40">
        <f t="shared" si="7"/>
        <v>15588.939999999999</v>
      </c>
      <c r="S31" s="40">
        <f t="shared" si="1"/>
        <v>1435175.8499999999</v>
      </c>
      <c r="T31" s="62"/>
      <c r="U31" s="42">
        <f t="shared" si="8"/>
        <v>521.17999999999995</v>
      </c>
      <c r="V31" s="47"/>
      <c r="W31" s="47"/>
      <c r="X31" s="47"/>
      <c r="Y31" s="47"/>
      <c r="Z31" s="47"/>
      <c r="AA31" s="63"/>
    </row>
    <row r="32" spans="1:27">
      <c r="A32" s="11" t="s">
        <v>17</v>
      </c>
      <c r="B32" s="8">
        <v>814</v>
      </c>
      <c r="C32" s="8">
        <v>107</v>
      </c>
      <c r="D32" s="4">
        <f t="shared" si="2"/>
        <v>7.6074766355140184</v>
      </c>
      <c r="E32" s="8">
        <v>41</v>
      </c>
      <c r="F32" s="8">
        <f t="shared" si="3"/>
        <v>773</v>
      </c>
      <c r="G32" s="4">
        <f t="shared" si="4"/>
        <v>7.2242990654205608</v>
      </c>
      <c r="H32" s="9">
        <v>3603</v>
      </c>
      <c r="I32" s="9">
        <v>436</v>
      </c>
      <c r="J32" s="4">
        <f t="shared" si="0"/>
        <v>8.2637614678899087</v>
      </c>
      <c r="K32" s="73">
        <v>831.38</v>
      </c>
      <c r="L32" s="33">
        <v>706.67</v>
      </c>
      <c r="M32" s="5">
        <v>4868.0200000000004</v>
      </c>
      <c r="N32" s="5">
        <v>308.47000000000003</v>
      </c>
      <c r="O32" s="5">
        <v>1453.89</v>
      </c>
      <c r="P32" s="73">
        <f t="shared" si="5"/>
        <v>897.55041076880377</v>
      </c>
      <c r="Q32" s="36">
        <f t="shared" si="6"/>
        <v>4376</v>
      </c>
      <c r="R32" s="40">
        <f t="shared" si="7"/>
        <v>642656.74</v>
      </c>
      <c r="S32" s="40">
        <f t="shared" si="1"/>
        <v>3233874.13</v>
      </c>
      <c r="T32" s="62"/>
      <c r="U32" s="42">
        <f t="shared" si="8"/>
        <v>18445.240000000002</v>
      </c>
      <c r="V32" s="47"/>
      <c r="W32" s="47"/>
      <c r="X32" s="47"/>
      <c r="Y32" s="47"/>
      <c r="Z32" s="47"/>
      <c r="AA32" s="63"/>
    </row>
    <row r="33" spans="1:27">
      <c r="A33" s="12" t="s">
        <v>74</v>
      </c>
      <c r="B33" s="8">
        <f>6200+2277</f>
        <v>8477</v>
      </c>
      <c r="C33" s="8">
        <f>609+187</f>
        <v>796</v>
      </c>
      <c r="D33" s="4">
        <f t="shared" si="2"/>
        <v>10.649497487437186</v>
      </c>
      <c r="E33" s="8">
        <f>289+13</f>
        <v>302</v>
      </c>
      <c r="F33" s="8">
        <f t="shared" si="3"/>
        <v>8175</v>
      </c>
      <c r="G33" s="4">
        <f t="shared" si="4"/>
        <v>10.270100502512562</v>
      </c>
      <c r="H33" s="9">
        <f>1754+11183</f>
        <v>12937</v>
      </c>
      <c r="I33" s="9">
        <f>196+1152</f>
        <v>1348</v>
      </c>
      <c r="J33" s="4">
        <f t="shared" si="0"/>
        <v>9.5971810089020764</v>
      </c>
      <c r="K33" s="73">
        <v>906.06</v>
      </c>
      <c r="L33" s="33">
        <v>770.19</v>
      </c>
      <c r="M33" s="5">
        <v>6806</v>
      </c>
      <c r="N33" s="5">
        <v>336.72</v>
      </c>
      <c r="O33" s="5">
        <v>1630.64</v>
      </c>
      <c r="P33" s="73">
        <f t="shared" si="5"/>
        <v>1045.8865764860479</v>
      </c>
      <c r="Q33" s="36">
        <f t="shared" si="6"/>
        <v>21112</v>
      </c>
      <c r="R33" s="40">
        <f t="shared" si="7"/>
        <v>7407040.5</v>
      </c>
      <c r="S33" s="40">
        <f t="shared" si="1"/>
        <v>13530634.640000002</v>
      </c>
      <c r="T33" s="62"/>
      <c r="U33" s="42">
        <f t="shared" si="8"/>
        <v>192088.82</v>
      </c>
      <c r="V33" s="47"/>
      <c r="W33" s="47"/>
      <c r="X33" s="47"/>
      <c r="Y33" s="47"/>
      <c r="Z33" s="47"/>
      <c r="AA33" s="63"/>
    </row>
    <row r="34" spans="1:27">
      <c r="A34" s="13" t="s">
        <v>18</v>
      </c>
      <c r="B34" s="15">
        <f>SUM(B11:B33)</f>
        <v>21148</v>
      </c>
      <c r="C34" s="15">
        <f>SUM(C11:C33)</f>
        <v>1923</v>
      </c>
      <c r="D34" s="10">
        <f t="shared" si="2"/>
        <v>10.997399895995839</v>
      </c>
      <c r="E34" s="2">
        <f>SUM(E11:E33)</f>
        <v>952</v>
      </c>
      <c r="F34" s="15">
        <f>SUM(F11:F33)</f>
        <v>20196</v>
      </c>
      <c r="G34" s="10">
        <f t="shared" si="4"/>
        <v>10.502340093603744</v>
      </c>
      <c r="H34" s="15">
        <f>SUM(H11:H33)</f>
        <v>69964</v>
      </c>
      <c r="I34" s="15">
        <f>SUM(I11:I33)</f>
        <v>8513</v>
      </c>
      <c r="J34" s="10">
        <f t="shared" si="0"/>
        <v>8.2184893692000465</v>
      </c>
      <c r="K34" s="73">
        <f>SUMPRODUCT($F11:$F33,K11:K33)/$F34</f>
        <v>839.72474747474746</v>
      </c>
      <c r="L34" s="33">
        <f>SUMPRODUCT($E11:$E33,L11:L33)/$E34</f>
        <v>702.40592436974782</v>
      </c>
      <c r="M34" s="7"/>
      <c r="N34" s="5"/>
      <c r="O34" s="33">
        <f>SUMPRODUCT($H11:$H33,O11:O33)/$H34</f>
        <v>1489.7390222114232</v>
      </c>
      <c r="P34" s="73">
        <f>SUMPRODUCT($H11:$H33,P11:P33)/$H34</f>
        <v>984.36532345206115</v>
      </c>
      <c r="Q34" s="37">
        <f>SUM(Q11:Q33)</f>
        <v>90160</v>
      </c>
      <c r="R34" s="41">
        <f t="shared" si="7"/>
        <v>16959081</v>
      </c>
      <c r="S34" s="41">
        <f t="shared" si="1"/>
        <v>68870135.49000001</v>
      </c>
      <c r="T34" s="3"/>
      <c r="U34" s="43">
        <f t="shared" si="8"/>
        <v>479213.68</v>
      </c>
      <c r="V34" s="65"/>
      <c r="W34" s="65"/>
      <c r="X34" s="65"/>
      <c r="Y34" s="65"/>
      <c r="Z34" s="65"/>
      <c r="AA34" s="66"/>
    </row>
    <row r="35" spans="1:27">
      <c r="E35" s="14"/>
      <c r="F35" s="14"/>
      <c r="G35" s="14"/>
      <c r="H35" s="104"/>
      <c r="R35" s="52"/>
      <c r="S35" s="52"/>
      <c r="T35" s="3"/>
      <c r="U35" s="3"/>
      <c r="V35" s="3"/>
      <c r="W35" s="3"/>
      <c r="X35" s="3"/>
      <c r="Y35" s="61"/>
      <c r="Z35" s="47"/>
      <c r="AA35" s="3"/>
    </row>
    <row r="36" spans="1:27">
      <c r="R36" s="55" t="s">
        <v>155</v>
      </c>
      <c r="S36" s="39">
        <f>S34+R34</f>
        <v>85829216.49000001</v>
      </c>
    </row>
    <row r="38" spans="1:27">
      <c r="A38" s="102" t="s">
        <v>145</v>
      </c>
      <c r="B38" s="44"/>
      <c r="C38" s="44"/>
      <c r="D38" s="44"/>
      <c r="E38" s="44"/>
      <c r="F38" s="44"/>
      <c r="G38" s="44"/>
      <c r="H38" s="44"/>
      <c r="I38" s="44"/>
      <c r="Q38" s="49"/>
    </row>
    <row r="39" spans="1:27">
      <c r="A39" s="12" t="s">
        <v>22</v>
      </c>
      <c r="B39" s="8">
        <v>105</v>
      </c>
      <c r="C39" s="8">
        <v>12</v>
      </c>
      <c r="D39" s="4">
        <f>B39/C39</f>
        <v>8.75</v>
      </c>
      <c r="E39" s="8">
        <v>0</v>
      </c>
      <c r="F39" s="8">
        <f t="shared" ref="F39:F44" si="9">B39-E39</f>
        <v>105</v>
      </c>
      <c r="G39" s="4">
        <f t="shared" ref="G39:G44" si="10">IF(C39=0,0,(B39-E39)/C39)</f>
        <v>8.75</v>
      </c>
      <c r="H39" s="9">
        <v>0</v>
      </c>
      <c r="I39" s="8">
        <v>0</v>
      </c>
      <c r="J39" s="4">
        <v>0</v>
      </c>
      <c r="K39" s="33">
        <v>1730.25</v>
      </c>
      <c r="L39" s="33">
        <v>1470.71</v>
      </c>
      <c r="M39" s="6">
        <v>0</v>
      </c>
      <c r="N39" s="5">
        <v>0</v>
      </c>
      <c r="O39" s="5">
        <v>2172.85</v>
      </c>
      <c r="P39" s="33">
        <v>0</v>
      </c>
      <c r="Q39" s="51"/>
      <c r="R39" s="46"/>
      <c r="S39" s="46"/>
      <c r="T39" s="47"/>
      <c r="U39" s="47"/>
      <c r="V39" s="3"/>
    </row>
    <row r="40" spans="1:27">
      <c r="A40" s="12" t="s">
        <v>25</v>
      </c>
      <c r="B40" s="8">
        <v>0</v>
      </c>
      <c r="C40" s="8">
        <v>0</v>
      </c>
      <c r="D40" s="4">
        <v>0</v>
      </c>
      <c r="E40" s="8">
        <v>0</v>
      </c>
      <c r="F40" s="8">
        <f t="shared" si="9"/>
        <v>0</v>
      </c>
      <c r="G40" s="4">
        <f t="shared" si="10"/>
        <v>0</v>
      </c>
      <c r="H40" s="9">
        <v>39</v>
      </c>
      <c r="I40" s="8">
        <v>2</v>
      </c>
      <c r="J40" s="4">
        <f>H40/I40</f>
        <v>19.5</v>
      </c>
      <c r="K40" s="33">
        <v>649.78</v>
      </c>
      <c r="L40" s="33">
        <v>552.30999999999995</v>
      </c>
      <c r="M40" s="5">
        <v>5874.16</v>
      </c>
      <c r="N40" s="5">
        <v>290.91000000000003</v>
      </c>
      <c r="O40" s="5">
        <v>1861.54</v>
      </c>
      <c r="P40" s="33">
        <f>IF(M40=0,0,((M40*I40)+(N40*H40))/H40)</f>
        <v>592.14897435897444</v>
      </c>
      <c r="Q40" s="51"/>
      <c r="R40" s="46"/>
      <c r="S40" s="46"/>
      <c r="T40" s="47"/>
      <c r="U40" s="47"/>
      <c r="V40" s="3"/>
    </row>
    <row r="41" spans="1:27">
      <c r="A41" s="12" t="s">
        <v>26</v>
      </c>
      <c r="B41" s="8">
        <v>0</v>
      </c>
      <c r="C41" s="8">
        <v>0</v>
      </c>
      <c r="D41" s="4">
        <v>0</v>
      </c>
      <c r="E41" s="8">
        <v>0</v>
      </c>
      <c r="F41" s="8">
        <f t="shared" si="9"/>
        <v>0</v>
      </c>
      <c r="G41" s="4">
        <f t="shared" si="10"/>
        <v>0</v>
      </c>
      <c r="H41" s="9">
        <v>0</v>
      </c>
      <c r="I41" s="9">
        <v>0</v>
      </c>
      <c r="J41" s="4">
        <v>0</v>
      </c>
      <c r="K41" s="33"/>
      <c r="L41" s="33"/>
      <c r="M41" s="5">
        <v>3822.82</v>
      </c>
      <c r="N41" s="5">
        <v>306.77999999999997</v>
      </c>
      <c r="O41" s="5">
        <v>1354.13</v>
      </c>
      <c r="P41" s="33">
        <v>0</v>
      </c>
      <c r="Q41" s="51"/>
      <c r="R41" s="46"/>
      <c r="S41" s="46"/>
      <c r="T41" s="47"/>
      <c r="U41" s="47"/>
      <c r="V41" s="3"/>
    </row>
    <row r="42" spans="1:27">
      <c r="A42" s="12" t="s">
        <v>27</v>
      </c>
      <c r="B42" s="8">
        <v>0</v>
      </c>
      <c r="C42" s="8">
        <v>0</v>
      </c>
      <c r="D42" s="4">
        <v>0</v>
      </c>
      <c r="E42" s="8">
        <v>0</v>
      </c>
      <c r="F42" s="8">
        <f t="shared" si="9"/>
        <v>0</v>
      </c>
      <c r="G42" s="4">
        <f t="shared" si="10"/>
        <v>0</v>
      </c>
      <c r="H42" s="9">
        <v>0</v>
      </c>
      <c r="I42" s="9">
        <v>0</v>
      </c>
      <c r="J42" s="4">
        <v>0</v>
      </c>
      <c r="K42" s="33"/>
      <c r="L42" s="33"/>
      <c r="M42" s="5">
        <v>5975.37</v>
      </c>
      <c r="N42" s="5">
        <v>506.51</v>
      </c>
      <c r="O42" s="5">
        <v>2030.83</v>
      </c>
      <c r="P42" s="33">
        <v>0</v>
      </c>
      <c r="Q42" s="51"/>
      <c r="R42" s="46"/>
      <c r="S42" s="46"/>
      <c r="T42" s="47"/>
      <c r="U42" s="47"/>
      <c r="V42" s="3"/>
    </row>
    <row r="43" spans="1:27">
      <c r="A43" s="12" t="s">
        <v>30</v>
      </c>
      <c r="B43" s="8">
        <v>0</v>
      </c>
      <c r="C43" s="8">
        <v>0</v>
      </c>
      <c r="D43" s="4">
        <v>0</v>
      </c>
      <c r="E43" s="8">
        <v>0</v>
      </c>
      <c r="F43" s="8">
        <f t="shared" si="9"/>
        <v>0</v>
      </c>
      <c r="G43" s="4">
        <f t="shared" si="10"/>
        <v>0</v>
      </c>
      <c r="H43" s="9">
        <v>7</v>
      </c>
      <c r="I43" s="9">
        <v>1</v>
      </c>
      <c r="J43" s="4">
        <f>H43/I43</f>
        <v>7</v>
      </c>
      <c r="K43" s="33"/>
      <c r="L43" s="33"/>
      <c r="M43" s="5">
        <v>3679.08</v>
      </c>
      <c r="N43" s="5">
        <v>548.16</v>
      </c>
      <c r="O43" s="5">
        <v>1358.53</v>
      </c>
      <c r="P43" s="33">
        <f>IF(M43=0,0,((M43*I43)+(N43*H43))/H43)</f>
        <v>1073.742857142857</v>
      </c>
      <c r="Q43" s="51"/>
      <c r="R43" s="46"/>
      <c r="S43" s="46"/>
      <c r="T43" s="47"/>
      <c r="U43" s="47"/>
      <c r="V43" s="3"/>
    </row>
    <row r="44" spans="1:27">
      <c r="A44" s="12" t="s">
        <v>28</v>
      </c>
      <c r="B44" s="8">
        <v>0</v>
      </c>
      <c r="C44" s="8">
        <v>0</v>
      </c>
      <c r="D44" s="4">
        <v>0</v>
      </c>
      <c r="E44" s="8">
        <v>0</v>
      </c>
      <c r="F44" s="8">
        <f t="shared" si="9"/>
        <v>0</v>
      </c>
      <c r="G44" s="4">
        <f t="shared" si="10"/>
        <v>0</v>
      </c>
      <c r="H44" s="9">
        <v>1</v>
      </c>
      <c r="I44" s="9">
        <v>1</v>
      </c>
      <c r="J44" s="4">
        <f>H44/I44</f>
        <v>1</v>
      </c>
      <c r="K44" s="33"/>
      <c r="L44" s="33"/>
      <c r="M44" s="5">
        <v>3828.28</v>
      </c>
      <c r="N44" s="5">
        <v>198.97</v>
      </c>
      <c r="O44" s="5">
        <v>1311.84</v>
      </c>
      <c r="P44" s="33">
        <f>IF(M44=0,0,((M44*I44)+(N44*H44))/H44)</f>
        <v>4027.25</v>
      </c>
      <c r="Q44" s="51"/>
      <c r="R44" s="46"/>
      <c r="S44" s="46"/>
      <c r="T44" s="47"/>
      <c r="U44" s="47"/>
      <c r="V44" s="3"/>
    </row>
    <row r="45" spans="1:27">
      <c r="B45" s="128">
        <f>SUM(B39:B44)</f>
        <v>105</v>
      </c>
      <c r="C45" s="128">
        <f>SUM(C39:C44)</f>
        <v>12</v>
      </c>
      <c r="E45" s="128">
        <f>SUM(E39:E44)</f>
        <v>0</v>
      </c>
      <c r="F45" s="128">
        <f>SUM(F39:F44)</f>
        <v>105</v>
      </c>
      <c r="H45" s="128">
        <f>SUM(H39:H44)</f>
        <v>47</v>
      </c>
      <c r="I45" s="128">
        <f>SUM(I39:I44)</f>
        <v>4</v>
      </c>
      <c r="Q45" s="49"/>
    </row>
    <row r="46" spans="1:27">
      <c r="Q46" s="49"/>
    </row>
    <row r="47" spans="1:27">
      <c r="B47" s="104">
        <f>SUM(B34:B44)</f>
        <v>21253</v>
      </c>
      <c r="C47" s="104">
        <f>SUM(C34:C44)</f>
        <v>1935</v>
      </c>
      <c r="H47" s="104">
        <f>SUM(H34:H44)</f>
        <v>70011</v>
      </c>
      <c r="I47" s="104">
        <f>SUM(I34:I44)</f>
        <v>8517</v>
      </c>
      <c r="Q47" s="132">
        <f>H47+B47</f>
        <v>91264</v>
      </c>
    </row>
  </sheetData>
  <printOptions headings="1" gridLines="1"/>
  <pageMargins left="0.25" right="0.25" top="0.5" bottom="0.5" header="0.3" footer="0.3"/>
  <pageSetup scale="67" orientation="landscape" r:id="rId1"/>
  <headerFooter>
    <oddFooter>&amp;L&amp;Z&amp;F   &amp;A</oddFooter>
  </headerFooter>
  <colBreaks count="1" manualBreakCount="1"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Tiers Calc</vt:lpstr>
      <vt:lpstr>Data+Rates</vt:lpstr>
      <vt:lpstr>'Data+Rates'!Print_Area</vt:lpstr>
      <vt:lpstr>Summary!Print_Area</vt:lpstr>
      <vt:lpstr>'Tiers Calc'!Print_Area</vt:lpstr>
      <vt:lpstr>'Data+Rates'!Print_Titles</vt:lpstr>
    </vt:vector>
  </TitlesOfParts>
  <Company>Department of Social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CT</dc:creator>
  <cp:lastModifiedBy>Hudson, James M</cp:lastModifiedBy>
  <cp:lastPrinted>2014-09-09T19:19:44Z</cp:lastPrinted>
  <dcterms:created xsi:type="dcterms:W3CDTF">2012-09-17T13:01:53Z</dcterms:created>
  <dcterms:modified xsi:type="dcterms:W3CDTF">2017-06-15T17:03:13Z</dcterms:modified>
</cp:coreProperties>
</file>