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00" tabRatio="815" activeTab="0"/>
  </bookViews>
  <sheets>
    <sheet name="P1 info &amp; Certification" sheetId="1" r:id="rId1"/>
    <sheet name="P2 Service Sites &amp; Rel. Parties" sheetId="2" r:id="rId2"/>
    <sheet name="P3 Form A-1 Health Care" sheetId="3" r:id="rId3"/>
    <sheet name="P4 Form A-2 Dental" sheetId="4" r:id="rId4"/>
    <sheet name="P5 Form A-3- Mental Health" sheetId="5" r:id="rId5"/>
    <sheet name="P6 Form A-4 Non-Allow Other" sheetId="6" r:id="rId6"/>
    <sheet name="P7  Form A-5 - OH" sheetId="7" r:id="rId7"/>
    <sheet name="P8 Form B-1 Visits-FTE Hlth2" sheetId="8" r:id="rId8"/>
    <sheet name="P9 Form B-1 Visits-FTE Hlth2" sheetId="9" r:id="rId9"/>
    <sheet name="P10  Form B-1 Visits-FTE Dental" sheetId="10" r:id="rId10"/>
    <sheet name="P11 Form B-1 Visits-FTE Mental" sheetId="11" r:id="rId11"/>
    <sheet name="P12 Form B-4 Summary Personnel" sheetId="12" r:id="rId12"/>
    <sheet name="P13 Form C - Adj &amp; Alloc" sheetId="13" r:id="rId13"/>
    <sheet name="P14 Form D-Allow Cost Visit" sheetId="14" r:id="rId14"/>
    <sheet name="P15 Form E-Revenues" sheetId="15" r:id="rId15"/>
    <sheet name="P16 Form F-Grants-Contribution" sheetId="16" r:id="rId16"/>
    <sheet name="P17 Form G-Cost Disall &amp; Offset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fn.SINGLE" hidden="1">#NAME?</definedName>
    <definedName name="_xlnm.Print_Area" localSheetId="0">'P1 info &amp; Certification'!$A$1:$N$49</definedName>
    <definedName name="_xlnm.Print_Area" localSheetId="9">'P10  Form B-1 Visits-FTE Dental'!$A$1:$H$41</definedName>
    <definedName name="_xlnm.Print_Area" localSheetId="10">'P11 Form B-1 Visits-FTE Mental'!$A$1:$H$52</definedName>
    <definedName name="_xlnm.Print_Area" localSheetId="11">'P12 Form B-4 Summary Personnel'!$A$1:$M$42</definedName>
    <definedName name="_xlnm.Print_Area" localSheetId="12">'P13 Form C - Adj &amp; Alloc'!$A$1:$N$39</definedName>
    <definedName name="_xlnm.Print_Area" localSheetId="13">'P14 Form D-Allow Cost Visit'!$A$1:$N$33</definedName>
    <definedName name="_xlnm.Print_Area" localSheetId="14">'P15 Form E-Revenues'!$A$1:$H$44</definedName>
    <definedName name="_xlnm.Print_Area" localSheetId="15">'P16 Form F-Grants-Contribution'!$A$1:$O$36</definedName>
    <definedName name="_xlnm.Print_Area" localSheetId="16">'P17 Form G-Cost Disall &amp; Offset'!$A$1:$O$42</definedName>
    <definedName name="_xlnm.Print_Area" localSheetId="1">'P2 Service Sites &amp; Rel. Parties'!$A$1:$O$34</definedName>
    <definedName name="_xlnm.Print_Area" localSheetId="2">'P3 Form A-1 Health Care'!$A$1:$J$53</definedName>
    <definedName name="_xlnm.Print_Area" localSheetId="3">'P4 Form A-2 Dental'!$A$1:$J$50</definedName>
    <definedName name="_xlnm.Print_Area" localSheetId="4">'P5 Form A-3- Mental Health'!$A$1:$J$46</definedName>
    <definedName name="_xlnm.Print_Area" localSheetId="5">'P6 Form A-4 Non-Allow Other'!$A$1:$J$38</definedName>
    <definedName name="_xlnm.Print_Area" localSheetId="6">'P7  Form A-5 - OH'!$A$1:$J$54</definedName>
    <definedName name="_xlnm.Print_Area" localSheetId="7">'P8 Form B-1 Visits-FTE Hlth2'!$A$1:$I$79</definedName>
    <definedName name="_xlnm.Print_Area" localSheetId="8">'P9 Form B-1 Visits-FTE Hlth2'!$A$1:$I$90</definedName>
  </definedNames>
  <calcPr fullCalcOnLoad="1"/>
</workbook>
</file>

<file path=xl/comments5.xml><?xml version="1.0" encoding="utf-8"?>
<comments xmlns="http://schemas.openxmlformats.org/spreadsheetml/2006/main">
  <authors>
    <author>Cecilia Sweeney</author>
  </authors>
  <commentList>
    <comment ref="E32" authorId="0">
      <text>
        <r>
          <rPr>
            <b/>
            <sz val="9"/>
            <rFont val="Tahoma"/>
            <family val="2"/>
          </rPr>
          <t>Cecilia Sweeney:</t>
        </r>
        <r>
          <rPr>
            <sz val="9"/>
            <rFont val="Tahoma"/>
            <family val="2"/>
          </rPr>
          <t xml:space="preserve">
as per last year report INCLUDES 25% OF 340B EXP
</t>
        </r>
      </text>
    </comment>
  </commentList>
</comments>
</file>

<file path=xl/sharedStrings.xml><?xml version="1.0" encoding="utf-8"?>
<sst xmlns="http://schemas.openxmlformats.org/spreadsheetml/2006/main" count="1365" uniqueCount="635">
  <si>
    <t>STATE OF CONNECTICUT</t>
  </si>
  <si>
    <t>DEPARTMENT OF SOCIAL SERVICES</t>
  </si>
  <si>
    <t>55 FARMINGTON AVENUE      HARTFORD, CONNECTICUT  06105</t>
  </si>
  <si>
    <t>ANNUAL REPORT</t>
  </si>
  <si>
    <t>FEDERALLY QUALIFIED HEALTH CENTER (FQHC)</t>
  </si>
  <si>
    <t>Date Submitted:</t>
  </si>
  <si>
    <t>Date Received:</t>
  </si>
  <si>
    <t>1.</t>
  </si>
  <si>
    <t>FQHC Name</t>
  </si>
  <si>
    <t>CIFC Inc./ Greater Danbury Community Health Center</t>
  </si>
  <si>
    <t>Street Address</t>
  </si>
  <si>
    <t>120 Main Street 4th Floor</t>
  </si>
  <si>
    <t>City, State, ZIP</t>
  </si>
  <si>
    <t>Danbury, CT 06810</t>
  </si>
  <si>
    <t>Telephone Number</t>
  </si>
  <si>
    <t>203-743-9760 x 3419</t>
  </si>
  <si>
    <t>Contact Person</t>
  </si>
  <si>
    <t>Elizabeth Martucci</t>
  </si>
  <si>
    <t>Title</t>
  </si>
  <si>
    <t>2.</t>
  </si>
  <si>
    <t xml:space="preserve">FQHC Medicaid Provider Number: </t>
  </si>
  <si>
    <t>3. Reporting Period:</t>
  </si>
  <si>
    <t>Medical</t>
  </si>
  <si>
    <t>From</t>
  </si>
  <si>
    <t>To</t>
  </si>
  <si>
    <t>Dental</t>
  </si>
  <si>
    <t>Mental Health</t>
  </si>
  <si>
    <t>Other (Specify)</t>
  </si>
  <si>
    <t>4.</t>
  </si>
  <si>
    <t>Type of Control  (Check One Only)</t>
  </si>
  <si>
    <t>x</t>
  </si>
  <si>
    <t>NONPROFIT ORGANIZATION</t>
  </si>
  <si>
    <t>GOVERNMENT</t>
  </si>
  <si>
    <t>STATE</t>
  </si>
  <si>
    <t>DISTRICT</t>
  </si>
  <si>
    <t>OTHER</t>
  </si>
  <si>
    <t>COUNTY</t>
  </si>
  <si>
    <t>CITY</t>
  </si>
  <si>
    <t>5.</t>
  </si>
  <si>
    <t>FQHC Owned By:</t>
  </si>
  <si>
    <t>Connecticut Institute for Communities, Inc.</t>
  </si>
  <si>
    <t>CERTIFICATION BY OFFICER OR ADMINISTRATOR OF CLINIC</t>
  </si>
  <si>
    <t xml:space="preserve">I Hereby Certify That I Have Examined the Accompanying Worksheets Prepared By </t>
  </si>
  <si>
    <t>(FQHC Name)</t>
  </si>
  <si>
    <t>6.</t>
  </si>
  <si>
    <t>Signature  (Officer or Administrator of FQHC)</t>
  </si>
  <si>
    <t>Printed Name</t>
  </si>
  <si>
    <t>James H. Maloney</t>
  </si>
  <si>
    <t>Date</t>
  </si>
  <si>
    <t>Reporting Period:</t>
  </si>
  <si>
    <t>FQHC Name:</t>
  </si>
  <si>
    <t>7.</t>
  </si>
  <si>
    <r>
      <rPr>
        <b/>
        <sz val="11"/>
        <rFont val="Helv"/>
        <family val="0"/>
      </rPr>
      <t xml:space="preserve">Service Sites:  </t>
    </r>
    <r>
      <rPr>
        <sz val="11"/>
        <rFont val="Helv"/>
        <family val="0"/>
      </rPr>
      <t>List all service sites of the FQHC, including all FQHC-certified sites and any other non-FQHC service sites.  Indicate whether the service site is FQHC certified.  If a site or sites are not FQHC-certified, the associated costs should be reported on Form A-4 as non-allowable costs.</t>
    </r>
  </si>
  <si>
    <t>Provider Name</t>
  </si>
  <si>
    <t>Location</t>
  </si>
  <si>
    <r>
      <t>FQHC Certified              Yes</t>
    </r>
    <r>
      <rPr>
        <b/>
        <i/>
        <sz val="10"/>
        <rFont val="Helv"/>
        <family val="0"/>
      </rPr>
      <t>/ No</t>
    </r>
  </si>
  <si>
    <t>Clinic/Provider No.</t>
  </si>
  <si>
    <t>Greater Danbury Community Health Center</t>
  </si>
  <si>
    <t>57 North Street Danbury, CT 06810</t>
  </si>
  <si>
    <t>YES</t>
  </si>
  <si>
    <t>Danbury High School</t>
  </si>
  <si>
    <t>43 Calpboard Ridge Road, Danbury, CT 06810</t>
  </si>
  <si>
    <t>Yes (*)</t>
  </si>
  <si>
    <t>GDCHC HATS Satellite Site</t>
  </si>
  <si>
    <t>21 Hayestown Ave. Danbury, CT 06810</t>
  </si>
  <si>
    <t>Broadview Middle School</t>
  </si>
  <si>
    <t>72 Hospital Ave, Danbury, CT 06810</t>
  </si>
  <si>
    <t>Yes(*)</t>
  </si>
  <si>
    <t>Rogers Park Middle School</t>
  </si>
  <si>
    <t>21  Memorial Drive, Danbury, CT 06810</t>
  </si>
  <si>
    <t>CIFC/CHCGD Mobile Health Unit</t>
  </si>
  <si>
    <t>120 Main Street, Danbury, CT 06810</t>
  </si>
  <si>
    <t>Newtown Middle School</t>
  </si>
  <si>
    <t>11 Queen Street, Newtown, CT 06471</t>
  </si>
  <si>
    <t>GDCHC Main Street Satellite Central Suite</t>
  </si>
  <si>
    <t>70 Main Street, Danbury, CT 06810</t>
  </si>
  <si>
    <t>Ellsworth Avenue Elementary School Dental Suite</t>
  </si>
  <si>
    <t>53 Ellsworth Ave, Danbury, CT 06810</t>
  </si>
  <si>
    <t>YES (*)</t>
  </si>
  <si>
    <t>GDCHC West Street Satellite Central Suite</t>
  </si>
  <si>
    <t>152 West Street, Suite SE-1 Danbury, CT 06810</t>
  </si>
  <si>
    <t>8.</t>
  </si>
  <si>
    <r>
      <rPr>
        <b/>
        <sz val="11"/>
        <rFont val="Helv"/>
        <family val="0"/>
      </rPr>
      <t xml:space="preserve">Related Parties:  </t>
    </r>
    <r>
      <rPr>
        <sz val="11"/>
        <rFont val="Helv"/>
        <family val="0"/>
      </rPr>
      <t xml:space="preserve"> Related party information is reported on the following, which accompanies this cost report submission:</t>
    </r>
  </si>
  <si>
    <t>Select One:</t>
  </si>
  <si>
    <t>SELECT ONE OF THE FOLLOWING OPTIONS:</t>
  </si>
  <si>
    <t>A.  Copy of Medicare Cost Report (CMS 222-92) Worksheet A-2-1, Statement of Costs of Services from Related Organizations.</t>
  </si>
  <si>
    <t>B.  Schedule of related parties that contains the same information as Medicare Cost Report (CMS 222-92) Worksheet A-2-1.</t>
  </si>
  <si>
    <t>C.  Not applicable.  The FQHC does not have any related party individuals or organizations.</t>
  </si>
  <si>
    <t>Form A-1 (Direct Health Care Cost)</t>
  </si>
  <si>
    <t>RECLASSIFICATIONS AND ADJUSTMENTS OF TRIAL BALANCE OF EXPENSES</t>
  </si>
  <si>
    <t xml:space="preserve"> </t>
  </si>
  <si>
    <t/>
  </si>
  <si>
    <t>Reclassified</t>
  </si>
  <si>
    <t>Adjustments</t>
  </si>
  <si>
    <t>Net</t>
  </si>
  <si>
    <t>COST CENTER</t>
  </si>
  <si>
    <t>Salaried</t>
  </si>
  <si>
    <t>Other</t>
  </si>
  <si>
    <t>Reclass-</t>
  </si>
  <si>
    <t>Trial Balance</t>
  </si>
  <si>
    <t>Increase</t>
  </si>
  <si>
    <t>Expenses</t>
  </si>
  <si>
    <t>Personnel</t>
  </si>
  <si>
    <t>Costs</t>
  </si>
  <si>
    <t>Total</t>
  </si>
  <si>
    <t>ifications</t>
  </si>
  <si>
    <t>(Col 3 &amp; 4)</t>
  </si>
  <si>
    <t>(Decrease)</t>
  </si>
  <si>
    <t>(Col 5 &amp; 6)</t>
  </si>
  <si>
    <t>A.</t>
  </si>
  <si>
    <t>DIRECT HEALTH CARE COST</t>
  </si>
  <si>
    <t>I</t>
  </si>
  <si>
    <t>II</t>
  </si>
  <si>
    <t>III</t>
  </si>
  <si>
    <t>IV</t>
  </si>
  <si>
    <t>V</t>
  </si>
  <si>
    <t>VI</t>
  </si>
  <si>
    <t>VII</t>
  </si>
  <si>
    <t>(Excluding Dental, Mental Health &amp; Other)</t>
  </si>
  <si>
    <t>Staff Cost</t>
  </si>
  <si>
    <t>a.</t>
  </si>
  <si>
    <t>Physician</t>
  </si>
  <si>
    <t>b.</t>
  </si>
  <si>
    <t>Physician Assistant</t>
  </si>
  <si>
    <t>c.</t>
  </si>
  <si>
    <t>Nurse (APRN, Midwife, RN)</t>
  </si>
  <si>
    <t>d.</t>
  </si>
  <si>
    <t xml:space="preserve">Other - Specify </t>
  </si>
  <si>
    <t>LPN/Nurse</t>
  </si>
  <si>
    <t>Medical Assistants</t>
  </si>
  <si>
    <t>PHYSICIAN SERVICES UNDER CONTRACT</t>
  </si>
  <si>
    <t xml:space="preserve">Genetic Counselor </t>
  </si>
  <si>
    <t>LMFT</t>
  </si>
  <si>
    <t>e.</t>
  </si>
  <si>
    <t>Subtotal Direct Health Care Cost</t>
  </si>
  <si>
    <t>Other Direct Health Care Cost</t>
  </si>
  <si>
    <t>Medical Supplies</t>
  </si>
  <si>
    <t>Transportation</t>
  </si>
  <si>
    <t>Depreciation - Medical Equipment</t>
  </si>
  <si>
    <t>Professional Liability Insurance</t>
  </si>
  <si>
    <t>Laboratory</t>
  </si>
  <si>
    <t>f.</t>
  </si>
  <si>
    <t>Radiology</t>
  </si>
  <si>
    <t>g.</t>
  </si>
  <si>
    <t>Physician-Administered Drugs</t>
  </si>
  <si>
    <t>h.</t>
  </si>
  <si>
    <t>Staff training and Development</t>
  </si>
  <si>
    <t>After hours Answering service</t>
  </si>
  <si>
    <t>Dues/subscriptions/fees</t>
  </si>
  <si>
    <t>Professional Services/translation svcs</t>
  </si>
  <si>
    <t>i.</t>
  </si>
  <si>
    <t>Subtotal Other Direct Health Care Cost</t>
  </si>
  <si>
    <t>3.</t>
  </si>
  <si>
    <t>TOTAL DIRECT HEALTH CARE COST (1e &amp; 2i)</t>
  </si>
  <si>
    <t>Form A-2 (Direct Dental Care Cost)</t>
  </si>
  <si>
    <t>B.</t>
  </si>
  <si>
    <t>DIRECT DENTAL CARE COST</t>
  </si>
  <si>
    <t>Dentist</t>
  </si>
  <si>
    <t>Dental Hygienst</t>
  </si>
  <si>
    <t>Subtotal Direct Dental Care Cost</t>
  </si>
  <si>
    <t>Other Direct Dental Care Cost</t>
  </si>
  <si>
    <t>Dental Supplies</t>
  </si>
  <si>
    <t>Depreciation - Dental Equipment</t>
  </si>
  <si>
    <t>Subtotal Other Direct Dental Care Cost</t>
  </si>
  <si>
    <t>TOTAL DIRECT DENTAL CARE COST (1d &amp; 2f)</t>
  </si>
  <si>
    <t>Form F (Grants and Contributions)</t>
  </si>
  <si>
    <r>
      <t>GRANTS AND CONTRIBUTIONS</t>
    </r>
    <r>
      <rPr>
        <b/>
        <i/>
        <sz val="10"/>
        <rFont val="Helv"/>
        <family val="0"/>
      </rPr>
      <t xml:space="preserve"> (EXCLUDING THE PUBLIC HEALTH SERVICES GRANTS)</t>
    </r>
  </si>
  <si>
    <t>Contributions</t>
  </si>
  <si>
    <t>ACTUAL</t>
  </si>
  <si>
    <r>
      <t xml:space="preserve">Services </t>
    </r>
    <r>
      <rPr>
        <b/>
        <i/>
        <sz val="10"/>
        <rFont val="Helv"/>
        <family val="0"/>
      </rPr>
      <t>(</t>
    </r>
    <r>
      <rPr>
        <b/>
        <i/>
        <u val="single"/>
        <sz val="10"/>
        <rFont val="Helv"/>
        <family val="0"/>
      </rPr>
      <t>Excluding</t>
    </r>
    <r>
      <rPr>
        <b/>
        <i/>
        <sz val="10"/>
        <rFont val="Helv"/>
        <family val="0"/>
      </rPr>
      <t xml:space="preserve"> Dental, Mental Health and Other)</t>
    </r>
  </si>
  <si>
    <t>Other - Specify</t>
  </si>
  <si>
    <t>Total (1 thru 4)</t>
  </si>
  <si>
    <r>
      <t xml:space="preserve">Grants </t>
    </r>
    <r>
      <rPr>
        <b/>
        <i/>
        <sz val="10"/>
        <rFont val="Helv"/>
        <family val="0"/>
      </rPr>
      <t>(Excluding PHS)</t>
    </r>
  </si>
  <si>
    <t>Form A-3 (Direct Mental Health Care Cost)</t>
  </si>
  <si>
    <t>C.</t>
  </si>
  <si>
    <t>DIRECT MENTAL HEALTH CARE COST</t>
  </si>
  <si>
    <t>Psychologist</t>
  </si>
  <si>
    <t>Social Worker</t>
  </si>
  <si>
    <t>Subtotal Direct Mental Health Care Cost</t>
  </si>
  <si>
    <t>Other Direct Mental Health Care Cost</t>
  </si>
  <si>
    <t>Depreciation - Mental Health Equipment</t>
  </si>
  <si>
    <t>Subtotal Other Direct Mental Health Care Cost</t>
  </si>
  <si>
    <t>TOTAL DIRECT MENTAL HEALTH CARE COST (1d &amp; 2f)</t>
  </si>
  <si>
    <t>D.</t>
  </si>
  <si>
    <t>TOTAL DIRECT COST BEFORE NON-ALLOWABLE SERVICES</t>
  </si>
  <si>
    <t>Form A-4 (Non-Allowable Direct Other Service Cost)</t>
  </si>
  <si>
    <t>E.</t>
  </si>
  <si>
    <t>NON-ALLOWABLE DIRECT OTHER SERVICE COST</t>
  </si>
  <si>
    <t>Service</t>
  </si>
  <si>
    <t>Clinical Diagnostic Lab</t>
  </si>
  <si>
    <t>Prescription Drugs/Pharmacy</t>
  </si>
  <si>
    <t>Battered Women</t>
  </si>
  <si>
    <t>Homeless</t>
  </si>
  <si>
    <t>WIC</t>
  </si>
  <si>
    <t>Non-FQHC Sites</t>
  </si>
  <si>
    <t xml:space="preserve">Total Non-Allowable Direct Other Service Cost </t>
  </si>
  <si>
    <t>F.</t>
  </si>
  <si>
    <t>TOTAL DIRECT COST (D+E1i)</t>
  </si>
  <si>
    <t>Form A-5 (Overhead Cost)</t>
  </si>
  <si>
    <t>G.</t>
  </si>
  <si>
    <t>OVERHEAD - FACILITY COST</t>
  </si>
  <si>
    <t>Rent</t>
  </si>
  <si>
    <t>Insurance</t>
  </si>
  <si>
    <t>Interest on Mortgage or Loans</t>
  </si>
  <si>
    <t>Utilities</t>
  </si>
  <si>
    <t>Depreciation - Building</t>
  </si>
  <si>
    <t>Depreciation - Equipment</t>
  </si>
  <si>
    <t>Housekeeping &amp; Maintenance</t>
  </si>
  <si>
    <t>Subtotal Overhead - Facility Cost</t>
  </si>
  <si>
    <t>H.</t>
  </si>
  <si>
    <t>OVERHEAD - ADMINISTRATIVE COST</t>
  </si>
  <si>
    <t>Office Salaries</t>
  </si>
  <si>
    <t>Depreciation - Office Equipment</t>
  </si>
  <si>
    <t>Office Supplies</t>
  </si>
  <si>
    <t>Legal</t>
  </si>
  <si>
    <t>Accounting</t>
  </si>
  <si>
    <t>Telephone</t>
  </si>
  <si>
    <t>Advertising-Help Wanted</t>
  </si>
  <si>
    <t>Interest - Capital Loans</t>
  </si>
  <si>
    <t>j.</t>
  </si>
  <si>
    <t>k.</t>
  </si>
  <si>
    <t>Subtotal Overhead - Administrative Cost</t>
  </si>
  <si>
    <t>I.</t>
  </si>
  <si>
    <t>TOTAL OVERHEAD COST (Gi+Hk)</t>
  </si>
  <si>
    <t>J.</t>
  </si>
  <si>
    <r>
      <t>GRAND TOTAL COSTS</t>
    </r>
    <r>
      <rPr>
        <b/>
        <vertAlign val="superscript"/>
        <sz val="10"/>
        <rFont val="Helv"/>
        <family val="0"/>
      </rPr>
      <t>2</t>
    </r>
    <r>
      <rPr>
        <b/>
        <sz val="10"/>
        <rFont val="Helv"/>
        <family val="0"/>
      </rPr>
      <t xml:space="preserve"> (F+I)</t>
    </r>
  </si>
  <si>
    <r>
      <rPr>
        <b/>
        <i/>
        <vertAlign val="superscript"/>
        <sz val="8"/>
        <rFont val="Helv"/>
        <family val="0"/>
      </rPr>
      <t xml:space="preserve">2 </t>
    </r>
    <r>
      <rPr>
        <b/>
        <i/>
        <sz val="8"/>
        <rFont val="Helv"/>
        <family val="0"/>
      </rPr>
      <t>Reconciliation schedule is required if Line J, Column III does not agree to the Audited Financial Statements</t>
    </r>
  </si>
  <si>
    <t>Form B-1 (Compensation, Encounters, Hours, FTEs - Health Care)</t>
  </si>
  <si>
    <t>HEALTH CARE COMPENSATION, ENCOUNTERS, HOURS, AND FTEs BY PRACTITIONER</t>
  </si>
  <si>
    <r>
      <t xml:space="preserve">HEALTH CARE COMPENSATION, ENCOUNTERS, HOURS, &amp; FTEs </t>
    </r>
    <r>
      <rPr>
        <b/>
        <i/>
        <sz val="10"/>
        <rFont val="Arial"/>
        <family val="2"/>
      </rPr>
      <t>(Excluding Dental, Mental Health, and Other)</t>
    </r>
  </si>
  <si>
    <t>Total Employee Hours and FTEs</t>
  </si>
  <si>
    <t>Employee</t>
  </si>
  <si>
    <t>FTEs</t>
  </si>
  <si>
    <t>Specialty</t>
  </si>
  <si>
    <t>Compensation</t>
  </si>
  <si>
    <t>Encounters</t>
  </si>
  <si>
    <t>Total Hours</t>
  </si>
  <si>
    <t>(2080 hrs = 1 FTE)</t>
  </si>
  <si>
    <t>Provide itemized de-identified list (e.g., Physician 1)</t>
  </si>
  <si>
    <t>General Practitioner</t>
  </si>
  <si>
    <t>PHYSICIAN</t>
  </si>
  <si>
    <t>9.</t>
  </si>
  <si>
    <t>10.</t>
  </si>
  <si>
    <t>Total Physician Encounters, Staff Hours and FTEs</t>
  </si>
  <si>
    <t>PHYSICIAN ASSISTANT</t>
  </si>
  <si>
    <t>Total Physician Assistant Encounters, Hours and FTEs</t>
  </si>
  <si>
    <r>
      <t xml:space="preserve">Form B-1 </t>
    </r>
    <r>
      <rPr>
        <b/>
        <i/>
        <sz val="10"/>
        <rFont val="Arial"/>
        <family val="2"/>
      </rPr>
      <t xml:space="preserve">Continued </t>
    </r>
    <r>
      <rPr>
        <b/>
        <sz val="10"/>
        <rFont val="Arial"/>
        <family val="2"/>
      </rPr>
      <t>(Compensation, Encounters, Hours, FTEs - Health Care)</t>
    </r>
  </si>
  <si>
    <t>NURSE (APRN, MIDWIFE, RN)</t>
  </si>
  <si>
    <t>Total Nurse Practioner</t>
  </si>
  <si>
    <t>Total Physician Services Under Contract</t>
  </si>
  <si>
    <t>OTHER HEALTH CARE PRACTITIONER</t>
  </si>
  <si>
    <t>Total Other Health Care Practitioner</t>
  </si>
  <si>
    <t>Form B-2 (Compensation, Encounters, Hours, FTEs - Dental Care)</t>
  </si>
  <si>
    <t>DENTAL SERVICES COMPENSATION, ENCOUNTERS, HOURS, AND FTEs BY PRACTITIONER</t>
  </si>
  <si>
    <t>DENTAL CARE COMPENSATION, ENCOUNTERS, HOURS, &amp; FTEs</t>
  </si>
  <si>
    <t>Provide itemized de-identified list (e.g., Dentist 1)</t>
  </si>
  <si>
    <t>DENTIST</t>
  </si>
  <si>
    <t>Total Dentist Encounters, Staff Hours and FTEs</t>
  </si>
  <si>
    <t>DENTAL HYGIENIST</t>
  </si>
  <si>
    <t>Total Dental Hygienist Encounters, Hours and FTEs</t>
  </si>
  <si>
    <t>OTHER DENTAL PRACTITIONER</t>
  </si>
  <si>
    <t>Total Other Dental Practitioner Encounters, Hours and FTEs</t>
  </si>
  <si>
    <t>Form B-3 (Compensation, Encounters, Hours, FTEs - Mental Health Care)</t>
  </si>
  <si>
    <t>MENTAL HEALTH SERVICES COMPENSATION, ENCOUNTERS, HOURS, AND FTEs BY PRACTITIONER</t>
  </si>
  <si>
    <t>MENTAL HEALTH SERVICES COMPENSATION, ENCOUNTERS, HOURS, &amp; FTEs</t>
  </si>
  <si>
    <t>Provide itemized de-identified list (e.g., Psychologist 1)</t>
  </si>
  <si>
    <t>PSYCHOLOGIST</t>
  </si>
  <si>
    <t>Total Psychologist Encounters, Staff Hours and FTEs</t>
  </si>
  <si>
    <t>SOCIAL WORKER</t>
  </si>
  <si>
    <t>Total Social Worker Encounters, Hours and FTEs</t>
  </si>
  <si>
    <t>OTHER MENTAL HEALTH PRACTITIONER</t>
  </si>
  <si>
    <t>Total Other Mental Health Practitioner Encounters, Hours and FTEs</t>
  </si>
  <si>
    <t>Form B-4 (Summary Compensation, Encounters, Hours, FTEs)</t>
  </si>
  <si>
    <t>SUMMARY COMPENSATION, ENCOUNTERS, HOURS, AND FTEs BY PRACTITIONER TYPE</t>
  </si>
  <si>
    <t>Compensation Range</t>
  </si>
  <si>
    <t>Turnover</t>
  </si>
  <si>
    <t>Employee Hours and FTEs</t>
  </si>
  <si>
    <t>Number of</t>
  </si>
  <si>
    <t>FTEs (2,080</t>
  </si>
  <si>
    <t>Practitioners</t>
  </si>
  <si>
    <t>High</t>
  </si>
  <si>
    <t>Low</t>
  </si>
  <si>
    <t>Hires</t>
  </si>
  <si>
    <t>Departures</t>
  </si>
  <si>
    <t>hrs = 1 FTE)</t>
  </si>
  <si>
    <t>VIII</t>
  </si>
  <si>
    <t>IX</t>
  </si>
  <si>
    <t>HEALTH CARE PRACTITIONERS</t>
  </si>
  <si>
    <t>OTHER HEALTH PROFESSIONALS</t>
  </si>
  <si>
    <t>OTHER ALLIED HEALTH PROFESSIONALS</t>
  </si>
  <si>
    <t>OTHER HEALTH CARE PRACTITIONERS</t>
  </si>
  <si>
    <t>Total Health Care</t>
  </si>
  <si>
    <t>DENTAL PRACTITIONERS</t>
  </si>
  <si>
    <t>OTHER DENTAL PRACTITIONERS</t>
  </si>
  <si>
    <t>Total Dental</t>
  </si>
  <si>
    <t>MENTAL HEALTH PRACTITIONERS</t>
  </si>
  <si>
    <t>PSYCHIATRIST</t>
  </si>
  <si>
    <t>LICENSED CLINICAL SOCIAL WORKER</t>
  </si>
  <si>
    <t>PSYCHIATRIC APRN</t>
  </si>
  <si>
    <t>OTHER MENTAL HEALTH PRACTITIONERS</t>
  </si>
  <si>
    <t>Total Mental Health</t>
  </si>
  <si>
    <t>Form C (Cost Adjustment &amp; Allocation)</t>
  </si>
  <si>
    <t>COST ADJUSTMENT AND ALLOCATION</t>
  </si>
  <si>
    <t>Direct Cost Title XIX Services (P5 - Form A-3, Line D, Col. VII)</t>
  </si>
  <si>
    <t>Direct Cost Other Services (P6 - Form A-4, Line E.1.i, Col. VII)</t>
  </si>
  <si>
    <t>Total Direct Costs (A+B)</t>
  </si>
  <si>
    <t>Portion of Title XIX Services (A/C)</t>
  </si>
  <si>
    <t>Total Overhead Cost (P7 - Form A-5, Line I, Col. VII)</t>
  </si>
  <si>
    <t>Overhead Cost Applicable to Title XIX Services (DxE)</t>
  </si>
  <si>
    <t>Total Title XIX Services Cost (A+F)</t>
  </si>
  <si>
    <t>Thirty Percent (30%) of Total Title XIX Svc Cost (Gx.30)</t>
  </si>
  <si>
    <t>Cost Adjustment (Lower of H-F or Zero)</t>
  </si>
  <si>
    <t>Allowable Title XIX Overhead Cost (F+I)</t>
  </si>
  <si>
    <t>K.</t>
  </si>
  <si>
    <t>Direct Costs</t>
  </si>
  <si>
    <t>Health Care Services (P3 - Form A-1, Line A3, Col. VII)</t>
  </si>
  <si>
    <t>Dental Services (P4 - Form A-2, Line B3, Col. VII)</t>
  </si>
  <si>
    <t>Mental Health Services (P5 - Form A-3, Line C3, Col. VII)</t>
  </si>
  <si>
    <t>Total Direct Costs (K1 thru K3)</t>
  </si>
  <si>
    <t>L.</t>
  </si>
  <si>
    <t>Direct Costs as a % of Total</t>
  </si>
  <si>
    <t>Health Care Services (K1/K4)</t>
  </si>
  <si>
    <t>Dental Services (K2/K4)</t>
  </si>
  <si>
    <t>Mental Health Services (K3/K4)</t>
  </si>
  <si>
    <t>M.</t>
  </si>
  <si>
    <t>Allocated Allowable Overhead Cost</t>
  </si>
  <si>
    <t>Health Care Services (JxL1)</t>
  </si>
  <si>
    <t>Dental Services (JxL2)</t>
  </si>
  <si>
    <t>Mental Health Services (JxL3)</t>
  </si>
  <si>
    <t>Total Allowable Title XIX Overhead Cost (M1 thru M3)</t>
  </si>
  <si>
    <t>Form D (Allowable Cost per Encounter)</t>
  </si>
  <si>
    <t>ALLOWABLE COST PER ENCOUNTER</t>
  </si>
  <si>
    <r>
      <t>Health Care Cost (</t>
    </r>
    <r>
      <rPr>
        <b/>
        <u val="single"/>
        <sz val="10"/>
        <rFont val="Helv"/>
        <family val="0"/>
      </rPr>
      <t>Excluding Dental and Mental Health)</t>
    </r>
  </si>
  <si>
    <t>Direct Health Care Cost  (P3 - Form A-1, Line A3, Col. VII)</t>
  </si>
  <si>
    <t>Allowable Overhead Cost (P13 - Form C, Line M1)</t>
  </si>
  <si>
    <t>Total Allowable Health Care Cost (A+B)</t>
  </si>
  <si>
    <t>Encounters (P12 - Form B-4, Health Care Total)</t>
  </si>
  <si>
    <t>Allowable Health Care Cost Per Encounter (C/D)</t>
  </si>
  <si>
    <t>II.</t>
  </si>
  <si>
    <t>Direct Dental Care Cost (P4 - Form A-2, Line B3, Col. VII)</t>
  </si>
  <si>
    <t>Allowable Overhead Cost (P13 - Form C, Line M2)</t>
  </si>
  <si>
    <t>Total Allowable Dental Cost (A+B)</t>
  </si>
  <si>
    <t>Encounters (P12 - Form B-4, Dental Total)</t>
  </si>
  <si>
    <t>Allowable Dental Cost Per Encounter (C/D)</t>
  </si>
  <si>
    <t>III.</t>
  </si>
  <si>
    <t>Direct Mental Health Care Cost (P5 - Form A-3, Line C3, Col. VII)</t>
  </si>
  <si>
    <t>Allowable Overhead Cost (P13 - Form C, Line M3)</t>
  </si>
  <si>
    <t>Total Allowable Mental Health Cost (A+B)</t>
  </si>
  <si>
    <t>Encounters (P12 - Form B-4, Mental Health Total)</t>
  </si>
  <si>
    <t>Allowable Mental Health Cost Per Encounter (C/D)</t>
  </si>
  <si>
    <t>Form E (Revenues)</t>
  </si>
  <si>
    <t>REVENUES</t>
  </si>
  <si>
    <t>Operating Revenue</t>
  </si>
  <si>
    <t>Services Excluding Dental, Mental Health &amp; Other</t>
  </si>
  <si>
    <t>Total                     (Col. I thru IV)</t>
  </si>
  <si>
    <t>Medicaid</t>
  </si>
  <si>
    <t>Private</t>
  </si>
  <si>
    <t>Medicare</t>
  </si>
  <si>
    <t>Patient Cash/Self Pay</t>
  </si>
  <si>
    <t>Total (1 thru 5)</t>
  </si>
  <si>
    <t>Other Revenue</t>
  </si>
  <si>
    <t>Grants</t>
  </si>
  <si>
    <t>Interest</t>
  </si>
  <si>
    <t>Donations</t>
  </si>
  <si>
    <t>11.</t>
  </si>
  <si>
    <t>Total (1 thru 10)</t>
  </si>
  <si>
    <t>Other Revenue                                            (Include revenue generated by non-approved FQHC sites)</t>
  </si>
  <si>
    <t>Total (1 thru 7)</t>
  </si>
  <si>
    <t>Total Revenue (A6+B11+C7)</t>
  </si>
  <si>
    <t>Form G (Cost Disallowance and Offset)</t>
  </si>
  <si>
    <t>COST DISALLOWANCE AND OFFSET</t>
  </si>
  <si>
    <t>Cost Disallowance</t>
  </si>
  <si>
    <t>Entertainment</t>
  </si>
  <si>
    <t>Fines and penalties</t>
  </si>
  <si>
    <t>Bad debt</t>
  </si>
  <si>
    <t>Cost of actions to collect receivables</t>
  </si>
  <si>
    <t>Advertising, except for recruitment of personnel</t>
  </si>
  <si>
    <t>Contingent reserves</t>
  </si>
  <si>
    <t>Legal, Accounting and professional services incurred in connection with rehearing, arbitration, or judicial proceedings pertaining to the reimbursement approved by the Commissioner</t>
  </si>
  <si>
    <t>Fundraising</t>
  </si>
  <si>
    <t>Amortization of goodwill</t>
  </si>
  <si>
    <t>Directors fees</t>
  </si>
  <si>
    <t>12.</t>
  </si>
  <si>
    <t>Membership dues for public relations</t>
  </si>
  <si>
    <t>13.</t>
  </si>
  <si>
    <t>Cost not related to patient care</t>
  </si>
  <si>
    <t>14.</t>
  </si>
  <si>
    <t>15.</t>
  </si>
  <si>
    <t>Pass through expenses</t>
  </si>
  <si>
    <t>16.</t>
  </si>
  <si>
    <t>Total (1 thru 15)</t>
  </si>
  <si>
    <r>
      <t xml:space="preserve">Cost Offset </t>
    </r>
    <r>
      <rPr>
        <b/>
        <i/>
        <sz val="10"/>
        <rFont val="Helv"/>
        <family val="0"/>
      </rPr>
      <t>(Expense Recovery)</t>
    </r>
  </si>
  <si>
    <t>Refunds - Medicaid Outreach</t>
  </si>
  <si>
    <t>Rent Income</t>
  </si>
  <si>
    <t>In-Kind Medical Supplies</t>
  </si>
  <si>
    <t>In-Kind Dental Supplies</t>
  </si>
  <si>
    <t>In-Kind Computer Supplies</t>
  </si>
  <si>
    <t>In-Kind Advertising</t>
  </si>
  <si>
    <t>Total (1 thru 6)</t>
  </si>
  <si>
    <t>Total Cost Disallowance and Offset (A16+B7)</t>
  </si>
  <si>
    <t>APRN</t>
  </si>
  <si>
    <t>APRN #2</t>
  </si>
  <si>
    <t>APRN #3</t>
  </si>
  <si>
    <t>APRN #4</t>
  </si>
  <si>
    <t>APRN #5</t>
  </si>
  <si>
    <t xml:space="preserve">APRN #6 </t>
  </si>
  <si>
    <t>RN</t>
  </si>
  <si>
    <t>Per Contract</t>
  </si>
  <si>
    <t>RN#1</t>
  </si>
  <si>
    <t>RN#2</t>
  </si>
  <si>
    <t>RN#3</t>
  </si>
  <si>
    <t>RN#4</t>
  </si>
  <si>
    <t>RN#5</t>
  </si>
  <si>
    <t>RN#6</t>
  </si>
  <si>
    <t>RN#7</t>
  </si>
  <si>
    <t>RN#8</t>
  </si>
  <si>
    <t>RN#9</t>
  </si>
  <si>
    <t>RN#10</t>
  </si>
  <si>
    <t xml:space="preserve">15. </t>
  </si>
  <si>
    <t xml:space="preserve">16. </t>
  </si>
  <si>
    <t>17.</t>
  </si>
  <si>
    <t>18.</t>
  </si>
  <si>
    <t>MA #1</t>
  </si>
  <si>
    <t>MA #2</t>
  </si>
  <si>
    <t>MA #3</t>
  </si>
  <si>
    <t>MA #4</t>
  </si>
  <si>
    <t>MA #5</t>
  </si>
  <si>
    <t>MA #6</t>
  </si>
  <si>
    <t>MA #7</t>
  </si>
  <si>
    <t>MA #8</t>
  </si>
  <si>
    <t>MA #9</t>
  </si>
  <si>
    <t>MA #10</t>
  </si>
  <si>
    <t>MA #11</t>
  </si>
  <si>
    <t>MA #12</t>
  </si>
  <si>
    <t>MA #13</t>
  </si>
  <si>
    <t>MA #14</t>
  </si>
  <si>
    <t>MA #15</t>
  </si>
  <si>
    <t>MA #16</t>
  </si>
  <si>
    <t>MA #17</t>
  </si>
  <si>
    <t>MA #18</t>
  </si>
  <si>
    <t>19.</t>
  </si>
  <si>
    <t>20.</t>
  </si>
  <si>
    <t>21.</t>
  </si>
  <si>
    <t>22.</t>
  </si>
  <si>
    <t>23.</t>
  </si>
  <si>
    <t>24.</t>
  </si>
  <si>
    <t>25.</t>
  </si>
  <si>
    <t>26.</t>
  </si>
  <si>
    <t>MA #19</t>
  </si>
  <si>
    <t>MA #20</t>
  </si>
  <si>
    <t>MA #21</t>
  </si>
  <si>
    <t>MA #22</t>
  </si>
  <si>
    <t>MA #23</t>
  </si>
  <si>
    <t>MA #24</t>
  </si>
  <si>
    <t>MA #25</t>
  </si>
  <si>
    <t>MA #26</t>
  </si>
  <si>
    <t>MA #27</t>
  </si>
  <si>
    <t>MA #28</t>
  </si>
  <si>
    <t>MA #29</t>
  </si>
  <si>
    <t>MA #30</t>
  </si>
  <si>
    <t>MA #31</t>
  </si>
  <si>
    <t>MA #32</t>
  </si>
  <si>
    <t>MA #33</t>
  </si>
  <si>
    <t>MA #34</t>
  </si>
  <si>
    <t>MA #35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</si>
  <si>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</si>
  <si>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</si>
  <si>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</si>
  <si>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</si>
  <si>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</si>
  <si>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</si>
  <si>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</si>
  <si>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</si>
  <si>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</si>
  <si>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LPN#1</t>
  </si>
  <si>
    <t>LPN#2</t>
  </si>
  <si>
    <t>LPN#3</t>
  </si>
  <si>
    <t>LPN#4</t>
  </si>
  <si>
    <t>LPN#5</t>
  </si>
  <si>
    <t>LPN#6</t>
  </si>
  <si>
    <t>LPN#7</t>
  </si>
  <si>
    <t>LMFT #1</t>
  </si>
  <si>
    <t>Professional services</t>
  </si>
  <si>
    <t>Other fees</t>
  </si>
  <si>
    <t xml:space="preserve">Staff trainings </t>
  </si>
  <si>
    <t>other fees</t>
  </si>
  <si>
    <t>After hours answering service</t>
  </si>
  <si>
    <t xml:space="preserve">Direct Professional service </t>
  </si>
  <si>
    <t>propio</t>
  </si>
  <si>
    <t>certified languages</t>
  </si>
  <si>
    <t>afterhours</t>
  </si>
  <si>
    <t>Wheeler</t>
  </si>
  <si>
    <t>University</t>
  </si>
  <si>
    <t>Accurate answer</t>
  </si>
  <si>
    <t>LCP#1</t>
  </si>
  <si>
    <t>Psychiatric Nurse Practitioner</t>
  </si>
  <si>
    <t>Teaching Health Center Private Support</t>
  </si>
  <si>
    <t>Teaching Health CenterUniv Support</t>
  </si>
  <si>
    <t>Private Donors</t>
  </si>
  <si>
    <t>Federal Teaching Health Center</t>
  </si>
  <si>
    <t>Expanded services</t>
  </si>
  <si>
    <t>State DPH</t>
  </si>
  <si>
    <t>State (Danbury SBHC)</t>
  </si>
  <si>
    <t>CHCACT Pass Throughs</t>
  </si>
  <si>
    <t>Dental assistant</t>
  </si>
  <si>
    <t>Staff Development</t>
  </si>
  <si>
    <t>Behavioral Health APRN</t>
  </si>
  <si>
    <t>Psych BH RN</t>
  </si>
  <si>
    <t>LCP</t>
  </si>
  <si>
    <t>EMR</t>
  </si>
  <si>
    <t>Fringe benefits and taxes</t>
  </si>
  <si>
    <t>Staff Development and Travel</t>
  </si>
  <si>
    <t>Payroll and Data / EMR Processing / Professional services</t>
  </si>
  <si>
    <t>Dues and Subscriptions/Advertising</t>
  </si>
  <si>
    <t>Bad Debt</t>
  </si>
  <si>
    <t>PSYCHOLOGIST (LCP)</t>
  </si>
  <si>
    <t>13.'</t>
  </si>
  <si>
    <t>29.'</t>
  </si>
  <si>
    <t>Physician #1</t>
  </si>
  <si>
    <t>Physician #2</t>
  </si>
  <si>
    <t>Physician #3</t>
  </si>
  <si>
    <t>Physician #4</t>
  </si>
  <si>
    <t>Physician #5</t>
  </si>
  <si>
    <t>Physician #6</t>
  </si>
  <si>
    <t>Physician #7</t>
  </si>
  <si>
    <t>Physician #8</t>
  </si>
  <si>
    <t>Physician #9</t>
  </si>
  <si>
    <t>Physician #10</t>
  </si>
  <si>
    <t>Physician #11</t>
  </si>
  <si>
    <t>Physician #12</t>
  </si>
  <si>
    <t>Physician #13</t>
  </si>
  <si>
    <t>Physician #14</t>
  </si>
  <si>
    <t>Primary Care Resident Physician #1</t>
  </si>
  <si>
    <t>Primary Care Resident Physician #2</t>
  </si>
  <si>
    <t>Primary Care Resident Physician #3</t>
  </si>
  <si>
    <t>Primary Care Resident Physician #4</t>
  </si>
  <si>
    <t>Primary Care Resident Physician #5</t>
  </si>
  <si>
    <t>Primary Care Resident Physician #6</t>
  </si>
  <si>
    <t>Primary Care Resident Physician #7</t>
  </si>
  <si>
    <t>Primary Care Resident Physician #8</t>
  </si>
  <si>
    <t>Primary Care Resident Physician #9</t>
  </si>
  <si>
    <t>Primary Care Resident Physician #10</t>
  </si>
  <si>
    <t>Primary Care Resident Physician #11</t>
  </si>
  <si>
    <t>Primary Care Resident Physician #12</t>
  </si>
  <si>
    <t>Primary Care Resident Physician #13</t>
  </si>
  <si>
    <t>Primary Care Resident Physician #14</t>
  </si>
  <si>
    <t>Primary Care Resident Physician #15</t>
  </si>
  <si>
    <t>Primary Care Resident Physician #16</t>
  </si>
  <si>
    <t>Primary Care Resident Physician #17</t>
  </si>
  <si>
    <t>Primary Care Resident Physician #18</t>
  </si>
  <si>
    <t>Primary Care Resident Physician #19</t>
  </si>
  <si>
    <t>Primary Care Resident Physician #20</t>
  </si>
  <si>
    <t>Primary Care Resident Physician #21</t>
  </si>
  <si>
    <t>Primary Care Resident Physician #22</t>
  </si>
  <si>
    <t>Primary Care Resident Physician #23</t>
  </si>
  <si>
    <t>Primary Care Resident Physician #24</t>
  </si>
  <si>
    <t>Primary Care Resident Physician #25</t>
  </si>
  <si>
    <t>Primary Care Resident Physician #26</t>
  </si>
  <si>
    <t>Primary Care Resident Physician #27</t>
  </si>
  <si>
    <t>Primary Care Resident Physician #28</t>
  </si>
  <si>
    <t>Primary Care Resident Physician #29</t>
  </si>
  <si>
    <t>Primary Care Resident Physician #30</t>
  </si>
  <si>
    <t>Primary Care Resident Physician #31</t>
  </si>
  <si>
    <t>Primary Care Resident Physician #32</t>
  </si>
  <si>
    <t>Primary Care Resident Physician #33</t>
  </si>
  <si>
    <t>Pediatrician</t>
  </si>
  <si>
    <t>Internist</t>
  </si>
  <si>
    <t>Chief of Medicine</t>
  </si>
  <si>
    <t>Chief of OBGYN</t>
  </si>
  <si>
    <t>Interim Assistant Medical Director</t>
  </si>
  <si>
    <t>Interim Medical Director</t>
  </si>
  <si>
    <t>IM Resident</t>
  </si>
  <si>
    <t>Primary Care Resident Physician #34</t>
  </si>
  <si>
    <t>Chief Resident</t>
  </si>
  <si>
    <t xml:space="preserve">included the internist part </t>
  </si>
  <si>
    <t>Physician #15</t>
  </si>
  <si>
    <t>Physician #16</t>
  </si>
  <si>
    <t>Physician #17</t>
  </si>
  <si>
    <t>Physician #18</t>
  </si>
  <si>
    <t>Physician #19</t>
  </si>
  <si>
    <t>340B Pharmacy</t>
  </si>
  <si>
    <t>State DPH/CHC</t>
  </si>
  <si>
    <t xml:space="preserve">APRN #1 </t>
  </si>
  <si>
    <t>PRIMARY CARE RESIDENT PHYSICIANS</t>
  </si>
  <si>
    <t xml:space="preserve">Dentist #1 </t>
  </si>
  <si>
    <t xml:space="preserve">Dentist #2 </t>
  </si>
  <si>
    <t xml:space="preserve">Dentist #3 </t>
  </si>
  <si>
    <t>Dental Hygenist # 1</t>
  </si>
  <si>
    <t xml:space="preserve">Dental Hygenist # 2 </t>
  </si>
  <si>
    <t xml:space="preserve">BH APRN #1 </t>
  </si>
  <si>
    <t>BH APRN #2</t>
  </si>
  <si>
    <t xml:space="preserve">PSY BH RN#2 </t>
  </si>
  <si>
    <t>PSY BH RN#3</t>
  </si>
  <si>
    <t>PSY APRN</t>
  </si>
  <si>
    <t>Chief Financial Officer</t>
  </si>
  <si>
    <t>Chief Executive Officer</t>
  </si>
  <si>
    <t>(*) Seasonal Site</t>
  </si>
  <si>
    <t>36.</t>
  </si>
  <si>
    <t>37.</t>
  </si>
  <si>
    <t>38.</t>
  </si>
  <si>
    <t>39.</t>
  </si>
  <si>
    <t>40.</t>
  </si>
  <si>
    <t>42.</t>
  </si>
  <si>
    <t>43.</t>
  </si>
  <si>
    <t>44.</t>
  </si>
  <si>
    <t>41.</t>
  </si>
  <si>
    <t>45.</t>
  </si>
  <si>
    <t>46.</t>
  </si>
  <si>
    <t>47.</t>
  </si>
  <si>
    <t>48.</t>
  </si>
  <si>
    <t>49.</t>
  </si>
  <si>
    <t>51.</t>
  </si>
  <si>
    <t>50.</t>
  </si>
  <si>
    <t>52.</t>
  </si>
  <si>
    <t>53.</t>
  </si>
  <si>
    <t>PPP Receipt</t>
  </si>
  <si>
    <t>Dental Assistant #1</t>
  </si>
  <si>
    <t>Dental Assistant #2</t>
  </si>
  <si>
    <t>Dental Assistant #3</t>
  </si>
  <si>
    <t>Dental Assistant #4</t>
  </si>
  <si>
    <t xml:space="preserve">Psychiatrist #1 </t>
  </si>
  <si>
    <t>Psychiatrist #2</t>
  </si>
  <si>
    <t>LCSW #1</t>
  </si>
  <si>
    <t>LCSW #2</t>
  </si>
  <si>
    <t>LCSW #3</t>
  </si>
  <si>
    <t>LCSW #4</t>
  </si>
  <si>
    <t>LCSW #5</t>
  </si>
  <si>
    <t>LCSW #6</t>
  </si>
  <si>
    <t>LCSW #7</t>
  </si>
  <si>
    <t>LCSW #8</t>
  </si>
  <si>
    <t>LCSW #9</t>
  </si>
  <si>
    <t>LCSW #10</t>
  </si>
  <si>
    <t>LCSW #11</t>
  </si>
  <si>
    <t>LCSW #12</t>
  </si>
  <si>
    <t>LCSW #13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</si>
</sst>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_(* #,##0_);_(* \(#,##0\);_(* &quot;-&quot;??_);_(@_)"/>
    <numFmt numFmtId="167" formatCode="0.0_)"/>
    <numFmt numFmtId="168" formatCode="0.00_)"/>
    <numFmt numFmtId="169" formatCode="#,##0.0_);\(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00000_);\(#,##0.000000000\)"/>
    <numFmt numFmtId="175" formatCode="#,##0.00000000_);\(#,##0.00000000\)"/>
    <numFmt numFmtId="176" formatCode="#,##0.0000000_);\(#,##0.0000000\)"/>
    <numFmt numFmtId="177" formatCode="#,##0.000000_);\(#,##0.000000\)"/>
    <numFmt numFmtId="178" formatCode="#,##0.00000_);\(#,##0.00000\)"/>
    <numFmt numFmtId="179" formatCode="#,##0.0000_);\(#,##0.0000\)"/>
    <numFmt numFmtId="180" formatCode="#,##0.000_);\(#,##0.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Helv"/>
      <family val="0"/>
    </font>
    <font>
      <b/>
      <sz val="1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Helv"/>
      <family val="0"/>
    </font>
    <font>
      <b/>
      <sz val="11"/>
      <name val="Arial"/>
      <family val="2"/>
    </font>
    <font>
      <b/>
      <u val="single"/>
      <sz val="12"/>
      <name val="Helv"/>
      <family val="0"/>
    </font>
    <font>
      <b/>
      <i/>
      <sz val="12"/>
      <name val="Helv"/>
      <family val="0"/>
    </font>
    <font>
      <b/>
      <sz val="9"/>
      <name val="Helv"/>
      <family val="0"/>
    </font>
    <font>
      <sz val="11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sz val="8"/>
      <color indexed="8"/>
      <name val="Helv"/>
      <family val="0"/>
    </font>
    <font>
      <sz val="10"/>
      <name val="Arial"/>
      <family val="2"/>
    </font>
    <font>
      <b/>
      <sz val="12"/>
      <color indexed="8"/>
      <name val="Helv"/>
      <family val="0"/>
    </font>
    <font>
      <b/>
      <sz val="8"/>
      <name val="Helv"/>
      <family val="0"/>
    </font>
    <font>
      <sz val="8"/>
      <name val="Helv"/>
      <family val="0"/>
    </font>
    <font>
      <sz val="8"/>
      <color indexed="12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Helv"/>
      <family val="0"/>
    </font>
    <font>
      <b/>
      <vertAlign val="superscript"/>
      <sz val="10"/>
      <name val="Helv"/>
      <family val="0"/>
    </font>
    <font>
      <b/>
      <i/>
      <sz val="8"/>
      <name val="Helv"/>
      <family val="0"/>
    </font>
    <font>
      <b/>
      <i/>
      <vertAlign val="superscript"/>
      <sz val="8"/>
      <name val="Helv"/>
      <family val="0"/>
    </font>
    <font>
      <b/>
      <i/>
      <sz val="10"/>
      <name val="Arial"/>
      <family val="2"/>
    </font>
    <font>
      <b/>
      <u val="single"/>
      <sz val="10"/>
      <name val="Helv"/>
      <family val="0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Helv"/>
      <family val="0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0"/>
      <color indexed="9"/>
      <name val="Helv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"/>
      <family val="0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0"/>
      <name val="Helv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8" fillId="0" borderId="0">
      <alignment/>
      <protection/>
    </xf>
    <xf numFmtId="164" fontId="2" fillId="0" borderId="0">
      <alignment/>
      <protection/>
    </xf>
    <xf numFmtId="165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69">
    <xf numFmtId="0" fontId="0" fillId="0" borderId="0" xfId="0" applyFont="1" applyAlignment="1">
      <alignment/>
    </xf>
    <xf numFmtId="164" fontId="3" fillId="33" borderId="0" xfId="56" applyFont="1" applyFill="1">
      <alignment/>
      <protection/>
    </xf>
    <xf numFmtId="164" fontId="2" fillId="33" borderId="0" xfId="56" applyFill="1">
      <alignment/>
      <protection/>
    </xf>
    <xf numFmtId="164" fontId="5" fillId="33" borderId="0" xfId="56" applyFont="1" applyFill="1">
      <alignment/>
      <protection/>
    </xf>
    <xf numFmtId="164" fontId="6" fillId="33" borderId="0" xfId="56" applyFont="1" applyFill="1" applyAlignment="1" quotePrefix="1">
      <alignment horizontal="left"/>
      <protection/>
    </xf>
    <xf numFmtId="164" fontId="6" fillId="33" borderId="0" xfId="56" applyFont="1" applyFill="1">
      <alignment/>
      <protection/>
    </xf>
    <xf numFmtId="14" fontId="6" fillId="33" borderId="10" xfId="56" applyNumberFormat="1" applyFont="1" applyFill="1" applyBorder="1" applyProtection="1">
      <alignment/>
      <protection locked="0"/>
    </xf>
    <xf numFmtId="14" fontId="6" fillId="33" borderId="10" xfId="56" applyNumberFormat="1" applyFont="1" applyFill="1" applyBorder="1">
      <alignment/>
      <protection/>
    </xf>
    <xf numFmtId="164" fontId="6" fillId="33" borderId="0" xfId="56" applyFont="1" applyFill="1" applyAlignment="1" quotePrefix="1">
      <alignment horizontal="right"/>
      <protection/>
    </xf>
    <xf numFmtId="164" fontId="6" fillId="33" borderId="11" xfId="56" applyFont="1" applyFill="1" applyBorder="1">
      <alignment/>
      <protection/>
    </xf>
    <xf numFmtId="164" fontId="6" fillId="33" borderId="12" xfId="56" applyFont="1" applyFill="1" applyBorder="1">
      <alignment/>
      <protection/>
    </xf>
    <xf numFmtId="164" fontId="6" fillId="33" borderId="13" xfId="56" applyFont="1" applyFill="1" applyBorder="1">
      <alignment/>
      <protection/>
    </xf>
    <xf numFmtId="164" fontId="6" fillId="33" borderId="14" xfId="56" applyFont="1" applyFill="1" applyBorder="1" applyAlignment="1">
      <alignment vertical="top"/>
      <protection/>
    </xf>
    <xf numFmtId="164" fontId="6" fillId="33" borderId="15" xfId="56" applyFont="1" applyFill="1" applyBorder="1" applyAlignment="1">
      <alignment vertical="top"/>
      <protection/>
    </xf>
    <xf numFmtId="164" fontId="6" fillId="33" borderId="16" xfId="56" applyFont="1" applyFill="1" applyBorder="1" applyAlignment="1">
      <alignment vertical="top"/>
      <protection/>
    </xf>
    <xf numFmtId="164" fontId="6" fillId="33" borderId="11" xfId="56" applyFont="1" applyFill="1" applyBorder="1" applyAlignment="1">
      <alignment horizontal="left"/>
      <protection/>
    </xf>
    <xf numFmtId="164" fontId="6" fillId="33" borderId="12" xfId="56" applyFont="1" applyFill="1" applyBorder="1" applyAlignment="1">
      <alignment horizontal="left"/>
      <protection/>
    </xf>
    <xf numFmtId="164" fontId="6" fillId="33" borderId="17" xfId="56" applyFont="1" applyFill="1" applyBorder="1">
      <alignment/>
      <protection/>
    </xf>
    <xf numFmtId="164" fontId="6" fillId="33" borderId="18" xfId="56" applyFont="1" applyFill="1" applyBorder="1" applyAlignment="1">
      <alignment horizontal="left"/>
      <protection/>
    </xf>
    <xf numFmtId="0" fontId="7" fillId="33" borderId="12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164" fontId="6" fillId="33" borderId="13" xfId="56" applyFont="1" applyFill="1" applyBorder="1" applyAlignment="1">
      <alignment horizontal="left"/>
      <protection/>
    </xf>
    <xf numFmtId="164" fontId="8" fillId="33" borderId="0" xfId="56" applyFont="1" applyFill="1" applyAlignment="1">
      <alignment horizontal="left"/>
      <protection/>
    </xf>
    <xf numFmtId="164" fontId="8" fillId="33" borderId="0" xfId="56" applyFont="1" applyFill="1" applyProtection="1">
      <alignment/>
      <protection locked="0"/>
    </xf>
    <xf numFmtId="164" fontId="8" fillId="33" borderId="20" xfId="56" applyFont="1" applyFill="1" applyBorder="1" applyAlignment="1">
      <alignment horizontal="left"/>
      <protection/>
    </xf>
    <xf numFmtId="164" fontId="8" fillId="33" borderId="0" xfId="56" applyFont="1" applyFill="1" applyAlignment="1">
      <alignment horizontal="right"/>
      <protection/>
    </xf>
    <xf numFmtId="14" fontId="8" fillId="33" borderId="10" xfId="56" applyNumberFormat="1" applyFont="1" applyFill="1" applyBorder="1" applyAlignment="1" applyProtection="1">
      <alignment horizontal="right"/>
      <protection locked="0"/>
    </xf>
    <xf numFmtId="0" fontId="9" fillId="33" borderId="0" xfId="0" applyFont="1" applyFill="1" applyAlignment="1">
      <alignment horizontal="right"/>
    </xf>
    <xf numFmtId="14" fontId="8" fillId="33" borderId="21" xfId="56" applyNumberFormat="1" applyFont="1" applyFill="1" applyBorder="1" applyAlignment="1" applyProtection="1">
      <alignment horizontal="right"/>
      <protection locked="0"/>
    </xf>
    <xf numFmtId="164" fontId="8" fillId="33" borderId="0" xfId="56" applyFont="1" applyFill="1" applyAlignment="1" applyProtection="1">
      <alignment horizontal="center"/>
      <protection locked="0"/>
    </xf>
    <xf numFmtId="14" fontId="8" fillId="33" borderId="0" xfId="56" applyNumberFormat="1" applyFont="1" applyFill="1" applyAlignment="1" applyProtection="1">
      <alignment horizontal="right"/>
      <protection locked="0"/>
    </xf>
    <xf numFmtId="14" fontId="8" fillId="33" borderId="22" xfId="56" applyNumberFormat="1" applyFont="1" applyFill="1" applyBorder="1" applyAlignment="1" applyProtection="1">
      <alignment horizontal="right"/>
      <protection locked="0"/>
    </xf>
    <xf numFmtId="164" fontId="6" fillId="33" borderId="0" xfId="56" applyFont="1" applyFill="1" applyAlignment="1">
      <alignment horizontal="left"/>
      <protection/>
    </xf>
    <xf numFmtId="164" fontId="6" fillId="33" borderId="23" xfId="56" applyFont="1" applyFill="1" applyBorder="1" applyAlignment="1">
      <alignment horizontal="left"/>
      <protection/>
    </xf>
    <xf numFmtId="164" fontId="6" fillId="33" borderId="0" xfId="56" applyFont="1" applyFill="1" applyAlignment="1">
      <alignment horizontal="right"/>
      <protection/>
    </xf>
    <xf numFmtId="0" fontId="7" fillId="33" borderId="0" xfId="0" applyFont="1" applyFill="1" applyAlignment="1">
      <alignment horizontal="right"/>
    </xf>
    <xf numFmtId="0" fontId="7" fillId="33" borderId="22" xfId="0" applyFont="1" applyFill="1" applyBorder="1" applyAlignment="1">
      <alignment/>
    </xf>
    <xf numFmtId="164" fontId="6" fillId="34" borderId="14" xfId="56" applyFont="1" applyFill="1" applyBorder="1">
      <alignment/>
      <protection/>
    </xf>
    <xf numFmtId="164" fontId="6" fillId="34" borderId="15" xfId="56" applyFont="1" applyFill="1" applyBorder="1">
      <alignment/>
      <protection/>
    </xf>
    <xf numFmtId="164" fontId="6" fillId="34" borderId="24" xfId="56" applyFont="1" applyFill="1" applyBorder="1">
      <alignment/>
      <protection/>
    </xf>
    <xf numFmtId="164" fontId="6" fillId="34" borderId="16" xfId="56" applyFont="1" applyFill="1" applyBorder="1">
      <alignment/>
      <protection/>
    </xf>
    <xf numFmtId="164" fontId="6" fillId="33" borderId="19" xfId="56" applyFont="1" applyFill="1" applyBorder="1">
      <alignment/>
      <protection/>
    </xf>
    <xf numFmtId="164" fontId="6" fillId="33" borderId="10" xfId="56" applyFont="1" applyFill="1" applyBorder="1" applyAlignment="1" applyProtection="1">
      <alignment horizontal="left"/>
      <protection locked="0"/>
    </xf>
    <xf numFmtId="164" fontId="8" fillId="33" borderId="0" xfId="56" applyFont="1" applyFill="1">
      <alignment/>
      <protection/>
    </xf>
    <xf numFmtId="164" fontId="6" fillId="33" borderId="22" xfId="56" applyFont="1" applyFill="1" applyBorder="1">
      <alignment/>
      <protection/>
    </xf>
    <xf numFmtId="0" fontId="9" fillId="33" borderId="0" xfId="0" applyFont="1" applyFill="1" applyAlignment="1">
      <alignment/>
    </xf>
    <xf numFmtId="164" fontId="8" fillId="33" borderId="10" xfId="56" applyFont="1" applyFill="1" applyBorder="1" applyAlignment="1" applyProtection="1">
      <alignment horizontal="left"/>
      <protection locked="0"/>
    </xf>
    <xf numFmtId="164" fontId="10" fillId="35" borderId="11" xfId="56" applyFont="1" applyFill="1" applyBorder="1" applyAlignment="1">
      <alignment horizontal="centerContinuous"/>
      <protection/>
    </xf>
    <xf numFmtId="164" fontId="10" fillId="35" borderId="12" xfId="56" applyFont="1" applyFill="1" applyBorder="1" applyAlignment="1">
      <alignment horizontal="centerContinuous"/>
      <protection/>
    </xf>
    <xf numFmtId="164" fontId="6" fillId="35" borderId="12" xfId="56" applyFont="1" applyFill="1" applyBorder="1" applyAlignment="1">
      <alignment horizontal="centerContinuous"/>
      <protection/>
    </xf>
    <xf numFmtId="164" fontId="6" fillId="35" borderId="19" xfId="56" applyFont="1" applyFill="1" applyBorder="1" applyAlignment="1">
      <alignment horizontal="centerContinuous"/>
      <protection/>
    </xf>
    <xf numFmtId="164" fontId="6" fillId="33" borderId="13" xfId="56" applyFont="1" applyFill="1" applyBorder="1" applyAlignment="1" quotePrefix="1">
      <alignment horizontal="left"/>
      <protection/>
    </xf>
    <xf numFmtId="164" fontId="12" fillId="33" borderId="0" xfId="56" applyFont="1" applyFill="1">
      <alignment/>
      <protection/>
    </xf>
    <xf numFmtId="164" fontId="12" fillId="33" borderId="0" xfId="56" applyFont="1" applyFill="1" applyAlignment="1">
      <alignment horizontal="center"/>
      <protection/>
    </xf>
    <xf numFmtId="164" fontId="2" fillId="33" borderId="11" xfId="56" applyFill="1" applyBorder="1">
      <alignment/>
      <protection/>
    </xf>
    <xf numFmtId="164" fontId="3" fillId="33" borderId="12" xfId="56" applyFont="1" applyFill="1" applyBorder="1" applyAlignment="1">
      <alignment horizontal="left"/>
      <protection/>
    </xf>
    <xf numFmtId="164" fontId="3" fillId="33" borderId="12" xfId="56" applyFont="1" applyFill="1" applyBorder="1" applyAlignment="1">
      <alignment horizontal="right"/>
      <protection/>
    </xf>
    <xf numFmtId="164" fontId="3" fillId="33" borderId="12" xfId="56" applyFont="1" applyFill="1" applyBorder="1" applyAlignment="1">
      <alignment horizontal="center"/>
      <protection/>
    </xf>
    <xf numFmtId="164" fontId="2" fillId="33" borderId="12" xfId="56" applyFill="1" applyBorder="1">
      <alignment/>
      <protection/>
    </xf>
    <xf numFmtId="164" fontId="3" fillId="33" borderId="19" xfId="56" applyFont="1" applyFill="1" applyBorder="1" applyAlignment="1">
      <alignment horizontal="left"/>
      <protection/>
    </xf>
    <xf numFmtId="164" fontId="3" fillId="33" borderId="0" xfId="56" applyFont="1" applyFill="1" applyAlignment="1">
      <alignment horizontal="left"/>
      <protection/>
    </xf>
    <xf numFmtId="164" fontId="2" fillId="33" borderId="13" xfId="56" applyFill="1" applyBorder="1">
      <alignment/>
      <protection/>
    </xf>
    <xf numFmtId="164" fontId="2" fillId="33" borderId="22" xfId="56" applyFill="1" applyBorder="1">
      <alignment/>
      <protection/>
    </xf>
    <xf numFmtId="164" fontId="2" fillId="33" borderId="14" xfId="56" applyFill="1" applyBorder="1">
      <alignment/>
      <protection/>
    </xf>
    <xf numFmtId="164" fontId="3" fillId="33" borderId="15" xfId="56" applyFont="1" applyFill="1" applyBorder="1" applyAlignment="1">
      <alignment vertical="top"/>
      <protection/>
    </xf>
    <xf numFmtId="164" fontId="2" fillId="33" borderId="15" xfId="56" applyFill="1" applyBorder="1" applyAlignment="1">
      <alignment vertical="top"/>
      <protection/>
    </xf>
    <xf numFmtId="164" fontId="6" fillId="33" borderId="25" xfId="56" applyFont="1" applyFill="1" applyBorder="1" applyAlignment="1" quotePrefix="1">
      <alignment horizontal="right" vertical="top"/>
      <protection/>
    </xf>
    <xf numFmtId="164" fontId="6" fillId="33" borderId="25" xfId="56" applyFont="1" applyFill="1" applyBorder="1" applyAlignment="1" applyProtection="1" quotePrefix="1">
      <alignment horizontal="right" vertical="top"/>
      <protection locked="0"/>
    </xf>
    <xf numFmtId="164" fontId="8" fillId="36" borderId="26" xfId="56" applyFont="1" applyFill="1" applyBorder="1" applyAlignment="1" applyProtection="1" quotePrefix="1">
      <alignment vertical="top"/>
      <protection locked="0"/>
    </xf>
    <xf numFmtId="164" fontId="13" fillId="36" borderId="27" xfId="56" applyFont="1" applyFill="1" applyBorder="1" applyAlignment="1" applyProtection="1">
      <alignment horizontal="left" vertical="top" wrapText="1"/>
      <protection locked="0"/>
    </xf>
    <xf numFmtId="164" fontId="13" fillId="36" borderId="28" xfId="56" applyFont="1" applyFill="1" applyBorder="1" applyAlignment="1" applyProtection="1">
      <alignment horizontal="left" vertical="top" wrapText="1"/>
      <protection locked="0"/>
    </xf>
    <xf numFmtId="164" fontId="72" fillId="33" borderId="0" xfId="56" applyFont="1" applyFill="1">
      <alignment/>
      <protection/>
    </xf>
    <xf numFmtId="165" fontId="15" fillId="33" borderId="0" xfId="57" applyFont="1" applyFill="1">
      <alignment/>
      <protection/>
    </xf>
    <xf numFmtId="164" fontId="3" fillId="33" borderId="11" xfId="56" applyFont="1" applyFill="1" applyBorder="1" applyAlignment="1">
      <alignment horizontal="left"/>
      <protection/>
    </xf>
    <xf numFmtId="14" fontId="3" fillId="33" borderId="12" xfId="56" applyNumberFormat="1" applyFont="1" applyFill="1" applyBorder="1">
      <alignment/>
      <protection/>
    </xf>
    <xf numFmtId="14" fontId="3" fillId="33" borderId="12" xfId="56" applyNumberFormat="1" applyFont="1" applyFill="1" applyBorder="1" applyAlignment="1">
      <alignment horizontal="right"/>
      <protection/>
    </xf>
    <xf numFmtId="164" fontId="3" fillId="33" borderId="0" xfId="56" applyFont="1" applyFill="1" applyAlignment="1">
      <alignment horizontal="right"/>
      <protection/>
    </xf>
    <xf numFmtId="14" fontId="3" fillId="33" borderId="0" xfId="56" applyNumberFormat="1" applyFont="1" applyFill="1">
      <alignment/>
      <protection/>
    </xf>
    <xf numFmtId="164" fontId="3" fillId="33" borderId="14" xfId="56" applyFont="1" applyFill="1" applyBorder="1" applyAlignment="1">
      <alignment vertical="top"/>
      <protection/>
    </xf>
    <xf numFmtId="164" fontId="3" fillId="33" borderId="15" xfId="56" applyFont="1" applyFill="1" applyBorder="1" applyAlignment="1">
      <alignment horizontal="left" vertical="top"/>
      <protection/>
    </xf>
    <xf numFmtId="41" fontId="3" fillId="33" borderId="15" xfId="56" applyNumberFormat="1" applyFont="1" applyFill="1" applyBorder="1" applyAlignment="1">
      <alignment vertical="top"/>
      <protection/>
    </xf>
    <xf numFmtId="41" fontId="3" fillId="33" borderId="16" xfId="56" applyNumberFormat="1" applyFont="1" applyFill="1" applyBorder="1" applyAlignment="1">
      <alignment vertical="top"/>
      <protection/>
    </xf>
    <xf numFmtId="41" fontId="3" fillId="33" borderId="0" xfId="56" applyNumberFormat="1" applyFont="1" applyFill="1" applyAlignment="1" applyProtection="1">
      <alignment vertical="top"/>
      <protection locked="0"/>
    </xf>
    <xf numFmtId="165" fontId="16" fillId="33" borderId="0" xfId="57" applyFont="1" applyFill="1">
      <alignment/>
      <protection/>
    </xf>
    <xf numFmtId="165" fontId="17" fillId="33" borderId="0" xfId="57" applyFont="1" applyFill="1">
      <alignment/>
      <protection/>
    </xf>
    <xf numFmtId="166" fontId="17" fillId="33" borderId="0" xfId="42" applyNumberFormat="1" applyFont="1" applyFill="1" applyAlignment="1" applyProtection="1">
      <alignment/>
      <protection/>
    </xf>
    <xf numFmtId="165" fontId="17" fillId="33" borderId="0" xfId="57" applyFont="1" applyFill="1" applyAlignment="1">
      <alignment horizontal="right"/>
      <protection/>
    </xf>
    <xf numFmtId="165" fontId="19" fillId="33" borderId="0" xfId="57" applyFont="1" applyFill="1" applyAlignment="1">
      <alignment horizontal="right"/>
      <protection/>
    </xf>
    <xf numFmtId="165" fontId="16" fillId="33" borderId="14" xfId="57" applyFont="1" applyFill="1" applyBorder="1">
      <alignment/>
      <protection/>
    </xf>
    <xf numFmtId="165" fontId="17" fillId="33" borderId="15" xfId="57" applyFont="1" applyFill="1" applyBorder="1">
      <alignment/>
      <protection/>
    </xf>
    <xf numFmtId="166" fontId="17" fillId="33" borderId="15" xfId="42" applyNumberFormat="1" applyFont="1" applyFill="1" applyBorder="1" applyAlignment="1" applyProtection="1">
      <alignment/>
      <protection/>
    </xf>
    <xf numFmtId="165" fontId="17" fillId="33" borderId="16" xfId="57" applyFont="1" applyFill="1" applyBorder="1">
      <alignment/>
      <protection/>
    </xf>
    <xf numFmtId="165" fontId="20" fillId="35" borderId="11" xfId="57" applyFont="1" applyFill="1" applyBorder="1" applyAlignment="1">
      <alignment horizontal="center"/>
      <protection/>
    </xf>
    <xf numFmtId="165" fontId="20" fillId="35" borderId="12" xfId="57" applyFont="1" applyFill="1" applyBorder="1" applyAlignment="1">
      <alignment horizontal="center"/>
      <protection/>
    </xf>
    <xf numFmtId="165" fontId="20" fillId="35" borderId="19" xfId="57" applyFont="1" applyFill="1" applyBorder="1" applyAlignment="1">
      <alignment horizontal="center"/>
      <protection/>
    </xf>
    <xf numFmtId="165" fontId="20" fillId="35" borderId="29" xfId="57" applyFont="1" applyFill="1" applyBorder="1" applyAlignment="1">
      <alignment horizontal="center"/>
      <protection/>
    </xf>
    <xf numFmtId="166" fontId="20" fillId="35" borderId="29" xfId="42" applyNumberFormat="1" applyFont="1" applyFill="1" applyBorder="1" applyAlignment="1" applyProtection="1">
      <alignment horizontal="center"/>
      <protection/>
    </xf>
    <xf numFmtId="165" fontId="20" fillId="35" borderId="22" xfId="57" applyFont="1" applyFill="1" applyBorder="1" applyAlignment="1">
      <alignment horizontal="center"/>
      <protection/>
    </xf>
    <xf numFmtId="165" fontId="3" fillId="33" borderId="0" xfId="57" applyFont="1" applyFill="1" applyAlignment="1">
      <alignment horizontal="center"/>
      <protection/>
    </xf>
    <xf numFmtId="165" fontId="2" fillId="33" borderId="0" xfId="57" applyFill="1">
      <alignment/>
      <protection/>
    </xf>
    <xf numFmtId="165" fontId="3" fillId="35" borderId="30" xfId="57" applyFont="1" applyFill="1" applyBorder="1" applyAlignment="1">
      <alignment horizontal="right"/>
      <protection/>
    </xf>
    <xf numFmtId="165" fontId="20" fillId="0" borderId="31" xfId="57" applyFont="1" applyBorder="1" applyAlignment="1">
      <alignment horizontal="center"/>
      <protection/>
    </xf>
    <xf numFmtId="166" fontId="20" fillId="0" borderId="32" xfId="42" applyNumberFormat="1" applyFont="1" applyBorder="1" applyAlignment="1" applyProtection="1" quotePrefix="1">
      <alignment horizontal="center"/>
      <protection/>
    </xf>
    <xf numFmtId="166" fontId="20" fillId="0" borderId="32" xfId="42" applyNumberFormat="1" applyFont="1" applyBorder="1" applyAlignment="1" applyProtection="1">
      <alignment horizontal="center"/>
      <protection/>
    </xf>
    <xf numFmtId="165" fontId="20" fillId="0" borderId="32" xfId="57" applyFont="1" applyBorder="1" applyAlignment="1">
      <alignment horizontal="center"/>
      <protection/>
    </xf>
    <xf numFmtId="165" fontId="3" fillId="35" borderId="33" xfId="57" applyFont="1" applyFill="1" applyBorder="1" applyAlignment="1">
      <alignment horizontal="right"/>
      <protection/>
    </xf>
    <xf numFmtId="165" fontId="21" fillId="37" borderId="34" xfId="57" applyFont="1" applyFill="1" applyBorder="1">
      <alignment/>
      <protection/>
    </xf>
    <xf numFmtId="166" fontId="21" fillId="37" borderId="34" xfId="42" applyNumberFormat="1" applyFont="1" applyFill="1" applyBorder="1" applyAlignment="1" applyProtection="1">
      <alignment/>
      <protection/>
    </xf>
    <xf numFmtId="165" fontId="21" fillId="37" borderId="35" xfId="57" applyFont="1" applyFill="1" applyBorder="1">
      <alignment/>
      <protection/>
    </xf>
    <xf numFmtId="0" fontId="18" fillId="35" borderId="36" xfId="0" applyFont="1" applyFill="1" applyBorder="1" applyAlignment="1" quotePrefix="1">
      <alignment horizontal="right"/>
    </xf>
    <xf numFmtId="165" fontId="20" fillId="35" borderId="34" xfId="57" applyFont="1" applyFill="1" applyBorder="1" applyAlignment="1">
      <alignment horizontal="left"/>
      <protection/>
    </xf>
    <xf numFmtId="165" fontId="21" fillId="37" borderId="37" xfId="57" applyFont="1" applyFill="1" applyBorder="1">
      <alignment/>
      <protection/>
    </xf>
    <xf numFmtId="166" fontId="21" fillId="37" borderId="37" xfId="42" applyNumberFormat="1" applyFont="1" applyFill="1" applyBorder="1" applyAlignment="1" applyProtection="1">
      <alignment/>
      <protection/>
    </xf>
    <xf numFmtId="165" fontId="21" fillId="37" borderId="38" xfId="57" applyFont="1" applyFill="1" applyBorder="1">
      <alignment/>
      <protection/>
    </xf>
    <xf numFmtId="165" fontId="21" fillId="33" borderId="39" xfId="57" applyFont="1" applyFill="1" applyBorder="1" applyAlignment="1">
      <alignment horizontal="right"/>
      <protection/>
    </xf>
    <xf numFmtId="37" fontId="22" fillId="33" borderId="40" xfId="42" applyNumberFormat="1" applyFont="1" applyFill="1" applyBorder="1" applyAlignment="1" applyProtection="1">
      <alignment/>
      <protection locked="0"/>
    </xf>
    <xf numFmtId="37" fontId="21" fillId="33" borderId="41" xfId="42" applyNumberFormat="1" applyFont="1" applyFill="1" applyBorder="1" applyAlignment="1" applyProtection="1">
      <alignment/>
      <protection/>
    </xf>
    <xf numFmtId="37" fontId="21" fillId="33" borderId="23" xfId="42" applyNumberFormat="1" applyFont="1" applyFill="1" applyBorder="1" applyAlignment="1" applyProtection="1">
      <alignment/>
      <protection/>
    </xf>
    <xf numFmtId="37" fontId="22" fillId="33" borderId="41" xfId="42" applyNumberFormat="1" applyFont="1" applyFill="1" applyBorder="1" applyAlignment="1" applyProtection="1">
      <alignment/>
      <protection locked="0"/>
    </xf>
    <xf numFmtId="37" fontId="21" fillId="33" borderId="38" xfId="42" applyNumberFormat="1" applyFont="1" applyFill="1" applyBorder="1" applyAlignment="1" applyProtection="1">
      <alignment/>
      <protection/>
    </xf>
    <xf numFmtId="165" fontId="21" fillId="33" borderId="42" xfId="57" applyFont="1" applyFill="1" applyBorder="1" applyAlignment="1">
      <alignment horizontal="right"/>
      <protection/>
    </xf>
    <xf numFmtId="37" fontId="22" fillId="33" borderId="23" xfId="42" applyNumberFormat="1" applyFont="1" applyFill="1" applyBorder="1" applyAlignment="1" applyProtection="1">
      <alignment/>
      <protection locked="0"/>
    </xf>
    <xf numFmtId="37" fontId="21" fillId="33" borderId="43" xfId="42" applyNumberFormat="1" applyFont="1" applyFill="1" applyBorder="1" applyAlignment="1" applyProtection="1">
      <alignment/>
      <protection/>
    </xf>
    <xf numFmtId="37" fontId="22" fillId="33" borderId="0" xfId="42" applyNumberFormat="1" applyFont="1" applyFill="1" applyBorder="1" applyAlignment="1" applyProtection="1">
      <alignment/>
      <protection locked="0"/>
    </xf>
    <xf numFmtId="37" fontId="22" fillId="33" borderId="43" xfId="42" applyNumberFormat="1" applyFont="1" applyFill="1" applyBorder="1" applyAlignment="1" applyProtection="1">
      <alignment/>
      <protection locked="0"/>
    </xf>
    <xf numFmtId="37" fontId="21" fillId="33" borderId="22" xfId="42" applyNumberFormat="1" applyFont="1" applyFill="1" applyBorder="1" applyAlignment="1" applyProtection="1">
      <alignment/>
      <protection/>
    </xf>
    <xf numFmtId="165" fontId="21" fillId="33" borderId="0" xfId="57" applyFont="1" applyFill="1" applyAlignment="1">
      <alignment horizontal="left"/>
      <protection/>
    </xf>
    <xf numFmtId="165" fontId="21" fillId="33" borderId="44" xfId="57" applyFont="1" applyFill="1" applyBorder="1" applyAlignment="1" applyProtection="1">
      <alignment horizontal="left"/>
      <protection locked="0"/>
    </xf>
    <xf numFmtId="165" fontId="21" fillId="33" borderId="0" xfId="57" applyFont="1" applyFill="1" applyAlignment="1" quotePrefix="1">
      <alignment horizontal="left"/>
      <protection/>
    </xf>
    <xf numFmtId="165" fontId="21" fillId="33" borderId="45" xfId="57" applyFont="1" applyFill="1" applyBorder="1" applyAlignment="1" applyProtection="1" quotePrefix="1">
      <alignment horizontal="left"/>
      <protection locked="0"/>
    </xf>
    <xf numFmtId="165" fontId="21" fillId="33" borderId="45" xfId="57" applyFont="1" applyFill="1" applyBorder="1" applyAlignment="1" applyProtection="1">
      <alignment horizontal="left"/>
      <protection locked="0"/>
    </xf>
    <xf numFmtId="0" fontId="23" fillId="33" borderId="0" xfId="0" applyFont="1" applyFill="1" applyAlignment="1">
      <alignment/>
    </xf>
    <xf numFmtId="37" fontId="21" fillId="33" borderId="46" xfId="42" applyNumberFormat="1" applyFont="1" applyFill="1" applyBorder="1" applyAlignment="1" applyProtection="1">
      <alignment/>
      <protection/>
    </xf>
    <xf numFmtId="167" fontId="21" fillId="33" borderId="42" xfId="57" applyNumberFormat="1" applyFont="1" applyFill="1" applyBorder="1" applyAlignment="1">
      <alignment horizontal="right"/>
      <protection/>
    </xf>
    <xf numFmtId="37" fontId="22" fillId="33" borderId="23" xfId="57" applyNumberFormat="1" applyFont="1" applyFill="1" applyBorder="1" applyProtection="1">
      <alignment/>
      <protection locked="0"/>
    </xf>
    <xf numFmtId="37" fontId="22" fillId="33" borderId="47" xfId="57" applyNumberFormat="1" applyFont="1" applyFill="1" applyBorder="1" applyProtection="1">
      <alignment/>
      <protection locked="0"/>
    </xf>
    <xf numFmtId="37" fontId="22" fillId="33" borderId="48" xfId="42" applyNumberFormat="1" applyFont="1" applyFill="1" applyBorder="1" applyAlignment="1" applyProtection="1">
      <alignment/>
      <protection locked="0"/>
    </xf>
    <xf numFmtId="37" fontId="22" fillId="33" borderId="49" xfId="42" applyNumberFormat="1" applyFont="1" applyFill="1" applyBorder="1" applyAlignment="1" applyProtection="1">
      <alignment/>
      <protection locked="0"/>
    </xf>
    <xf numFmtId="37" fontId="21" fillId="33" borderId="50" xfId="42" applyNumberFormat="1" applyFont="1" applyFill="1" applyBorder="1" applyAlignment="1" applyProtection="1">
      <alignment/>
      <protection/>
    </xf>
    <xf numFmtId="37" fontId="22" fillId="33" borderId="51" xfId="42" applyNumberFormat="1" applyFont="1" applyFill="1" applyBorder="1" applyAlignment="1" applyProtection="1">
      <alignment/>
      <protection locked="0"/>
    </xf>
    <xf numFmtId="37" fontId="22" fillId="33" borderId="52" xfId="42" applyNumberFormat="1" applyFont="1" applyFill="1" applyBorder="1" applyAlignment="1" applyProtection="1">
      <alignment/>
      <protection locked="0"/>
    </xf>
    <xf numFmtId="165" fontId="20" fillId="38" borderId="53" xfId="57" applyFont="1" applyFill="1" applyBorder="1" applyAlignment="1">
      <alignment horizontal="right"/>
      <protection/>
    </xf>
    <xf numFmtId="37" fontId="20" fillId="38" borderId="31" xfId="57" applyNumberFormat="1" applyFont="1" applyFill="1" applyBorder="1">
      <alignment/>
      <protection/>
    </xf>
    <xf numFmtId="37" fontId="20" fillId="38" borderId="52" xfId="57" applyNumberFormat="1" applyFont="1" applyFill="1" applyBorder="1">
      <alignment/>
      <protection/>
    </xf>
    <xf numFmtId="37" fontId="20" fillId="38" borderId="54" xfId="57" applyNumberFormat="1" applyFont="1" applyFill="1" applyBorder="1">
      <alignment/>
      <protection/>
    </xf>
    <xf numFmtId="165" fontId="3" fillId="33" borderId="0" xfId="57" applyFont="1" applyFill="1">
      <alignment/>
      <protection/>
    </xf>
    <xf numFmtId="0" fontId="24" fillId="35" borderId="33" xfId="0" applyFont="1" applyFill="1" applyBorder="1" applyAlignment="1" quotePrefix="1">
      <alignment horizontal="right"/>
    </xf>
    <xf numFmtId="165" fontId="21" fillId="33" borderId="23" xfId="57" applyFont="1" applyFill="1" applyBorder="1" applyAlignment="1">
      <alignment horizontal="left"/>
      <protection/>
    </xf>
    <xf numFmtId="37" fontId="22" fillId="33" borderId="41" xfId="57" applyNumberFormat="1" applyFont="1" applyFill="1" applyBorder="1" applyProtection="1">
      <alignment/>
      <protection locked="0"/>
    </xf>
    <xf numFmtId="37" fontId="22" fillId="33" borderId="43" xfId="57" applyNumberFormat="1" applyFont="1" applyFill="1" applyBorder="1" applyProtection="1">
      <alignment/>
      <protection locked="0"/>
    </xf>
    <xf numFmtId="37" fontId="21" fillId="33" borderId="43" xfId="57" applyNumberFormat="1" applyFont="1" applyFill="1" applyBorder="1">
      <alignment/>
      <protection/>
    </xf>
    <xf numFmtId="37" fontId="21" fillId="33" borderId="46" xfId="57" applyNumberFormat="1" applyFont="1" applyFill="1" applyBorder="1">
      <alignment/>
      <protection/>
    </xf>
    <xf numFmtId="165" fontId="21" fillId="33" borderId="43" xfId="57" applyFont="1" applyFill="1" applyBorder="1" applyAlignment="1">
      <alignment horizontal="left"/>
      <protection/>
    </xf>
    <xf numFmtId="165" fontId="21" fillId="33" borderId="55" xfId="57" applyFont="1" applyFill="1" applyBorder="1" applyAlignment="1">
      <alignment horizontal="left"/>
      <protection/>
    </xf>
    <xf numFmtId="37" fontId="22" fillId="33" borderId="49" xfId="57" applyNumberFormat="1" applyFont="1" applyFill="1" applyBorder="1" applyProtection="1">
      <alignment/>
      <protection locked="0"/>
    </xf>
    <xf numFmtId="37" fontId="21" fillId="33" borderId="44" xfId="57" applyNumberFormat="1" applyFont="1" applyFill="1" applyBorder="1" applyProtection="1">
      <alignment/>
      <protection locked="0"/>
    </xf>
    <xf numFmtId="37" fontId="22" fillId="33" borderId="55" xfId="57" applyNumberFormat="1" applyFont="1" applyFill="1" applyBorder="1" applyProtection="1">
      <alignment/>
      <protection locked="0"/>
    </xf>
    <xf numFmtId="165" fontId="20" fillId="38" borderId="56" xfId="57" applyFont="1" applyFill="1" applyBorder="1" applyAlignment="1">
      <alignment horizontal="right"/>
      <protection/>
    </xf>
    <xf numFmtId="165" fontId="20" fillId="38" borderId="34" xfId="57" applyFont="1" applyFill="1" applyBorder="1" applyAlignment="1">
      <alignment horizontal="left"/>
      <protection/>
    </xf>
    <xf numFmtId="165" fontId="20" fillId="38" borderId="10" xfId="57" applyFont="1" applyFill="1" applyBorder="1" applyAlignment="1">
      <alignment horizontal="left"/>
      <protection/>
    </xf>
    <xf numFmtId="37" fontId="20" fillId="38" borderId="57" xfId="57" applyNumberFormat="1" applyFont="1" applyFill="1" applyBorder="1">
      <alignment/>
      <protection/>
    </xf>
    <xf numFmtId="37" fontId="20" fillId="38" borderId="58" xfId="57" applyNumberFormat="1" applyFont="1" applyFill="1" applyBorder="1">
      <alignment/>
      <protection/>
    </xf>
    <xf numFmtId="165" fontId="21" fillId="38" borderId="33" xfId="57" applyFont="1" applyFill="1" applyBorder="1" applyAlignment="1">
      <alignment horizontal="right"/>
      <protection/>
    </xf>
    <xf numFmtId="165" fontId="21" fillId="38" borderId="34" xfId="57" applyFont="1" applyFill="1" applyBorder="1" applyAlignment="1">
      <alignment horizontal="left"/>
      <protection/>
    </xf>
    <xf numFmtId="165" fontId="21" fillId="38" borderId="10" xfId="57" applyFont="1" applyFill="1" applyBorder="1" applyAlignment="1">
      <alignment horizontal="left"/>
      <protection/>
    </xf>
    <xf numFmtId="37" fontId="21" fillId="38" borderId="34" xfId="57" applyNumberFormat="1" applyFont="1" applyFill="1" applyBorder="1">
      <alignment/>
      <protection/>
    </xf>
    <xf numFmtId="37" fontId="21" fillId="38" borderId="35" xfId="57" applyNumberFormat="1" applyFont="1" applyFill="1" applyBorder="1">
      <alignment/>
      <protection/>
    </xf>
    <xf numFmtId="165" fontId="24" fillId="38" borderId="59" xfId="57" applyFont="1" applyFill="1" applyBorder="1" applyAlignment="1" quotePrefix="1">
      <alignment horizontal="right"/>
      <protection/>
    </xf>
    <xf numFmtId="165" fontId="20" fillId="38" borderId="31" xfId="57" applyFont="1" applyFill="1" applyBorder="1" applyAlignment="1" quotePrefix="1">
      <alignment horizontal="left"/>
      <protection/>
    </xf>
    <xf numFmtId="165" fontId="21" fillId="38" borderId="60" xfId="57" applyFont="1" applyFill="1" applyBorder="1" applyAlignment="1">
      <alignment horizontal="left"/>
      <protection/>
    </xf>
    <xf numFmtId="165" fontId="20" fillId="38" borderId="15" xfId="57" applyFont="1" applyFill="1" applyBorder="1" applyAlignment="1" quotePrefix="1">
      <alignment horizontal="left"/>
      <protection/>
    </xf>
    <xf numFmtId="37" fontId="21" fillId="38" borderId="15" xfId="57" applyNumberFormat="1" applyFont="1" applyFill="1" applyBorder="1">
      <alignment/>
      <protection/>
    </xf>
    <xf numFmtId="37" fontId="21" fillId="38" borderId="61" xfId="57" applyNumberFormat="1" applyFont="1" applyFill="1" applyBorder="1">
      <alignment/>
      <protection/>
    </xf>
    <xf numFmtId="166" fontId="2" fillId="33" borderId="0" xfId="42" applyNumberFormat="1" applyFont="1" applyFill="1" applyAlignment="1" applyProtection="1">
      <alignment/>
      <protection/>
    </xf>
    <xf numFmtId="168" fontId="2" fillId="33" borderId="0" xfId="57" applyNumberFormat="1" applyFill="1">
      <alignment/>
      <protection/>
    </xf>
    <xf numFmtId="164" fontId="2" fillId="33" borderId="0" xfId="56" applyFill="1" applyAlignment="1">
      <alignment horizontal="right"/>
      <protection/>
    </xf>
    <xf numFmtId="164" fontId="3" fillId="33" borderId="11" xfId="56" applyFont="1" applyFill="1" applyBorder="1" applyAlignment="1">
      <alignment horizontal="right"/>
      <protection/>
    </xf>
    <xf numFmtId="164" fontId="2" fillId="33" borderId="13" xfId="56" applyFill="1" applyBorder="1" applyAlignment="1">
      <alignment horizontal="right"/>
      <protection/>
    </xf>
    <xf numFmtId="164" fontId="3" fillId="33" borderId="14" xfId="56" applyFont="1" applyFill="1" applyBorder="1" applyAlignment="1">
      <alignment horizontal="right" vertical="top"/>
      <protection/>
    </xf>
    <xf numFmtId="165" fontId="16" fillId="33" borderId="0" xfId="57" applyFont="1" applyFill="1" applyAlignment="1">
      <alignment horizontal="right"/>
      <protection/>
    </xf>
    <xf numFmtId="165" fontId="16" fillId="33" borderId="14" xfId="57" applyFont="1" applyFill="1" applyBorder="1" applyAlignment="1">
      <alignment horizontal="right"/>
      <protection/>
    </xf>
    <xf numFmtId="165" fontId="20" fillId="35" borderId="11" xfId="57" applyFont="1" applyFill="1" applyBorder="1" applyAlignment="1">
      <alignment horizontal="right"/>
      <protection/>
    </xf>
    <xf numFmtId="165" fontId="21" fillId="35" borderId="14" xfId="57" applyFont="1" applyFill="1" applyBorder="1" applyAlignment="1">
      <alignment horizontal="right"/>
      <protection/>
    </xf>
    <xf numFmtId="165" fontId="21" fillId="35" borderId="15" xfId="57" applyFont="1" applyFill="1" applyBorder="1">
      <alignment/>
      <protection/>
    </xf>
    <xf numFmtId="165" fontId="21" fillId="35" borderId="16" xfId="57" applyFont="1" applyFill="1" applyBorder="1">
      <alignment/>
      <protection/>
    </xf>
    <xf numFmtId="0" fontId="24" fillId="35" borderId="36" xfId="0" applyFont="1" applyFill="1" applyBorder="1" applyAlignment="1" quotePrefix="1">
      <alignment horizontal="right"/>
    </xf>
    <xf numFmtId="37" fontId="21" fillId="33" borderId="40" xfId="42" applyNumberFormat="1" applyFont="1" applyFill="1" applyBorder="1" applyAlignment="1" applyProtection="1">
      <alignment/>
      <protection/>
    </xf>
    <xf numFmtId="165" fontId="21" fillId="33" borderId="44" xfId="57" applyFont="1" applyFill="1" applyBorder="1" applyAlignment="1">
      <alignment horizontal="left"/>
      <protection/>
    </xf>
    <xf numFmtId="0" fontId="24" fillId="35" borderId="33" xfId="0" applyFont="1" applyFill="1" applyBorder="1" applyAlignment="1">
      <alignment horizontal="right"/>
    </xf>
    <xf numFmtId="165" fontId="21" fillId="33" borderId="40" xfId="57" applyFont="1" applyFill="1" applyBorder="1" applyAlignment="1">
      <alignment horizontal="left"/>
      <protection/>
    </xf>
    <xf numFmtId="165" fontId="20" fillId="38" borderId="59" xfId="57" applyFont="1" applyFill="1" applyBorder="1" applyAlignment="1">
      <alignment horizontal="right"/>
      <protection/>
    </xf>
    <xf numFmtId="165" fontId="21" fillId="38" borderId="60" xfId="57" applyFont="1" applyFill="1" applyBorder="1" applyAlignment="1">
      <alignment horizontal="right"/>
      <protection/>
    </xf>
    <xf numFmtId="37" fontId="21" fillId="38" borderId="16" xfId="57" applyNumberFormat="1" applyFont="1" applyFill="1" applyBorder="1">
      <alignment/>
      <protection/>
    </xf>
    <xf numFmtId="165" fontId="2" fillId="33" borderId="0" xfId="57" applyFill="1" applyAlignment="1">
      <alignment horizontal="right"/>
      <protection/>
    </xf>
    <xf numFmtId="164" fontId="3" fillId="33" borderId="13" xfId="56" applyFont="1" applyFill="1" applyBorder="1" applyAlignment="1">
      <alignment horizontal="left"/>
      <protection/>
    </xf>
    <xf numFmtId="164" fontId="3" fillId="33" borderId="13" xfId="56" applyFont="1" applyFill="1" applyBorder="1" applyAlignment="1">
      <alignment vertical="top"/>
      <protection/>
    </xf>
    <xf numFmtId="164" fontId="2" fillId="33" borderId="0" xfId="56" applyFill="1" applyAlignment="1">
      <alignment vertical="top"/>
      <protection/>
    </xf>
    <xf numFmtId="164" fontId="2" fillId="33" borderId="0" xfId="56" applyFill="1" applyAlignment="1">
      <alignment horizontal="left"/>
      <protection/>
    </xf>
    <xf numFmtId="164" fontId="13" fillId="33" borderId="0" xfId="56" applyFont="1" applyFill="1" applyAlignment="1">
      <alignment horizontal="left"/>
      <protection/>
    </xf>
    <xf numFmtId="164" fontId="3" fillId="33" borderId="62" xfId="56" applyFont="1" applyFill="1" applyBorder="1" applyAlignment="1">
      <alignment horizontal="center"/>
      <protection/>
    </xf>
    <xf numFmtId="164" fontId="3" fillId="33" borderId="13" xfId="56" applyFont="1" applyFill="1" applyBorder="1" applyAlignment="1" applyProtection="1">
      <alignment wrapText="1"/>
      <protection locked="0"/>
    </xf>
    <xf numFmtId="164" fontId="3" fillId="33" borderId="55" xfId="56" applyFont="1" applyFill="1" applyBorder="1" applyAlignment="1" applyProtection="1">
      <alignment wrapText="1"/>
      <protection locked="0"/>
    </xf>
    <xf numFmtId="164" fontId="3" fillId="33" borderId="13" xfId="56" applyFont="1" applyFill="1" applyBorder="1" applyAlignment="1">
      <alignment wrapText="1"/>
      <protection/>
    </xf>
    <xf numFmtId="164" fontId="3" fillId="33" borderId="0" xfId="56" applyFont="1" applyFill="1" applyAlignment="1" quotePrefix="1">
      <alignment wrapText="1"/>
      <protection/>
    </xf>
    <xf numFmtId="164" fontId="3" fillId="33" borderId="0" xfId="56" applyFont="1" applyFill="1" applyAlignment="1">
      <alignment wrapText="1"/>
      <protection/>
    </xf>
    <xf numFmtId="164" fontId="14" fillId="33" borderId="13" xfId="56" applyFont="1" applyFill="1" applyBorder="1" applyAlignment="1" applyProtection="1">
      <alignment wrapText="1"/>
      <protection locked="0"/>
    </xf>
    <xf numFmtId="164" fontId="2" fillId="33" borderId="13" xfId="56" applyFill="1" applyBorder="1" applyAlignment="1" applyProtection="1">
      <alignment vertical="top"/>
      <protection locked="0"/>
    </xf>
    <xf numFmtId="164" fontId="2" fillId="33" borderId="13" xfId="56" applyFill="1" applyBorder="1" applyAlignment="1" applyProtection="1">
      <alignment vertical="top" wrapText="1"/>
      <protection locked="0"/>
    </xf>
    <xf numFmtId="164" fontId="2" fillId="33" borderId="15" xfId="56" applyFill="1" applyBorder="1">
      <alignment/>
      <protection/>
    </xf>
    <xf numFmtId="164" fontId="2" fillId="33" borderId="16" xfId="56" applyFill="1" applyBorder="1">
      <alignment/>
      <protection/>
    </xf>
    <xf numFmtId="165" fontId="21" fillId="35" borderId="14" xfId="57" applyFont="1" applyFill="1" applyBorder="1">
      <alignment/>
      <protection/>
    </xf>
    <xf numFmtId="165" fontId="21" fillId="33" borderId="0" xfId="57" applyFont="1" applyFill="1" applyAlignment="1" applyProtection="1">
      <alignment horizontal="left"/>
      <protection locked="0"/>
    </xf>
    <xf numFmtId="165" fontId="21" fillId="33" borderId="0" xfId="57" applyFont="1" applyFill="1" applyAlignment="1" applyProtection="1" quotePrefix="1">
      <alignment horizontal="left"/>
      <protection locked="0"/>
    </xf>
    <xf numFmtId="0" fontId="24" fillId="35" borderId="63" xfId="0" applyFont="1" applyFill="1" applyBorder="1" applyAlignment="1" quotePrefix="1">
      <alignment horizontal="right"/>
    </xf>
    <xf numFmtId="165" fontId="20" fillId="38" borderId="59" xfId="57" applyFont="1" applyFill="1" applyBorder="1" applyAlignment="1" quotePrefix="1">
      <alignment horizontal="right"/>
      <protection/>
    </xf>
    <xf numFmtId="165" fontId="20" fillId="38" borderId="64" xfId="57" applyFont="1" applyFill="1" applyBorder="1" applyAlignment="1" quotePrefix="1">
      <alignment horizontal="left"/>
      <protection/>
    </xf>
    <xf numFmtId="37" fontId="21" fillId="38" borderId="64" xfId="57" applyNumberFormat="1" applyFont="1" applyFill="1" applyBorder="1">
      <alignment/>
      <protection/>
    </xf>
    <xf numFmtId="37" fontId="21" fillId="38" borderId="65" xfId="57" applyNumberFormat="1" applyFont="1" applyFill="1" applyBorder="1">
      <alignment/>
      <protection/>
    </xf>
    <xf numFmtId="165" fontId="3" fillId="35" borderId="66" xfId="57" applyFont="1" applyFill="1" applyBorder="1" applyAlignment="1">
      <alignment horizontal="center"/>
      <protection/>
    </xf>
    <xf numFmtId="166" fontId="20" fillId="37" borderId="67" xfId="42" applyNumberFormat="1" applyFont="1" applyFill="1" applyBorder="1" applyAlignment="1" applyProtection="1">
      <alignment horizontal="right"/>
      <protection/>
    </xf>
    <xf numFmtId="165" fontId="2" fillId="33" borderId="14" xfId="57" applyFill="1" applyBorder="1" applyAlignment="1">
      <alignment horizontal="right"/>
      <protection/>
    </xf>
    <xf numFmtId="165" fontId="2" fillId="33" borderId="15" xfId="57" applyFill="1" applyBorder="1">
      <alignment/>
      <protection/>
    </xf>
    <xf numFmtId="166" fontId="2" fillId="33" borderId="15" xfId="42" applyNumberFormat="1" applyFont="1" applyFill="1" applyBorder="1" applyAlignment="1" applyProtection="1">
      <alignment/>
      <protection/>
    </xf>
    <xf numFmtId="165" fontId="2" fillId="33" borderId="16" xfId="57" applyFill="1" applyBorder="1">
      <alignment/>
      <protection/>
    </xf>
    <xf numFmtId="165" fontId="20" fillId="0" borderId="68" xfId="57" applyFont="1" applyBorder="1" applyAlignment="1">
      <alignment horizontal="center"/>
      <protection/>
    </xf>
    <xf numFmtId="165" fontId="21" fillId="33" borderId="23" xfId="57" applyFont="1" applyFill="1" applyBorder="1" applyAlignment="1" applyProtection="1">
      <alignment horizontal="left"/>
      <protection locked="0"/>
    </xf>
    <xf numFmtId="165" fontId="3" fillId="35" borderId="66" xfId="57" applyFont="1" applyFill="1" applyBorder="1" applyAlignment="1">
      <alignment horizontal="right"/>
      <protection/>
    </xf>
    <xf numFmtId="166" fontId="20" fillId="37" borderId="67" xfId="42" applyNumberFormat="1" applyFont="1" applyFill="1" applyBorder="1" applyAlignment="1" applyProtection="1">
      <alignment/>
      <protection/>
    </xf>
    <xf numFmtId="166" fontId="20" fillId="37" borderId="69" xfId="42" applyNumberFormat="1" applyFont="1" applyFill="1" applyBorder="1" applyAlignment="1" applyProtection="1">
      <alignment/>
      <protection/>
    </xf>
    <xf numFmtId="165" fontId="21" fillId="33" borderId="14" xfId="57" applyFont="1" applyFill="1" applyBorder="1" applyAlignment="1">
      <alignment horizontal="right"/>
      <protection/>
    </xf>
    <xf numFmtId="165" fontId="21" fillId="33" borderId="15" xfId="57" applyFont="1" applyFill="1" applyBorder="1" applyAlignment="1">
      <alignment horizontal="left"/>
      <protection/>
    </xf>
    <xf numFmtId="37" fontId="22" fillId="33" borderId="15" xfId="57" applyNumberFormat="1" applyFont="1" applyFill="1" applyBorder="1" applyProtection="1">
      <alignment/>
      <protection locked="0"/>
    </xf>
    <xf numFmtId="37" fontId="21" fillId="33" borderId="15" xfId="57" applyNumberFormat="1" applyFont="1" applyFill="1" applyBorder="1">
      <alignment/>
      <protection/>
    </xf>
    <xf numFmtId="37" fontId="21" fillId="33" borderId="16" xfId="57" applyNumberFormat="1" applyFont="1" applyFill="1" applyBorder="1">
      <alignment/>
      <protection/>
    </xf>
    <xf numFmtId="165" fontId="21" fillId="33" borderId="0" xfId="57" applyFont="1" applyFill="1" applyAlignment="1">
      <alignment horizontal="right"/>
      <protection/>
    </xf>
    <xf numFmtId="37" fontId="22" fillId="33" borderId="0" xfId="57" applyNumberFormat="1" applyFont="1" applyFill="1" applyProtection="1">
      <alignment/>
      <protection locked="0"/>
    </xf>
    <xf numFmtId="37" fontId="21" fillId="33" borderId="0" xfId="57" applyNumberFormat="1" applyFont="1" applyFill="1">
      <alignment/>
      <protection/>
    </xf>
    <xf numFmtId="165" fontId="21" fillId="37" borderId="10" xfId="57" applyFont="1" applyFill="1" applyBorder="1">
      <alignment/>
      <protection/>
    </xf>
    <xf numFmtId="166" fontId="21" fillId="37" borderId="10" xfId="42" applyNumberFormat="1" applyFont="1" applyFill="1" applyBorder="1" applyAlignment="1" applyProtection="1">
      <alignment/>
      <protection/>
    </xf>
    <xf numFmtId="165" fontId="21" fillId="37" borderId="21" xfId="57" applyFont="1" applyFill="1" applyBorder="1">
      <alignment/>
      <protection/>
    </xf>
    <xf numFmtId="165" fontId="21" fillId="33" borderId="44" xfId="57" applyFont="1" applyFill="1" applyBorder="1" applyAlignment="1" applyProtection="1" quotePrefix="1">
      <alignment horizontal="left"/>
      <protection locked="0"/>
    </xf>
    <xf numFmtId="37" fontId="22" fillId="33" borderId="44" xfId="57" applyNumberFormat="1" applyFont="1" applyFill="1" applyBorder="1" applyProtection="1">
      <alignment/>
      <protection locked="0"/>
    </xf>
    <xf numFmtId="165" fontId="3" fillId="33" borderId="30" xfId="57" applyFont="1" applyFill="1" applyBorder="1" applyAlignment="1">
      <alignment horizontal="right"/>
      <protection/>
    </xf>
    <xf numFmtId="165" fontId="3" fillId="33" borderId="10" xfId="57" applyFont="1" applyFill="1" applyBorder="1" applyAlignment="1">
      <alignment horizontal="center"/>
      <protection/>
    </xf>
    <xf numFmtId="165" fontId="21" fillId="34" borderId="37" xfId="57" applyFont="1" applyFill="1" applyBorder="1">
      <alignment/>
      <protection/>
    </xf>
    <xf numFmtId="166" fontId="21" fillId="34" borderId="37" xfId="42" applyNumberFormat="1" applyFont="1" applyFill="1" applyBorder="1" applyAlignment="1" applyProtection="1">
      <alignment/>
      <protection/>
    </xf>
    <xf numFmtId="165" fontId="21" fillId="34" borderId="34" xfId="57" applyFont="1" applyFill="1" applyBorder="1">
      <alignment/>
      <protection/>
    </xf>
    <xf numFmtId="165" fontId="21" fillId="34" borderId="38" xfId="57" applyFont="1" applyFill="1" applyBorder="1">
      <alignment/>
      <protection/>
    </xf>
    <xf numFmtId="165" fontId="21" fillId="33" borderId="13" xfId="57" applyFont="1" applyFill="1" applyBorder="1" applyAlignment="1">
      <alignment horizontal="right"/>
      <protection/>
    </xf>
    <xf numFmtId="166" fontId="22" fillId="33" borderId="0" xfId="42" applyNumberFormat="1" applyFont="1" applyFill="1" applyBorder="1" applyAlignment="1" applyProtection="1">
      <alignment/>
      <protection/>
    </xf>
    <xf numFmtId="166" fontId="21" fillId="33" borderId="0" xfId="42" applyNumberFormat="1" applyFont="1" applyFill="1" applyBorder="1" applyAlignment="1" applyProtection="1">
      <alignment/>
      <protection/>
    </xf>
    <xf numFmtId="166" fontId="21" fillId="33" borderId="22" xfId="42" applyNumberFormat="1" applyFont="1" applyFill="1" applyBorder="1" applyAlignment="1" applyProtection="1">
      <alignment/>
      <protection/>
    </xf>
    <xf numFmtId="165" fontId="3" fillId="35" borderId="70" xfId="57" applyFont="1" applyFill="1" applyBorder="1" applyAlignment="1">
      <alignment horizontal="right"/>
      <protection/>
    </xf>
    <xf numFmtId="165" fontId="3" fillId="0" borderId="13" xfId="57" applyFont="1" applyBorder="1" applyAlignment="1">
      <alignment horizontal="right"/>
      <protection/>
    </xf>
    <xf numFmtId="165" fontId="21" fillId="0" borderId="0" xfId="57" applyFont="1">
      <alignment/>
      <protection/>
    </xf>
    <xf numFmtId="166" fontId="21" fillId="0" borderId="0" xfId="42" applyNumberFormat="1" applyFont="1" applyFill="1" applyBorder="1" applyAlignment="1" applyProtection="1">
      <alignment/>
      <protection/>
    </xf>
    <xf numFmtId="165" fontId="21" fillId="0" borderId="22" xfId="57" applyFont="1" applyBorder="1">
      <alignment/>
      <protection/>
    </xf>
    <xf numFmtId="165" fontId="2" fillId="0" borderId="0" xfId="57">
      <alignment/>
      <protection/>
    </xf>
    <xf numFmtId="37" fontId="27" fillId="33" borderId="15" xfId="57" applyNumberFormat="1" applyFont="1" applyFill="1" applyBorder="1">
      <alignment/>
      <protection/>
    </xf>
    <xf numFmtId="37" fontId="22" fillId="33" borderId="15" xfId="57" applyNumberFormat="1" applyFont="1" applyFill="1" applyBorder="1">
      <alignment/>
      <protection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14" fontId="3" fillId="33" borderId="27" xfId="56" applyNumberFormat="1" applyFont="1" applyFill="1" applyBorder="1">
      <alignment/>
      <protection/>
    </xf>
    <xf numFmtId="164" fontId="12" fillId="33" borderId="12" xfId="56" applyFont="1" applyFill="1" applyBorder="1" applyAlignment="1">
      <alignment horizontal="center"/>
      <protection/>
    </xf>
    <xf numFmtId="14" fontId="3" fillId="33" borderId="28" xfId="56" applyNumberFormat="1" applyFont="1" applyFill="1" applyBorder="1" applyAlignment="1">
      <alignment horizontal="center"/>
      <protection/>
    </xf>
    <xf numFmtId="14" fontId="3" fillId="33" borderId="0" xfId="56" applyNumberFormat="1" applyFont="1" applyFill="1" applyAlignment="1">
      <alignment horizontal="center"/>
      <protection/>
    </xf>
    <xf numFmtId="164" fontId="3" fillId="33" borderId="0" xfId="56" applyFont="1" applyFill="1" applyAlignment="1">
      <alignment horizontal="center"/>
      <protection/>
    </xf>
    <xf numFmtId="164" fontId="3" fillId="33" borderId="13" xfId="56" applyFont="1" applyFill="1" applyBorder="1" applyAlignment="1">
      <alignment horizontal="right"/>
      <protection/>
    </xf>
    <xf numFmtId="41" fontId="3" fillId="33" borderId="0" xfId="56" applyNumberFormat="1" applyFont="1" applyFill="1" applyAlignment="1" applyProtection="1">
      <alignment horizontal="left" vertical="top"/>
      <protection locked="0"/>
    </xf>
    <xf numFmtId="164" fontId="2" fillId="33" borderId="0" xfId="56" applyFill="1" applyAlignment="1">
      <alignment horizontal="right" vertical="top" wrapText="1"/>
      <protection/>
    </xf>
    <xf numFmtId="164" fontId="2" fillId="33" borderId="0" xfId="56" applyFill="1" applyAlignment="1">
      <alignment horizontal="left" vertical="top" wrapText="1"/>
      <protection/>
    </xf>
    <xf numFmtId="164" fontId="2" fillId="33" borderId="0" xfId="56" applyFill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right"/>
    </xf>
    <xf numFmtId="0" fontId="24" fillId="33" borderId="0" xfId="0" applyFont="1" applyFill="1" applyAlignment="1">
      <alignment horizontal="right"/>
    </xf>
    <xf numFmtId="0" fontId="24" fillId="36" borderId="41" xfId="0" applyFont="1" applyFill="1" applyBorder="1" applyAlignment="1">
      <alignment horizontal="center" wrapText="1"/>
    </xf>
    <xf numFmtId="0" fontId="24" fillId="35" borderId="40" xfId="0" applyFont="1" applyFill="1" applyBorder="1" applyAlignment="1">
      <alignment/>
    </xf>
    <xf numFmtId="0" fontId="24" fillId="35" borderId="41" xfId="0" applyFont="1" applyFill="1" applyBorder="1" applyAlignment="1">
      <alignment/>
    </xf>
    <xf numFmtId="0" fontId="24" fillId="36" borderId="43" xfId="0" applyFont="1" applyFill="1" applyBorder="1" applyAlignment="1">
      <alignment horizontal="center" wrapText="1"/>
    </xf>
    <xf numFmtId="0" fontId="24" fillId="35" borderId="23" xfId="0" applyFont="1" applyFill="1" applyBorder="1" applyAlignment="1">
      <alignment horizontal="center"/>
    </xf>
    <xf numFmtId="0" fontId="24" fillId="35" borderId="43" xfId="0" applyFont="1" applyFill="1" applyBorder="1" applyAlignment="1">
      <alignment horizontal="center"/>
    </xf>
    <xf numFmtId="0" fontId="24" fillId="35" borderId="71" xfId="0" applyFont="1" applyFill="1" applyBorder="1" applyAlignment="1">
      <alignment horizontal="center"/>
    </xf>
    <xf numFmtId="0" fontId="24" fillId="35" borderId="72" xfId="0" applyFont="1" applyFill="1" applyBorder="1" applyAlignment="1">
      <alignment horizontal="center"/>
    </xf>
    <xf numFmtId="0" fontId="24" fillId="36" borderId="50" xfId="0" applyFont="1" applyFill="1" applyBorder="1" applyAlignment="1">
      <alignment horizontal="center" wrapText="1"/>
    </xf>
    <xf numFmtId="0" fontId="24" fillId="36" borderId="47" xfId="0" applyFont="1" applyFill="1" applyBorder="1" applyAlignment="1">
      <alignment horizontal="center"/>
    </xf>
    <xf numFmtId="0" fontId="24" fillId="36" borderId="50" xfId="0" applyFont="1" applyFill="1" applyBorder="1" applyAlignment="1">
      <alignment horizontal="center"/>
    </xf>
    <xf numFmtId="0" fontId="24" fillId="35" borderId="44" xfId="0" applyFont="1" applyFill="1" applyBorder="1" applyAlignment="1">
      <alignment horizontal="center"/>
    </xf>
    <xf numFmtId="0" fontId="24" fillId="35" borderId="73" xfId="0" applyFont="1" applyFill="1" applyBorder="1" applyAlignment="1">
      <alignment horizontal="center"/>
    </xf>
    <xf numFmtId="0" fontId="24" fillId="36" borderId="30" xfId="0" applyFont="1" applyFill="1" applyBorder="1" applyAlignment="1">
      <alignment horizontal="center" wrapText="1"/>
    </xf>
    <xf numFmtId="0" fontId="24" fillId="36" borderId="10" xfId="0" applyFont="1" applyFill="1" applyBorder="1" applyAlignment="1">
      <alignment horizontal="center" wrapText="1"/>
    </xf>
    <xf numFmtId="0" fontId="24" fillId="33" borderId="50" xfId="0" applyFont="1" applyFill="1" applyBorder="1" applyAlignment="1">
      <alignment horizontal="center" wrapText="1"/>
    </xf>
    <xf numFmtId="0" fontId="24" fillId="33" borderId="47" xfId="0" applyFont="1" applyFill="1" applyBorder="1" applyAlignment="1">
      <alignment horizontal="center"/>
    </xf>
    <xf numFmtId="0" fontId="24" fillId="33" borderId="50" xfId="0" applyFont="1" applyFill="1" applyBorder="1" applyAlignment="1">
      <alignment horizontal="center"/>
    </xf>
    <xf numFmtId="0" fontId="24" fillId="33" borderId="44" xfId="0" applyFont="1" applyFill="1" applyBorder="1" applyAlignment="1">
      <alignment horizontal="center"/>
    </xf>
    <xf numFmtId="0" fontId="24" fillId="33" borderId="73" xfId="0" applyFont="1" applyFill="1" applyBorder="1" applyAlignment="1">
      <alignment horizontal="center"/>
    </xf>
    <xf numFmtId="0" fontId="24" fillId="16" borderId="33" xfId="0" applyFont="1" applyFill="1" applyBorder="1" applyAlignment="1">
      <alignment horizontal="right" wrapText="1"/>
    </xf>
    <xf numFmtId="0" fontId="29" fillId="16" borderId="50" xfId="0" applyFont="1" applyFill="1" applyBorder="1" applyAlignment="1">
      <alignment horizontal="left" wrapText="1"/>
    </xf>
    <xf numFmtId="37" fontId="29" fillId="16" borderId="47" xfId="0" applyNumberFormat="1" applyFont="1" applyFill="1" applyBorder="1" applyAlignment="1">
      <alignment/>
    </xf>
    <xf numFmtId="37" fontId="29" fillId="16" borderId="50" xfId="0" applyNumberFormat="1" applyFont="1" applyFill="1" applyBorder="1" applyAlignment="1">
      <alignment/>
    </xf>
    <xf numFmtId="39" fontId="29" fillId="16" borderId="73" xfId="0" applyNumberFormat="1" applyFont="1" applyFill="1" applyBorder="1" applyAlignment="1">
      <alignment/>
    </xf>
    <xf numFmtId="0" fontId="24" fillId="35" borderId="36" xfId="0" applyFont="1" applyFill="1" applyBorder="1" applyAlignment="1">
      <alignment horizontal="right" wrapText="1"/>
    </xf>
    <xf numFmtId="37" fontId="0" fillId="35" borderId="74" xfId="0" applyNumberFormat="1" applyFill="1" applyBorder="1" applyAlignment="1">
      <alignment/>
    </xf>
    <xf numFmtId="37" fontId="0" fillId="35" borderId="75" xfId="0" applyNumberFormat="1" applyFill="1" applyBorder="1" applyAlignment="1">
      <alignment/>
    </xf>
    <xf numFmtId="37" fontId="18" fillId="35" borderId="50" xfId="0" applyNumberFormat="1" applyFont="1" applyFill="1" applyBorder="1" applyAlignment="1">
      <alignment horizontal="center"/>
    </xf>
    <xf numFmtId="39" fontId="18" fillId="35" borderId="73" xfId="0" applyNumberFormat="1" applyFont="1" applyFill="1" applyBorder="1" applyAlignment="1">
      <alignment horizontal="center"/>
    </xf>
    <xf numFmtId="0" fontId="18" fillId="0" borderId="13" xfId="0" applyFont="1" applyBorder="1" applyAlignment="1" applyProtection="1" quotePrefix="1">
      <alignment horizontal="right"/>
      <protection locked="0"/>
    </xf>
    <xf numFmtId="0" fontId="18" fillId="33" borderId="45" xfId="0" applyFont="1" applyFill="1" applyBorder="1" applyAlignment="1" applyProtection="1">
      <alignment horizontal="left"/>
      <protection locked="0"/>
    </xf>
    <xf numFmtId="37" fontId="18" fillId="33" borderId="75" xfId="42" applyNumberFormat="1" applyFont="1" applyFill="1" applyBorder="1" applyAlignment="1" applyProtection="1">
      <alignment/>
      <protection locked="0"/>
    </xf>
    <xf numFmtId="39" fontId="18" fillId="33" borderId="76" xfId="42" applyNumberFormat="1" applyFont="1" applyFill="1" applyBorder="1" applyAlignment="1" applyProtection="1">
      <alignment/>
      <protection/>
    </xf>
    <xf numFmtId="37" fontId="18" fillId="33" borderId="75" xfId="0" applyNumberFormat="1" applyFont="1" applyFill="1" applyBorder="1" applyAlignment="1" applyProtection="1">
      <alignment/>
      <protection locked="0"/>
    </xf>
    <xf numFmtId="0" fontId="18" fillId="0" borderId="13" xfId="0" applyFont="1" applyBorder="1" applyAlignment="1" quotePrefix="1">
      <alignment horizontal="right"/>
    </xf>
    <xf numFmtId="0" fontId="18" fillId="33" borderId="77" xfId="0" applyFont="1" applyFill="1" applyBorder="1" applyAlignment="1">
      <alignment horizontal="center"/>
    </xf>
    <xf numFmtId="37" fontId="18" fillId="33" borderId="67" xfId="42" applyNumberFormat="1" applyFont="1" applyFill="1" applyBorder="1" applyAlignment="1" applyProtection="1">
      <alignment/>
      <protection/>
    </xf>
    <xf numFmtId="39" fontId="18" fillId="33" borderId="69" xfId="42" applyNumberFormat="1" applyFont="1" applyFill="1" applyBorder="1" applyAlignment="1" applyProtection="1">
      <alignment/>
      <protection/>
    </xf>
    <xf numFmtId="0" fontId="18" fillId="33" borderId="0" xfId="0" applyFont="1" applyFill="1" applyAlignment="1">
      <alignment horizontal="center"/>
    </xf>
    <xf numFmtId="166" fontId="18" fillId="33" borderId="0" xfId="42" applyNumberFormat="1" applyFont="1" applyFill="1" applyBorder="1" applyAlignment="1" applyProtection="1">
      <alignment/>
      <protection/>
    </xf>
    <xf numFmtId="0" fontId="73" fillId="33" borderId="0" xfId="0" applyFont="1" applyFill="1" applyAlignment="1">
      <alignment/>
    </xf>
    <xf numFmtId="166" fontId="18" fillId="33" borderId="22" xfId="42" applyNumberFormat="1" applyFont="1" applyFill="1" applyBorder="1" applyAlignment="1" applyProtection="1">
      <alignment/>
      <protection/>
    </xf>
    <xf numFmtId="0" fontId="24" fillId="35" borderId="75" xfId="0" applyFont="1" applyFill="1" applyBorder="1" applyAlignment="1">
      <alignment horizontal="right" wrapText="1"/>
    </xf>
    <xf numFmtId="0" fontId="24" fillId="36" borderId="75" xfId="0" applyFont="1" applyFill="1" applyBorder="1" applyAlignment="1">
      <alignment horizontal="center" wrapText="1"/>
    </xf>
    <xf numFmtId="37" fontId="18" fillId="35" borderId="75" xfId="0" applyNumberFormat="1" applyFont="1" applyFill="1" applyBorder="1" applyAlignment="1">
      <alignment horizontal="center"/>
    </xf>
    <xf numFmtId="39" fontId="18" fillId="35" borderId="76" xfId="0" applyNumberFormat="1" applyFont="1" applyFill="1" applyBorder="1" applyAlignment="1">
      <alignment horizontal="center"/>
    </xf>
    <xf numFmtId="0" fontId="18" fillId="0" borderId="74" xfId="0" applyFont="1" applyBorder="1" applyAlignment="1" applyProtection="1">
      <alignment horizontal="left"/>
      <protection locked="0"/>
    </xf>
    <xf numFmtId="0" fontId="18" fillId="0" borderId="34" xfId="0" applyFont="1" applyBorder="1" applyAlignment="1" applyProtection="1">
      <alignment horizontal="left"/>
      <protection locked="0"/>
    </xf>
    <xf numFmtId="0" fontId="18" fillId="0" borderId="45" xfId="0" applyFont="1" applyBorder="1" applyAlignment="1" applyProtection="1">
      <alignment horizontal="left"/>
      <protection locked="0"/>
    </xf>
    <xf numFmtId="0" fontId="18" fillId="33" borderId="44" xfId="0" applyFont="1" applyFill="1" applyBorder="1" applyAlignment="1" applyProtection="1">
      <alignment horizontal="left"/>
      <protection locked="0"/>
    </xf>
    <xf numFmtId="37" fontId="18" fillId="33" borderId="50" xfId="42" applyNumberFormat="1" applyFont="1" applyFill="1" applyBorder="1" applyAlignment="1" applyProtection="1">
      <alignment/>
      <protection locked="0"/>
    </xf>
    <xf numFmtId="37" fontId="18" fillId="33" borderId="50" xfId="0" applyNumberFormat="1" applyFont="1" applyFill="1" applyBorder="1" applyAlignment="1" applyProtection="1">
      <alignment/>
      <protection locked="0"/>
    </xf>
    <xf numFmtId="39" fontId="18" fillId="33" borderId="73" xfId="42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 horizontal="right"/>
    </xf>
    <xf numFmtId="0" fontId="24" fillId="33" borderId="77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left" wrapText="1"/>
    </xf>
    <xf numFmtId="37" fontId="29" fillId="16" borderId="43" xfId="0" applyNumberFormat="1" applyFont="1" applyFill="1" applyBorder="1" applyAlignment="1">
      <alignment/>
    </xf>
    <xf numFmtId="39" fontId="29" fillId="16" borderId="46" xfId="0" applyNumberFormat="1" applyFont="1" applyFill="1" applyBorder="1" applyAlignment="1">
      <alignment/>
    </xf>
    <xf numFmtId="0" fontId="18" fillId="33" borderId="50" xfId="0" applyFont="1" applyFill="1" applyBorder="1" applyAlignment="1" applyProtection="1">
      <alignment horizontal="left"/>
      <protection locked="0"/>
    </xf>
    <xf numFmtId="37" fontId="18" fillId="33" borderId="44" xfId="42" applyNumberFormat="1" applyFont="1" applyFill="1" applyBorder="1" applyAlignment="1" applyProtection="1">
      <alignment/>
      <protection locked="0"/>
    </xf>
    <xf numFmtId="37" fontId="18" fillId="33" borderId="45" xfId="42" applyNumberFormat="1" applyFont="1" applyFill="1" applyBorder="1" applyAlignment="1" applyProtection="1">
      <alignment/>
      <protection locked="0"/>
    </xf>
    <xf numFmtId="0" fontId="18" fillId="33" borderId="74" xfId="0" applyFont="1" applyFill="1" applyBorder="1" applyAlignment="1" applyProtection="1">
      <alignment horizontal="left"/>
      <protection locked="0"/>
    </xf>
    <xf numFmtId="0" fontId="18" fillId="33" borderId="34" xfId="0" applyFont="1" applyFill="1" applyBorder="1" applyAlignment="1" applyProtection="1">
      <alignment horizontal="left"/>
      <protection locked="0"/>
    </xf>
    <xf numFmtId="0" fontId="24" fillId="33" borderId="67" xfId="0" applyFont="1" applyFill="1" applyBorder="1" applyAlignment="1">
      <alignment horizontal="center"/>
    </xf>
    <xf numFmtId="37" fontId="18" fillId="33" borderId="77" xfId="42" applyNumberFormat="1" applyFont="1" applyFill="1" applyBorder="1" applyAlignment="1" applyProtection="1">
      <alignment/>
      <protection/>
    </xf>
    <xf numFmtId="0" fontId="24" fillId="33" borderId="0" xfId="0" applyFont="1" applyFill="1" applyAlignment="1">
      <alignment horizontal="center"/>
    </xf>
    <xf numFmtId="166" fontId="18" fillId="33" borderId="0" xfId="42" applyNumberFormat="1" applyFont="1" applyFill="1" applyBorder="1" applyAlignment="1" applyProtection="1">
      <alignment/>
      <protection locked="0"/>
    </xf>
    <xf numFmtId="0" fontId="18" fillId="0" borderId="44" xfId="0" applyFont="1" applyBorder="1" applyAlignment="1" applyProtection="1">
      <alignment horizontal="left"/>
      <protection locked="0"/>
    </xf>
    <xf numFmtId="0" fontId="24" fillId="0" borderId="6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14" xfId="0" applyFont="1" applyBorder="1" applyAlignment="1">
      <alignment horizontal="right"/>
    </xf>
    <xf numFmtId="0" fontId="24" fillId="33" borderId="78" xfId="0" applyFont="1" applyFill="1" applyBorder="1" applyAlignment="1">
      <alignment horizontal="center"/>
    </xf>
    <xf numFmtId="0" fontId="24" fillId="33" borderId="79" xfId="0" applyFont="1" applyFill="1" applyBorder="1" applyAlignment="1">
      <alignment horizontal="center"/>
    </xf>
    <xf numFmtId="0" fontId="24" fillId="33" borderId="80" xfId="0" applyFont="1" applyFill="1" applyBorder="1" applyAlignment="1">
      <alignment horizontal="center"/>
    </xf>
    <xf numFmtId="166" fontId="18" fillId="33" borderId="81" xfId="42" applyNumberFormat="1" applyFont="1" applyFill="1" applyBorder="1" applyAlignment="1" applyProtection="1">
      <alignment/>
      <protection locked="0"/>
    </xf>
    <xf numFmtId="0" fontId="73" fillId="33" borderId="81" xfId="0" applyFont="1" applyFill="1" applyBorder="1" applyAlignment="1">
      <alignment/>
    </xf>
    <xf numFmtId="166" fontId="18" fillId="33" borderId="81" xfId="42" applyNumberFormat="1" applyFont="1" applyFill="1" applyBorder="1" applyAlignment="1" applyProtection="1">
      <alignment/>
      <protection/>
    </xf>
    <xf numFmtId="166" fontId="18" fillId="33" borderId="82" xfId="42" applyNumberFormat="1" applyFont="1" applyFill="1" applyBorder="1" applyAlignment="1" applyProtection="1">
      <alignment/>
      <protection/>
    </xf>
    <xf numFmtId="0" fontId="24" fillId="36" borderId="13" xfId="0" applyFont="1" applyFill="1" applyBorder="1" applyAlignment="1">
      <alignment horizontal="center" wrapText="1"/>
    </xf>
    <xf numFmtId="0" fontId="24" fillId="16" borderId="83" xfId="0" applyFont="1" applyFill="1" applyBorder="1" applyAlignment="1">
      <alignment horizontal="right" wrapText="1"/>
    </xf>
    <xf numFmtId="0" fontId="24" fillId="35" borderId="11" xfId="0" applyFont="1" applyFill="1" applyBorder="1" applyAlignment="1">
      <alignment horizontal="right" wrapText="1"/>
    </xf>
    <xf numFmtId="0" fontId="0" fillId="35" borderId="84" xfId="0" applyFill="1" applyBorder="1" applyAlignment="1">
      <alignment/>
    </xf>
    <xf numFmtId="0" fontId="18" fillId="35" borderId="84" xfId="0" applyFont="1" applyFill="1" applyBorder="1" applyAlignment="1">
      <alignment horizontal="center"/>
    </xf>
    <xf numFmtId="0" fontId="18" fillId="35" borderId="85" xfId="0" applyFont="1" applyFill="1" applyBorder="1" applyAlignment="1">
      <alignment horizontal="center"/>
    </xf>
    <xf numFmtId="37" fontId="0" fillId="0" borderId="75" xfId="42" applyNumberFormat="1" applyFont="1" applyFill="1" applyBorder="1" applyAlignment="1" applyProtection="1">
      <alignment/>
      <protection locked="0"/>
    </xf>
    <xf numFmtId="39" fontId="0" fillId="0" borderId="76" xfId="42" applyNumberFormat="1" applyFont="1" applyFill="1" applyBorder="1" applyAlignment="1" applyProtection="1">
      <alignment/>
      <protection/>
    </xf>
    <xf numFmtId="37" fontId="0" fillId="0" borderId="67" xfId="42" applyNumberFormat="1" applyFont="1" applyFill="1" applyBorder="1" applyAlignment="1" applyProtection="1">
      <alignment/>
      <protection/>
    </xf>
    <xf numFmtId="39" fontId="0" fillId="0" borderId="69" xfId="42" applyNumberFormat="1" applyFont="1" applyFill="1" applyBorder="1" applyAlignment="1" applyProtection="1">
      <alignment/>
      <protection/>
    </xf>
    <xf numFmtId="166" fontId="0" fillId="0" borderId="0" xfId="42" applyNumberFormat="1" applyFont="1" applyFill="1" applyBorder="1" applyAlignment="1" applyProtection="1">
      <alignment/>
      <protection/>
    </xf>
    <xf numFmtId="166" fontId="0" fillId="0" borderId="22" xfId="42" applyNumberFormat="1" applyFont="1" applyFill="1" applyBorder="1" applyAlignment="1" applyProtection="1">
      <alignment/>
      <protection/>
    </xf>
    <xf numFmtId="37" fontId="0" fillId="0" borderId="50" xfId="42" applyNumberFormat="1" applyFont="1" applyFill="1" applyBorder="1" applyAlignment="1" applyProtection="1">
      <alignment/>
      <protection locked="0"/>
    </xf>
    <xf numFmtId="39" fontId="0" fillId="0" borderId="73" xfId="42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"/>
    </xf>
    <xf numFmtId="166" fontId="0" fillId="0" borderId="15" xfId="42" applyNumberFormat="1" applyFont="1" applyFill="1" applyBorder="1" applyAlignment="1" applyProtection="1">
      <alignment/>
      <protection locked="0"/>
    </xf>
    <xf numFmtId="0" fontId="73" fillId="33" borderId="15" xfId="0" applyFont="1" applyFill="1" applyBorder="1" applyAlignment="1">
      <alignment/>
    </xf>
    <xf numFmtId="166" fontId="18" fillId="33" borderId="15" xfId="42" applyNumberFormat="1" applyFont="1" applyFill="1" applyBorder="1" applyAlignment="1" applyProtection="1">
      <alignment/>
      <protection/>
    </xf>
    <xf numFmtId="166" fontId="0" fillId="0" borderId="16" xfId="42" applyNumberFormat="1" applyFont="1" applyFill="1" applyBorder="1" applyAlignment="1" applyProtection="1">
      <alignment/>
      <protection/>
    </xf>
    <xf numFmtId="0" fontId="0" fillId="35" borderId="75" xfId="0" applyFill="1" applyBorder="1" applyAlignment="1">
      <alignment/>
    </xf>
    <xf numFmtId="0" fontId="18" fillId="35" borderId="50" xfId="0" applyFont="1" applyFill="1" applyBorder="1" applyAlignment="1">
      <alignment horizontal="center"/>
    </xf>
    <xf numFmtId="0" fontId="18" fillId="35" borderId="73" xfId="0" applyFont="1" applyFill="1" applyBorder="1" applyAlignment="1">
      <alignment horizontal="center"/>
    </xf>
    <xf numFmtId="0" fontId="18" fillId="33" borderId="13" xfId="0" applyFont="1" applyFill="1" applyBorder="1" applyAlignment="1" applyProtection="1" quotePrefix="1">
      <alignment horizontal="right"/>
      <protection locked="0"/>
    </xf>
    <xf numFmtId="0" fontId="18" fillId="33" borderId="13" xfId="0" applyFont="1" applyFill="1" applyBorder="1" applyAlignment="1">
      <alignment horizontal="right"/>
    </xf>
    <xf numFmtId="0" fontId="18" fillId="33" borderId="14" xfId="0" applyFont="1" applyFill="1" applyBorder="1" applyAlignment="1">
      <alignment horizontal="right"/>
    </xf>
    <xf numFmtId="0" fontId="24" fillId="33" borderId="15" xfId="0" applyFont="1" applyFill="1" applyBorder="1" applyAlignment="1">
      <alignment horizontal="center"/>
    </xf>
    <xf numFmtId="166" fontId="18" fillId="33" borderId="16" xfId="42" applyNumberFormat="1" applyFont="1" applyFill="1" applyBorder="1" applyAlignment="1" applyProtection="1">
      <alignment/>
      <protection/>
    </xf>
    <xf numFmtId="0" fontId="24" fillId="35" borderId="74" xfId="0" applyFont="1" applyFill="1" applyBorder="1" applyAlignment="1">
      <alignment horizontal="centerContinuous"/>
    </xf>
    <xf numFmtId="0" fontId="24" fillId="35" borderId="75" xfId="0" applyFont="1" applyFill="1" applyBorder="1" applyAlignment="1">
      <alignment horizontal="centerContinuous"/>
    </xf>
    <xf numFmtId="0" fontId="18" fillId="0" borderId="74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37" fontId="0" fillId="35" borderId="67" xfId="0" applyNumberFormat="1" applyFill="1" applyBorder="1" applyAlignment="1">
      <alignment/>
    </xf>
    <xf numFmtId="0" fontId="18" fillId="33" borderId="74" xfId="0" applyFont="1" applyFill="1" applyBorder="1" applyAlignment="1">
      <alignment horizontal="left"/>
    </xf>
    <xf numFmtId="0" fontId="18" fillId="33" borderId="34" xfId="0" applyFont="1" applyFill="1" applyBorder="1" applyAlignment="1">
      <alignment horizontal="left"/>
    </xf>
    <xf numFmtId="0" fontId="18" fillId="33" borderId="45" xfId="0" applyFont="1" applyFill="1" applyBorder="1" applyAlignment="1">
      <alignment horizontal="left"/>
    </xf>
    <xf numFmtId="0" fontId="18" fillId="33" borderId="13" xfId="0" applyFont="1" applyFill="1" applyBorder="1" applyAlignment="1" quotePrefix="1">
      <alignment horizontal="right"/>
    </xf>
    <xf numFmtId="164" fontId="3" fillId="33" borderId="0" xfId="56" applyFont="1" applyFill="1" applyAlignment="1" quotePrefix="1">
      <alignment horizontal="right" wrapText="1"/>
      <protection/>
    </xf>
    <xf numFmtId="164" fontId="14" fillId="33" borderId="13" xfId="56" applyFont="1" applyFill="1" applyBorder="1" applyAlignment="1">
      <alignment wrapText="1"/>
      <protection/>
    </xf>
    <xf numFmtId="164" fontId="14" fillId="33" borderId="0" xfId="56" applyFont="1" applyFill="1" applyAlignment="1">
      <alignment wrapText="1"/>
      <protection/>
    </xf>
    <xf numFmtId="164" fontId="2" fillId="33" borderId="13" xfId="56" applyFill="1" applyBorder="1" applyAlignment="1">
      <alignment vertical="top" wrapText="1"/>
      <protection/>
    </xf>
    <xf numFmtId="164" fontId="2" fillId="33" borderId="0" xfId="56" applyFill="1" applyAlignment="1">
      <alignment vertical="top" wrapText="1"/>
      <protection/>
    </xf>
    <xf numFmtId="164" fontId="3" fillId="0" borderId="0" xfId="56" applyFont="1">
      <alignment/>
      <protection/>
    </xf>
    <xf numFmtId="164" fontId="2" fillId="0" borderId="0" xfId="56">
      <alignment/>
      <protection/>
    </xf>
    <xf numFmtId="164" fontId="2" fillId="33" borderId="0" xfId="56" applyFill="1" applyAlignment="1" applyProtection="1">
      <alignment vertical="top"/>
      <protection locked="0"/>
    </xf>
    <xf numFmtId="164" fontId="2" fillId="33" borderId="14" xfId="56" applyFill="1" applyBorder="1" applyAlignment="1" applyProtection="1">
      <alignment vertical="top"/>
      <protection locked="0"/>
    </xf>
    <xf numFmtId="164" fontId="2" fillId="33" borderId="15" xfId="56" applyFill="1" applyBorder="1" applyAlignment="1" applyProtection="1">
      <alignment vertical="top"/>
      <protection locked="0"/>
    </xf>
    <xf numFmtId="164" fontId="2" fillId="33" borderId="15" xfId="56" applyFill="1" applyBorder="1" applyAlignment="1" applyProtection="1">
      <alignment horizontal="left" vertical="top"/>
      <protection locked="0"/>
    </xf>
    <xf numFmtId="164" fontId="3" fillId="33" borderId="15" xfId="56" applyFont="1" applyFill="1" applyBorder="1" applyAlignment="1" applyProtection="1">
      <alignment vertical="top"/>
      <protection locked="0"/>
    </xf>
    <xf numFmtId="164" fontId="3" fillId="33" borderId="16" xfId="56" applyFont="1" applyFill="1" applyBorder="1" applyAlignment="1" applyProtection="1">
      <alignment vertical="top"/>
      <protection locked="0"/>
    </xf>
    <xf numFmtId="164" fontId="2" fillId="33" borderId="0" xfId="56" applyFill="1" applyAlignment="1" applyProtection="1">
      <alignment horizontal="left" vertical="top"/>
      <protection locked="0"/>
    </xf>
    <xf numFmtId="14" fontId="3" fillId="33" borderId="27" xfId="56" applyNumberFormat="1" applyFont="1" applyFill="1" applyBorder="1" applyAlignment="1">
      <alignment horizontal="center"/>
      <protection/>
    </xf>
    <xf numFmtId="41" fontId="3" fillId="33" borderId="15" xfId="56" applyNumberFormat="1" applyFont="1" applyFill="1" applyBorder="1" applyAlignment="1" applyProtection="1">
      <alignment vertical="top"/>
      <protection locked="0"/>
    </xf>
    <xf numFmtId="41" fontId="3" fillId="33" borderId="16" xfId="56" applyNumberFormat="1" applyFont="1" applyFill="1" applyBorder="1" applyAlignment="1" applyProtection="1">
      <alignment vertical="top"/>
      <protection locked="0"/>
    </xf>
    <xf numFmtId="164" fontId="3" fillId="33" borderId="13" xfId="56" applyFont="1" applyFill="1" applyBorder="1" applyAlignment="1">
      <alignment horizontal="center"/>
      <protection/>
    </xf>
    <xf numFmtId="164" fontId="3" fillId="33" borderId="22" xfId="56" applyFont="1" applyFill="1" applyBorder="1" applyAlignment="1">
      <alignment horizontal="center"/>
      <protection/>
    </xf>
    <xf numFmtId="164" fontId="3" fillId="33" borderId="0" xfId="56" applyFont="1" applyFill="1" applyAlignment="1">
      <alignment horizontal="left" wrapText="1"/>
      <protection/>
    </xf>
    <xf numFmtId="164" fontId="2" fillId="33" borderId="22" xfId="56" applyFill="1" applyBorder="1" applyAlignment="1">
      <alignment horizontal="right"/>
      <protection/>
    </xf>
    <xf numFmtId="164" fontId="3" fillId="33" borderId="15" xfId="56" applyFont="1" applyFill="1" applyBorder="1" applyAlignment="1">
      <alignment wrapText="1"/>
      <protection/>
    </xf>
    <xf numFmtId="164" fontId="3" fillId="33" borderId="15" xfId="56" applyFont="1" applyFill="1" applyBorder="1" applyAlignment="1" quotePrefix="1">
      <alignment horizontal="right" wrapText="1"/>
      <protection/>
    </xf>
    <xf numFmtId="164" fontId="3" fillId="33" borderId="15" xfId="56" applyFont="1" applyFill="1" applyBorder="1" applyAlignment="1">
      <alignment horizontal="left" wrapText="1"/>
      <protection/>
    </xf>
    <xf numFmtId="164" fontId="2" fillId="33" borderId="15" xfId="56" applyFill="1" applyBorder="1" applyAlignment="1">
      <alignment horizontal="right"/>
      <protection/>
    </xf>
    <xf numFmtId="164" fontId="2" fillId="33" borderId="16" xfId="56" applyFill="1" applyBorder="1" applyAlignment="1">
      <alignment horizontal="right"/>
      <protection/>
    </xf>
    <xf numFmtId="41" fontId="3" fillId="33" borderId="15" xfId="56" applyNumberFormat="1" applyFont="1" applyFill="1" applyBorder="1" applyAlignment="1">
      <alignment horizontal="left" vertical="top"/>
      <protection/>
    </xf>
    <xf numFmtId="0" fontId="0" fillId="33" borderId="15" xfId="0" applyFill="1" applyBorder="1" applyAlignment="1">
      <alignment/>
    </xf>
    <xf numFmtId="41" fontId="3" fillId="33" borderId="15" xfId="56" applyNumberFormat="1" applyFont="1" applyFill="1" applyBorder="1" applyAlignment="1">
      <alignment horizontal="center" vertical="top"/>
      <protection/>
    </xf>
    <xf numFmtId="41" fontId="3" fillId="33" borderId="16" xfId="56" applyNumberFormat="1" applyFont="1" applyFill="1" applyBorder="1" applyAlignment="1">
      <alignment horizontal="center" vertical="top"/>
      <protection/>
    </xf>
    <xf numFmtId="0" fontId="0" fillId="33" borderId="11" xfId="0" applyFill="1" applyBorder="1" applyAlignment="1">
      <alignment horizontal="right"/>
    </xf>
    <xf numFmtId="0" fontId="0" fillId="33" borderId="19" xfId="0" applyFill="1" applyBorder="1" applyAlignment="1">
      <alignment/>
    </xf>
    <xf numFmtId="0" fontId="24" fillId="0" borderId="75" xfId="0" applyFont="1" applyBorder="1" applyAlignment="1">
      <alignment horizontal="center"/>
    </xf>
    <xf numFmtId="0" fontId="24" fillId="0" borderId="75" xfId="0" applyFont="1" applyBorder="1" applyAlignment="1" quotePrefix="1">
      <alignment horizontal="center"/>
    </xf>
    <xf numFmtId="0" fontId="24" fillId="0" borderId="76" xfId="0" applyFont="1" applyBorder="1" applyAlignment="1">
      <alignment horizontal="center"/>
    </xf>
    <xf numFmtId="0" fontId="24" fillId="35" borderId="75" xfId="0" applyFont="1" applyFill="1" applyBorder="1" applyAlignment="1">
      <alignment horizontal="center"/>
    </xf>
    <xf numFmtId="0" fontId="24" fillId="35" borderId="76" xfId="0" applyFont="1" applyFill="1" applyBorder="1" applyAlignment="1">
      <alignment horizontal="center" wrapText="1"/>
    </xf>
    <xf numFmtId="0" fontId="18" fillId="0" borderId="42" xfId="0" applyFont="1" applyBorder="1" applyAlignment="1" applyProtection="1" quotePrefix="1">
      <alignment horizontal="right"/>
      <protection locked="0"/>
    </xf>
    <xf numFmtId="0" fontId="18" fillId="0" borderId="0" xfId="0" applyFont="1" applyAlignment="1" applyProtection="1">
      <alignment horizontal="left"/>
      <protection locked="0"/>
    </xf>
    <xf numFmtId="37" fontId="0" fillId="0" borderId="43" xfId="42" applyNumberFormat="1" applyFont="1" applyFill="1" applyBorder="1" applyAlignment="1" applyProtection="1">
      <alignment/>
      <protection locked="0"/>
    </xf>
    <xf numFmtId="37" fontId="0" fillId="0" borderId="46" xfId="42" applyNumberFormat="1" applyFont="1" applyFill="1" applyBorder="1" applyAlignment="1" applyProtection="1">
      <alignment/>
      <protection/>
    </xf>
    <xf numFmtId="0" fontId="18" fillId="0" borderId="23" xfId="0" applyFont="1" applyBorder="1" applyAlignment="1" applyProtection="1">
      <alignment/>
      <protection locked="0"/>
    </xf>
    <xf numFmtId="37" fontId="0" fillId="0" borderId="55" xfId="42" applyNumberFormat="1" applyFont="1" applyFill="1" applyBorder="1" applyAlignment="1" applyProtection="1">
      <alignment/>
      <protection locked="0"/>
    </xf>
    <xf numFmtId="0" fontId="18" fillId="0" borderId="42" xfId="0" applyFont="1" applyBorder="1" applyAlignment="1" quotePrefix="1">
      <alignment horizontal="right"/>
    </xf>
    <xf numFmtId="37" fontId="0" fillId="0" borderId="69" xfId="42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left"/>
    </xf>
    <xf numFmtId="37" fontId="0" fillId="0" borderId="43" xfId="42" applyNumberFormat="1" applyFont="1" applyFill="1" applyBorder="1" applyAlignment="1" applyProtection="1">
      <alignment/>
      <protection/>
    </xf>
    <xf numFmtId="0" fontId="24" fillId="33" borderId="0" xfId="0" applyFont="1" applyFill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5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4" fillId="35" borderId="70" xfId="0" applyFont="1" applyFill="1" applyBorder="1" applyAlignment="1">
      <alignment horizontal="right" wrapText="1"/>
    </xf>
    <xf numFmtId="37" fontId="0" fillId="35" borderId="69" xfId="0" applyNumberFormat="1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6" xfId="0" applyFill="1" applyBorder="1" applyAlignment="1">
      <alignment/>
    </xf>
    <xf numFmtId="164" fontId="3" fillId="33" borderId="86" xfId="56" applyFont="1" applyFill="1" applyBorder="1" applyAlignment="1">
      <alignment horizontal="center"/>
      <protection/>
    </xf>
    <xf numFmtId="164" fontId="2" fillId="33" borderId="13" xfId="56" applyFill="1" applyBorder="1" applyAlignment="1">
      <alignment horizontal="center" wrapText="1"/>
      <protection/>
    </xf>
    <xf numFmtId="164" fontId="3" fillId="33" borderId="55" xfId="56" applyFont="1" applyFill="1" applyBorder="1" applyAlignment="1">
      <alignment wrapText="1"/>
      <protection/>
    </xf>
    <xf numFmtId="164" fontId="2" fillId="33" borderId="0" xfId="56" applyFill="1" applyAlignment="1" applyProtection="1">
      <alignment horizontal="center" wrapText="1"/>
      <protection locked="0"/>
    </xf>
    <xf numFmtId="164" fontId="2" fillId="33" borderId="22" xfId="56" applyFill="1" applyBorder="1" applyAlignment="1" applyProtection="1">
      <alignment horizontal="center" wrapText="1"/>
      <protection locked="0"/>
    </xf>
    <xf numFmtId="164" fontId="3" fillId="33" borderId="0" xfId="56" applyFont="1" applyFill="1" applyAlignment="1" quotePrefix="1">
      <alignment vertical="top" wrapText="1"/>
      <protection/>
    </xf>
    <xf numFmtId="164" fontId="3" fillId="33" borderId="87" xfId="56" applyFont="1" applyFill="1" applyBorder="1" applyAlignment="1">
      <alignment wrapText="1"/>
      <protection/>
    </xf>
    <xf numFmtId="164" fontId="2" fillId="33" borderId="13" xfId="56" applyFill="1" applyBorder="1" applyAlignment="1">
      <alignment vertical="top"/>
      <protection/>
    </xf>
    <xf numFmtId="37" fontId="2" fillId="33" borderId="0" xfId="56" applyNumberFormat="1" applyFill="1">
      <alignment/>
      <protection/>
    </xf>
    <xf numFmtId="37" fontId="2" fillId="33" borderId="22" xfId="56" applyNumberFormat="1" applyFill="1" applyBorder="1">
      <alignment/>
      <protection/>
    </xf>
    <xf numFmtId="0" fontId="18" fillId="33" borderId="40" xfId="0" applyFont="1" applyFill="1" applyBorder="1" applyAlignment="1" applyProtection="1">
      <alignment horizontal="left"/>
      <protection locked="0"/>
    </xf>
    <xf numFmtId="0" fontId="18" fillId="33" borderId="37" xfId="0" applyFont="1" applyFill="1" applyBorder="1" applyAlignment="1" applyProtection="1">
      <alignment horizontal="left"/>
      <protection locked="0"/>
    </xf>
    <xf numFmtId="37" fontId="18" fillId="33" borderId="71" xfId="42" applyNumberFormat="1" applyFont="1" applyFill="1" applyBorder="1" applyAlignment="1" applyProtection="1">
      <alignment/>
      <protection locked="0"/>
    </xf>
    <xf numFmtId="37" fontId="18" fillId="33" borderId="41" xfId="0" applyNumberFormat="1" applyFont="1" applyFill="1" applyBorder="1" applyAlignment="1" applyProtection="1">
      <alignment/>
      <protection locked="0"/>
    </xf>
    <xf numFmtId="37" fontId="18" fillId="33" borderId="41" xfId="42" applyNumberFormat="1" applyFont="1" applyFill="1" applyBorder="1" applyAlignment="1" applyProtection="1">
      <alignment/>
      <protection locked="0"/>
    </xf>
    <xf numFmtId="49" fontId="18" fillId="0" borderId="13" xfId="0" applyNumberFormat="1" applyFont="1" applyBorder="1" applyAlignment="1" applyProtection="1" quotePrefix="1">
      <alignment horizontal="right"/>
      <protection locked="0"/>
    </xf>
    <xf numFmtId="49" fontId="18" fillId="0" borderId="13" xfId="0" applyNumberFormat="1" applyFont="1" applyBorder="1" applyAlignment="1">
      <alignment horizontal="right"/>
    </xf>
    <xf numFmtId="0" fontId="18" fillId="33" borderId="71" xfId="0" applyFont="1" applyFill="1" applyBorder="1" applyAlignment="1" applyProtection="1">
      <alignment horizontal="left"/>
      <protection locked="0"/>
    </xf>
    <xf numFmtId="39" fontId="18" fillId="33" borderId="46" xfId="42" applyNumberFormat="1" applyFont="1" applyFill="1" applyBorder="1" applyAlignment="1" applyProtection="1">
      <alignment/>
      <protection/>
    </xf>
    <xf numFmtId="39" fontId="18" fillId="33" borderId="67" xfId="42" applyNumberFormat="1" applyFont="1" applyFill="1" applyBorder="1" applyAlignment="1" applyProtection="1">
      <alignment/>
      <protection/>
    </xf>
    <xf numFmtId="43" fontId="2" fillId="33" borderId="0" xfId="42" applyFont="1" applyFill="1" applyAlignment="1">
      <alignment/>
    </xf>
    <xf numFmtId="43" fontId="3" fillId="33" borderId="0" xfId="42" applyFont="1" applyFill="1" applyAlignment="1">
      <alignment/>
    </xf>
    <xf numFmtId="43" fontId="0" fillId="33" borderId="0" xfId="0" applyNumberFormat="1" applyFill="1" applyAlignment="1">
      <alignment/>
    </xf>
    <xf numFmtId="0" fontId="18" fillId="33" borderId="74" xfId="0" applyFont="1" applyFill="1" applyBorder="1" applyAlignment="1">
      <alignment horizontal="left"/>
    </xf>
    <xf numFmtId="0" fontId="18" fillId="33" borderId="34" xfId="0" applyFont="1" applyFill="1" applyBorder="1" applyAlignment="1">
      <alignment horizontal="left"/>
    </xf>
    <xf numFmtId="0" fontId="18" fillId="33" borderId="45" xfId="0" applyFont="1" applyFill="1" applyBorder="1" applyAlignment="1">
      <alignment horizontal="left"/>
    </xf>
    <xf numFmtId="164" fontId="3" fillId="33" borderId="0" xfId="56" applyFont="1" applyFill="1" applyBorder="1" applyAlignment="1" applyProtection="1">
      <alignment wrapText="1"/>
      <protection locked="0"/>
    </xf>
    <xf numFmtId="37" fontId="22" fillId="0" borderId="43" xfId="57" applyNumberFormat="1" applyFont="1" applyFill="1" applyBorder="1" applyProtection="1">
      <alignment/>
      <protection locked="0"/>
    </xf>
    <xf numFmtId="43" fontId="12" fillId="33" borderId="0" xfId="42" applyFont="1" applyFill="1" applyAlignment="1">
      <alignment/>
    </xf>
    <xf numFmtId="43" fontId="12" fillId="33" borderId="0" xfId="42" applyFont="1" applyFill="1" applyAlignment="1">
      <alignment horizontal="center"/>
    </xf>
    <xf numFmtId="43" fontId="3" fillId="33" borderId="0" xfId="42" applyFont="1" applyFill="1" applyAlignment="1" applyProtection="1">
      <alignment vertical="top"/>
      <protection locked="0"/>
    </xf>
    <xf numFmtId="43" fontId="15" fillId="33" borderId="0" xfId="42" applyFont="1" applyFill="1" applyAlignment="1">
      <alignment/>
    </xf>
    <xf numFmtId="43" fontId="3" fillId="33" borderId="0" xfId="42" applyFont="1" applyFill="1" applyAlignment="1">
      <alignment horizontal="center"/>
    </xf>
    <xf numFmtId="37" fontId="0" fillId="33" borderId="0" xfId="0" applyNumberFormat="1" applyFill="1" applyAlignment="1">
      <alignment/>
    </xf>
    <xf numFmtId="39" fontId="0" fillId="33" borderId="0" xfId="0" applyNumberFormat="1" applyFill="1" applyAlignment="1">
      <alignment/>
    </xf>
    <xf numFmtId="0" fontId="0" fillId="0" borderId="0" xfId="0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horizontal="left"/>
    </xf>
    <xf numFmtId="0" fontId="53" fillId="0" borderId="0" xfId="55" applyFont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/>
    </xf>
    <xf numFmtId="0" fontId="53" fillId="0" borderId="0" xfId="55" applyFont="1" applyFill="1" applyAlignment="1" applyProtection="1">
      <alignment horizontal="center" vertical="top" readingOrder="1"/>
      <protection locked="0"/>
    </xf>
    <xf numFmtId="44" fontId="18" fillId="33" borderId="0" xfId="44" applyFont="1" applyFill="1" applyAlignment="1" applyProtection="1">
      <alignment/>
      <protection/>
    </xf>
    <xf numFmtId="44" fontId="0" fillId="33" borderId="0" xfId="0" applyNumberFormat="1" applyFill="1" applyAlignment="1">
      <alignment/>
    </xf>
    <xf numFmtId="39" fontId="18" fillId="33" borderId="75" xfId="42" applyNumberFormat="1" applyFont="1" applyFill="1" applyBorder="1" applyAlignment="1" applyProtection="1">
      <alignment/>
      <protection locked="0"/>
    </xf>
    <xf numFmtId="39" fontId="18" fillId="33" borderId="41" xfId="0" applyNumberFormat="1" applyFont="1" applyFill="1" applyBorder="1" applyAlignment="1" applyProtection="1">
      <alignment/>
      <protection locked="0"/>
    </xf>
    <xf numFmtId="39" fontId="18" fillId="33" borderId="75" xfId="0" applyNumberFormat="1" applyFont="1" applyFill="1" applyBorder="1" applyAlignment="1" applyProtection="1">
      <alignment/>
      <protection locked="0"/>
    </xf>
    <xf numFmtId="0" fontId="0" fillId="33" borderId="0" xfId="0" applyFill="1" applyAlignment="1" quotePrefix="1">
      <alignment/>
    </xf>
    <xf numFmtId="0" fontId="0" fillId="33" borderId="0" xfId="0" applyFill="1" applyAlignment="1" quotePrefix="1">
      <alignment horizontal="right"/>
    </xf>
    <xf numFmtId="4" fontId="53" fillId="0" borderId="0" xfId="0" applyNumberFormat="1" applyFont="1" applyAlignment="1">
      <alignment/>
    </xf>
    <xf numFmtId="37" fontId="2" fillId="33" borderId="23" xfId="56" applyNumberFormat="1" applyFill="1" applyBorder="1" applyAlignment="1">
      <alignment wrapText="1"/>
      <protection/>
    </xf>
    <xf numFmtId="164" fontId="3" fillId="33" borderId="88" xfId="56" applyFont="1" applyFill="1" applyBorder="1" applyAlignment="1">
      <alignment horizontal="center"/>
      <protection/>
    </xf>
    <xf numFmtId="43" fontId="75" fillId="33" borderId="0" xfId="42" applyFont="1" applyFill="1" applyAlignment="1">
      <alignment/>
    </xf>
    <xf numFmtId="164" fontId="3" fillId="33" borderId="0" xfId="56" applyFont="1" applyFill="1" applyBorder="1" applyAlignment="1" applyProtection="1" quotePrefix="1">
      <alignment wrapText="1"/>
      <protection locked="0"/>
    </xf>
    <xf numFmtId="164" fontId="2" fillId="33" borderId="0" xfId="56" applyFill="1" applyBorder="1" applyProtection="1">
      <alignment/>
      <protection locked="0"/>
    </xf>
    <xf numFmtId="164" fontId="3" fillId="33" borderId="0" xfId="56" applyFont="1" applyFill="1" applyBorder="1" applyAlignment="1" quotePrefix="1">
      <alignment wrapText="1"/>
      <protection/>
    </xf>
    <xf numFmtId="164" fontId="3" fillId="33" borderId="0" xfId="56" applyFont="1" applyFill="1" applyBorder="1" applyAlignment="1">
      <alignment wrapText="1"/>
      <protection/>
    </xf>
    <xf numFmtId="37" fontId="2" fillId="33" borderId="22" xfId="56" applyNumberFormat="1" applyFill="1" applyBorder="1" applyAlignment="1">
      <alignment wrapText="1"/>
      <protection/>
    </xf>
    <xf numFmtId="164" fontId="2" fillId="33" borderId="0" xfId="56" applyFill="1" applyBorder="1">
      <alignment/>
      <protection/>
    </xf>
    <xf numFmtId="164" fontId="3" fillId="33" borderId="0" xfId="56" applyFont="1" applyFill="1">
      <alignment/>
      <protection/>
    </xf>
    <xf numFmtId="164" fontId="12" fillId="33" borderId="0" xfId="56" applyFont="1" applyFill="1" applyAlignment="1">
      <alignment horizontal="center"/>
      <protection/>
    </xf>
    <xf numFmtId="165" fontId="21" fillId="33" borderId="0" xfId="57" applyFont="1" applyFill="1" applyAlignment="1">
      <alignment horizontal="left"/>
      <protection/>
    </xf>
    <xf numFmtId="41" fontId="3" fillId="33" borderId="0" xfId="56" applyNumberFormat="1" applyFont="1" applyFill="1" applyAlignment="1" applyProtection="1">
      <alignment horizontal="left" vertical="top"/>
      <protection locked="0"/>
    </xf>
    <xf numFmtId="164" fontId="2" fillId="33" borderId="0" xfId="56" applyFill="1" applyAlignment="1" applyProtection="1">
      <alignment horizontal="left" vertical="top" wrapText="1"/>
      <protection locked="0"/>
    </xf>
    <xf numFmtId="164" fontId="3" fillId="33" borderId="0" xfId="56" applyFont="1" applyFill="1" applyAlignment="1">
      <alignment horizontal="left"/>
      <protection/>
    </xf>
    <xf numFmtId="164" fontId="3" fillId="33" borderId="0" xfId="56" applyFont="1" applyFill="1" applyAlignment="1">
      <alignment horizontal="center"/>
      <protection/>
    </xf>
    <xf numFmtId="37" fontId="18" fillId="0" borderId="75" xfId="42" applyNumberFormat="1" applyFont="1" applyFill="1" applyBorder="1" applyAlignment="1" applyProtection="1">
      <alignment/>
      <protection locked="0"/>
    </xf>
    <xf numFmtId="39" fontId="22" fillId="33" borderId="0" xfId="57" applyNumberFormat="1" applyFont="1" applyFill="1" applyProtection="1">
      <alignment/>
      <protection locked="0"/>
    </xf>
    <xf numFmtId="43" fontId="18" fillId="33" borderId="0" xfId="42" applyFont="1" applyFill="1" applyAlignment="1" applyProtection="1">
      <alignment/>
      <protection/>
    </xf>
    <xf numFmtId="0" fontId="71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71" fillId="33" borderId="0" xfId="0" applyFont="1" applyFill="1" applyAlignment="1">
      <alignment vertical="center"/>
    </xf>
    <xf numFmtId="4" fontId="53" fillId="33" borderId="0" xfId="0" applyNumberFormat="1" applyFont="1" applyFill="1" applyAlignment="1">
      <alignment/>
    </xf>
    <xf numFmtId="4" fontId="7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7" fontId="0" fillId="33" borderId="0" xfId="0" applyNumberFormat="1" applyFill="1" applyBorder="1" applyAlignment="1">
      <alignment/>
    </xf>
    <xf numFmtId="164" fontId="3" fillId="33" borderId="0" xfId="56" applyFont="1" applyFill="1">
      <alignment/>
      <protection/>
    </xf>
    <xf numFmtId="164" fontId="4" fillId="33" borderId="0" xfId="56" applyFont="1" applyFill="1" applyAlignment="1">
      <alignment horizontal="center"/>
      <protection/>
    </xf>
    <xf numFmtId="164" fontId="5" fillId="33" borderId="0" xfId="56" applyFont="1" applyFill="1" applyAlignment="1">
      <alignment horizontal="center"/>
      <protection/>
    </xf>
    <xf numFmtId="164" fontId="6" fillId="33" borderId="27" xfId="56" applyFont="1" applyFill="1" applyBorder="1" applyAlignment="1" applyProtection="1">
      <alignment horizontal="left"/>
      <protection locked="0"/>
    </xf>
    <xf numFmtId="164" fontId="6" fillId="33" borderId="28" xfId="56" applyFont="1" applyFill="1" applyBorder="1" applyAlignment="1" applyProtection="1">
      <alignment horizontal="left"/>
      <protection locked="0"/>
    </xf>
    <xf numFmtId="164" fontId="6" fillId="33" borderId="10" xfId="56" applyFont="1" applyFill="1" applyBorder="1" applyAlignment="1" applyProtection="1">
      <alignment horizontal="left"/>
      <protection locked="0"/>
    </xf>
    <xf numFmtId="164" fontId="6" fillId="33" borderId="21" xfId="56" applyFont="1" applyFill="1" applyBorder="1" applyAlignment="1" applyProtection="1">
      <alignment horizontal="left"/>
      <protection locked="0"/>
    </xf>
    <xf numFmtId="164" fontId="8" fillId="33" borderId="10" xfId="56" applyFont="1" applyFill="1" applyBorder="1" applyAlignment="1">
      <alignment horizontal="center"/>
      <protection/>
    </xf>
    <xf numFmtId="164" fontId="8" fillId="33" borderId="89" xfId="56" applyFont="1" applyFill="1" applyBorder="1" applyAlignment="1">
      <alignment horizontal="center"/>
      <protection/>
    </xf>
    <xf numFmtId="164" fontId="6" fillId="33" borderId="10" xfId="56" applyFont="1" applyFill="1" applyBorder="1" applyAlignment="1">
      <alignment horizontal="center"/>
      <protection/>
    </xf>
    <xf numFmtId="164" fontId="6" fillId="33" borderId="89" xfId="56" applyFont="1" applyFill="1" applyBorder="1" applyAlignment="1">
      <alignment horizontal="center"/>
      <protection/>
    </xf>
    <xf numFmtId="164" fontId="6" fillId="33" borderId="13" xfId="56" applyFont="1" applyFill="1" applyBorder="1" applyAlignment="1" applyProtection="1">
      <alignment horizontal="left" wrapText="1"/>
      <protection locked="0"/>
    </xf>
    <xf numFmtId="164" fontId="6" fillId="33" borderId="0" xfId="56" applyFont="1" applyFill="1" applyAlignment="1" applyProtection="1">
      <alignment horizontal="left" wrapText="1"/>
      <protection locked="0"/>
    </xf>
    <xf numFmtId="164" fontId="6" fillId="33" borderId="22" xfId="56" applyFont="1" applyFill="1" applyBorder="1" applyAlignment="1" applyProtection="1">
      <alignment horizontal="left" wrapText="1"/>
      <protection locked="0"/>
    </xf>
    <xf numFmtId="164" fontId="6" fillId="33" borderId="14" xfId="56" applyFont="1" applyFill="1" applyBorder="1" applyAlignment="1" applyProtection="1">
      <alignment horizontal="left" wrapText="1"/>
      <protection locked="0"/>
    </xf>
    <xf numFmtId="164" fontId="6" fillId="33" borderId="15" xfId="56" applyFont="1" applyFill="1" applyBorder="1" applyAlignment="1" applyProtection="1">
      <alignment horizontal="left" wrapText="1"/>
      <protection locked="0"/>
    </xf>
    <xf numFmtId="164" fontId="6" fillId="33" borderId="16" xfId="56" applyFont="1" applyFill="1" applyBorder="1" applyAlignment="1" applyProtection="1">
      <alignment horizontal="left" wrapText="1"/>
      <protection locked="0"/>
    </xf>
    <xf numFmtId="164" fontId="6" fillId="33" borderId="13" xfId="56" applyFont="1" applyFill="1" applyBorder="1" applyAlignment="1" quotePrefix="1">
      <alignment horizontal="center"/>
      <protection/>
    </xf>
    <xf numFmtId="164" fontId="6" fillId="33" borderId="0" xfId="56" applyFont="1" applyFill="1" applyAlignment="1" quotePrefix="1">
      <alignment horizontal="center"/>
      <protection/>
    </xf>
    <xf numFmtId="164" fontId="6" fillId="33" borderId="22" xfId="56" applyFont="1" applyFill="1" applyBorder="1" applyAlignment="1" quotePrefix="1">
      <alignment horizontal="center"/>
      <protection/>
    </xf>
    <xf numFmtId="164" fontId="6" fillId="33" borderId="10" xfId="56" applyFont="1" applyFill="1" applyBorder="1" applyAlignment="1" quotePrefix="1">
      <alignment horizontal="center"/>
      <protection/>
    </xf>
    <xf numFmtId="164" fontId="6" fillId="33" borderId="21" xfId="56" applyFont="1" applyFill="1" applyBorder="1" applyAlignment="1" quotePrefix="1">
      <alignment horizontal="center"/>
      <protection/>
    </xf>
    <xf numFmtId="164" fontId="11" fillId="33" borderId="37" xfId="56" applyFont="1" applyFill="1" applyBorder="1" applyAlignment="1">
      <alignment horizontal="center"/>
      <protection/>
    </xf>
    <xf numFmtId="164" fontId="11" fillId="33" borderId="38" xfId="56" applyFont="1" applyFill="1" applyBorder="1" applyAlignment="1">
      <alignment horizontal="center"/>
      <protection/>
    </xf>
    <xf numFmtId="164" fontId="6" fillId="33" borderId="13" xfId="56" applyFont="1" applyFill="1" applyBorder="1" applyAlignment="1">
      <alignment horizontal="left" vertical="top" wrapText="1"/>
      <protection/>
    </xf>
    <xf numFmtId="164" fontId="6" fillId="33" borderId="0" xfId="56" applyFont="1" applyFill="1" applyAlignment="1">
      <alignment horizontal="left" vertical="top" wrapText="1"/>
      <protection/>
    </xf>
    <xf numFmtId="164" fontId="6" fillId="33" borderId="22" xfId="56" applyFont="1" applyFill="1" applyBorder="1" applyAlignment="1">
      <alignment horizontal="left" vertical="top" wrapText="1"/>
      <protection/>
    </xf>
    <xf numFmtId="164" fontId="6" fillId="33" borderId="13" xfId="56" applyFont="1" applyFill="1" applyBorder="1" applyAlignment="1" applyProtection="1">
      <alignment horizontal="left" vertical="top"/>
      <protection locked="0"/>
    </xf>
    <xf numFmtId="164" fontId="6" fillId="33" borderId="0" xfId="56" applyFont="1" applyFill="1" applyAlignment="1" applyProtection="1">
      <alignment horizontal="left" vertical="top"/>
      <protection locked="0"/>
    </xf>
    <xf numFmtId="164" fontId="6" fillId="33" borderId="22" xfId="56" applyFont="1" applyFill="1" applyBorder="1" applyAlignment="1" applyProtection="1">
      <alignment horizontal="left" vertical="top"/>
      <protection locked="0"/>
    </xf>
    <xf numFmtId="164" fontId="6" fillId="33" borderId="25" xfId="56" applyFont="1" applyFill="1" applyBorder="1" applyAlignment="1">
      <alignment horizontal="center"/>
      <protection/>
    </xf>
    <xf numFmtId="164" fontId="6" fillId="33" borderId="88" xfId="56" applyFont="1" applyFill="1" applyBorder="1" applyAlignment="1">
      <alignment horizontal="center"/>
      <protection/>
    </xf>
    <xf numFmtId="164" fontId="6" fillId="33" borderId="90" xfId="56" applyFont="1" applyFill="1" applyBorder="1" applyAlignment="1">
      <alignment horizontal="center"/>
      <protection/>
    </xf>
    <xf numFmtId="14" fontId="6" fillId="33" borderId="25" xfId="56" applyNumberFormat="1" applyFont="1" applyFill="1" applyBorder="1" applyAlignment="1">
      <alignment horizontal="center"/>
      <protection/>
    </xf>
    <xf numFmtId="14" fontId="6" fillId="33" borderId="88" xfId="56" applyNumberFormat="1" applyFont="1" applyFill="1" applyBorder="1" applyAlignment="1">
      <alignment horizontal="center"/>
      <protection/>
    </xf>
    <xf numFmtId="14" fontId="6" fillId="33" borderId="90" xfId="56" applyNumberFormat="1" applyFont="1" applyFill="1" applyBorder="1" applyAlignment="1">
      <alignment horizontal="center"/>
      <protection/>
    </xf>
    <xf numFmtId="164" fontId="6" fillId="35" borderId="91" xfId="56" applyFont="1" applyFill="1" applyBorder="1" applyAlignment="1">
      <alignment horizontal="center"/>
      <protection/>
    </xf>
    <xf numFmtId="164" fontId="6" fillId="35" borderId="92" xfId="56" applyFont="1" applyFill="1" applyBorder="1" applyAlignment="1">
      <alignment horizontal="center"/>
      <protection/>
    </xf>
    <xf numFmtId="164" fontId="6" fillId="35" borderId="93" xfId="56" applyFont="1" applyFill="1" applyBorder="1" applyAlignment="1">
      <alignment horizontal="center"/>
      <protection/>
    </xf>
    <xf numFmtId="164" fontId="6" fillId="35" borderId="94" xfId="56" applyFont="1" applyFill="1" applyBorder="1" applyAlignment="1">
      <alignment horizontal="center"/>
      <protection/>
    </xf>
    <xf numFmtId="164" fontId="6" fillId="35" borderId="95" xfId="56" applyFont="1" applyFill="1" applyBorder="1" applyAlignment="1">
      <alignment horizontal="center"/>
      <protection/>
    </xf>
    <xf numFmtId="164" fontId="6" fillId="33" borderId="11" xfId="56" applyFont="1" applyFill="1" applyBorder="1" applyAlignment="1">
      <alignment horizontal="left" vertical="top"/>
      <protection/>
    </xf>
    <xf numFmtId="164" fontId="6" fillId="33" borderId="12" xfId="56" applyFont="1" applyFill="1" applyBorder="1" applyAlignment="1">
      <alignment horizontal="left" vertical="top"/>
      <protection/>
    </xf>
    <xf numFmtId="164" fontId="6" fillId="33" borderId="19" xfId="56" applyFont="1" applyFill="1" applyBorder="1" applyAlignment="1">
      <alignment horizontal="left" vertical="top"/>
      <protection/>
    </xf>
    <xf numFmtId="164" fontId="6" fillId="33" borderId="14" xfId="56" applyFont="1" applyFill="1" applyBorder="1" applyAlignment="1">
      <alignment horizontal="left" vertical="top"/>
      <protection/>
    </xf>
    <xf numFmtId="164" fontId="6" fillId="33" borderId="15" xfId="56" applyFont="1" applyFill="1" applyBorder="1" applyAlignment="1">
      <alignment horizontal="left" vertical="top"/>
      <protection/>
    </xf>
    <xf numFmtId="164" fontId="6" fillId="33" borderId="16" xfId="56" applyFont="1" applyFill="1" applyBorder="1" applyAlignment="1">
      <alignment horizontal="left" vertical="top"/>
      <protection/>
    </xf>
    <xf numFmtId="164" fontId="6" fillId="33" borderId="11" xfId="56" applyFont="1" applyFill="1" applyBorder="1" applyAlignment="1" applyProtection="1">
      <alignment horizontal="center" vertical="top"/>
      <protection locked="0"/>
    </xf>
    <xf numFmtId="164" fontId="6" fillId="33" borderId="12" xfId="56" applyFont="1" applyFill="1" applyBorder="1" applyAlignment="1" applyProtection="1">
      <alignment horizontal="center" vertical="top"/>
      <protection locked="0"/>
    </xf>
    <xf numFmtId="164" fontId="6" fillId="33" borderId="19" xfId="56" applyFont="1" applyFill="1" applyBorder="1" applyAlignment="1" applyProtection="1">
      <alignment horizontal="center" vertical="top"/>
      <protection locked="0"/>
    </xf>
    <xf numFmtId="164" fontId="6" fillId="33" borderId="14" xfId="56" applyFont="1" applyFill="1" applyBorder="1" applyAlignment="1" applyProtection="1">
      <alignment horizontal="center" vertical="top"/>
      <protection locked="0"/>
    </xf>
    <xf numFmtId="164" fontId="6" fillId="33" borderId="15" xfId="56" applyFont="1" applyFill="1" applyBorder="1" applyAlignment="1" applyProtection="1">
      <alignment horizontal="center" vertical="top"/>
      <protection locked="0"/>
    </xf>
    <xf numFmtId="164" fontId="6" fillId="33" borderId="16" xfId="56" applyFont="1" applyFill="1" applyBorder="1" applyAlignment="1" applyProtection="1">
      <alignment horizontal="center" vertical="top"/>
      <protection locked="0"/>
    </xf>
    <xf numFmtId="164" fontId="12" fillId="33" borderId="0" xfId="56" applyFont="1" applyFill="1" applyAlignment="1">
      <alignment horizontal="center"/>
      <protection/>
    </xf>
    <xf numFmtId="14" fontId="3" fillId="33" borderId="27" xfId="56" applyNumberFormat="1" applyFont="1" applyFill="1" applyBorder="1" applyAlignment="1">
      <alignment horizontal="center"/>
      <protection/>
    </xf>
    <xf numFmtId="41" fontId="3" fillId="33" borderId="15" xfId="56" applyNumberFormat="1" applyFont="1" applyFill="1" applyBorder="1" applyAlignment="1">
      <alignment horizontal="left" vertical="top"/>
      <protection/>
    </xf>
    <xf numFmtId="41" fontId="3" fillId="33" borderId="16" xfId="56" applyNumberFormat="1" applyFont="1" applyFill="1" applyBorder="1" applyAlignment="1">
      <alignment horizontal="left" vertical="top"/>
      <protection/>
    </xf>
    <xf numFmtId="164" fontId="2" fillId="33" borderId="0" xfId="56" applyFill="1" applyAlignment="1">
      <alignment horizontal="left" vertical="top" wrapText="1"/>
      <protection/>
    </xf>
    <xf numFmtId="164" fontId="13" fillId="33" borderId="88" xfId="56" applyFont="1" applyFill="1" applyBorder="1" applyAlignment="1">
      <alignment horizontal="left" vertical="top" wrapText="1"/>
      <protection/>
    </xf>
    <xf numFmtId="164" fontId="13" fillId="33" borderId="90" xfId="56" applyFont="1" applyFill="1" applyBorder="1" applyAlignment="1">
      <alignment horizontal="left" vertical="top" wrapText="1"/>
      <protection/>
    </xf>
    <xf numFmtId="164" fontId="3" fillId="35" borderId="30" xfId="56" applyFont="1" applyFill="1" applyBorder="1" applyAlignment="1">
      <alignment horizontal="center"/>
      <protection/>
    </xf>
    <xf numFmtId="164" fontId="3" fillId="35" borderId="10" xfId="56" applyFont="1" applyFill="1" applyBorder="1" applyAlignment="1">
      <alignment horizontal="center"/>
      <protection/>
    </xf>
    <xf numFmtId="164" fontId="3" fillId="35" borderId="44" xfId="56" applyFont="1" applyFill="1" applyBorder="1" applyAlignment="1">
      <alignment horizontal="center"/>
      <protection/>
    </xf>
    <xf numFmtId="164" fontId="3" fillId="35" borderId="47" xfId="56" applyFont="1" applyFill="1" applyBorder="1" applyAlignment="1">
      <alignment horizontal="center"/>
      <protection/>
    </xf>
    <xf numFmtId="164" fontId="3" fillId="36" borderId="47" xfId="56" applyFont="1" applyFill="1" applyBorder="1" applyAlignment="1">
      <alignment horizontal="center" wrapText="1"/>
      <protection/>
    </xf>
    <xf numFmtId="164" fontId="3" fillId="36" borderId="10" xfId="56" applyFont="1" applyFill="1" applyBorder="1" applyAlignment="1">
      <alignment horizontal="center" wrapText="1"/>
      <protection/>
    </xf>
    <xf numFmtId="164" fontId="3" fillId="36" borderId="44" xfId="56" applyFont="1" applyFill="1" applyBorder="1" applyAlignment="1">
      <alignment horizontal="center" wrapText="1"/>
      <protection/>
    </xf>
    <xf numFmtId="164" fontId="3" fillId="36" borderId="0" xfId="56" applyFont="1" applyFill="1" applyAlignment="1">
      <alignment horizontal="center"/>
      <protection/>
    </xf>
    <xf numFmtId="164" fontId="3" fillId="35" borderId="22" xfId="56" applyFont="1" applyFill="1" applyBorder="1" applyAlignment="1">
      <alignment horizontal="center"/>
      <protection/>
    </xf>
    <xf numFmtId="164" fontId="13" fillId="0" borderId="36" xfId="56" applyFont="1" applyBorder="1" applyAlignment="1" applyProtection="1">
      <alignment horizontal="left"/>
      <protection locked="0"/>
    </xf>
    <xf numFmtId="164" fontId="13" fillId="0" borderId="75" xfId="56" applyFont="1" applyBorder="1" applyAlignment="1" applyProtection="1">
      <alignment horizontal="left"/>
      <protection locked="0"/>
    </xf>
    <xf numFmtId="164" fontId="13" fillId="33" borderId="75" xfId="56" applyFont="1" applyFill="1" applyBorder="1" applyAlignment="1" applyProtection="1">
      <alignment horizontal="center" wrapText="1"/>
      <protection locked="0"/>
    </xf>
    <xf numFmtId="164" fontId="13" fillId="33" borderId="76" xfId="56" applyFont="1" applyFill="1" applyBorder="1" applyAlignment="1" applyProtection="1">
      <alignment horizontal="center" wrapText="1"/>
      <protection locked="0"/>
    </xf>
    <xf numFmtId="164" fontId="13" fillId="0" borderId="36" xfId="56" applyFont="1" applyBorder="1" applyAlignment="1" applyProtection="1">
      <alignment horizontal="center"/>
      <protection locked="0"/>
    </xf>
    <xf numFmtId="164" fontId="13" fillId="0" borderId="75" xfId="56" applyFont="1" applyBorder="1" applyAlignment="1" applyProtection="1">
      <alignment horizontal="center"/>
      <protection locked="0"/>
    </xf>
    <xf numFmtId="164" fontId="13" fillId="33" borderId="36" xfId="56" applyFont="1" applyFill="1" applyBorder="1" applyAlignment="1" applyProtection="1">
      <alignment horizontal="center"/>
      <protection locked="0"/>
    </xf>
    <xf numFmtId="164" fontId="13" fillId="33" borderId="75" xfId="56" applyFont="1" applyFill="1" applyBorder="1" applyAlignment="1" applyProtection="1">
      <alignment horizontal="center"/>
      <protection locked="0"/>
    </xf>
    <xf numFmtId="164" fontId="13" fillId="33" borderId="88" xfId="56" applyFont="1" applyFill="1" applyBorder="1" applyAlignment="1" applyProtection="1">
      <alignment horizontal="left" vertical="top" wrapText="1"/>
      <protection locked="0"/>
    </xf>
    <xf numFmtId="164" fontId="13" fillId="33" borderId="90" xfId="56" applyFont="1" applyFill="1" applyBorder="1" applyAlignment="1" applyProtection="1">
      <alignment horizontal="left" vertical="top" wrapText="1"/>
      <protection locked="0"/>
    </xf>
    <xf numFmtId="164" fontId="13" fillId="33" borderId="60" xfId="56" applyFont="1" applyFill="1" applyBorder="1" applyAlignment="1" applyProtection="1">
      <alignment vertical="center" wrapText="1"/>
      <protection locked="0"/>
    </xf>
    <xf numFmtId="164" fontId="13" fillId="33" borderId="79" xfId="56" applyFont="1" applyFill="1" applyBorder="1" applyAlignment="1" applyProtection="1">
      <alignment vertical="center" wrapText="1"/>
      <protection locked="0"/>
    </xf>
    <xf numFmtId="164" fontId="13" fillId="36" borderId="81" xfId="56" applyFont="1" applyFill="1" applyBorder="1" applyAlignment="1" applyProtection="1">
      <alignment horizontal="center" wrapText="1"/>
      <protection locked="0"/>
    </xf>
    <xf numFmtId="164" fontId="13" fillId="36" borderId="82" xfId="56" applyFont="1" applyFill="1" applyBorder="1" applyAlignment="1" applyProtection="1">
      <alignment horizontal="center" wrapText="1"/>
      <protection locked="0"/>
    </xf>
    <xf numFmtId="14" fontId="3" fillId="33" borderId="28" xfId="56" applyNumberFormat="1" applyFont="1" applyFill="1" applyBorder="1" applyAlignment="1">
      <alignment horizontal="center"/>
      <protection/>
    </xf>
    <xf numFmtId="165" fontId="19" fillId="33" borderId="11" xfId="57" applyFont="1" applyFill="1" applyBorder="1" applyAlignment="1">
      <alignment horizontal="center"/>
      <protection/>
    </xf>
    <xf numFmtId="165" fontId="19" fillId="33" borderId="12" xfId="57" applyFont="1" applyFill="1" applyBorder="1" applyAlignment="1">
      <alignment horizontal="center"/>
      <protection/>
    </xf>
    <xf numFmtId="165" fontId="19" fillId="33" borderId="19" xfId="57" applyFont="1" applyFill="1" applyBorder="1" applyAlignment="1">
      <alignment horizontal="center"/>
      <protection/>
    </xf>
    <xf numFmtId="165" fontId="6" fillId="35" borderId="13" xfId="57" applyFont="1" applyFill="1" applyBorder="1" applyAlignment="1">
      <alignment horizontal="center"/>
      <protection/>
    </xf>
    <xf numFmtId="165" fontId="6" fillId="35" borderId="0" xfId="57" applyFont="1" applyFill="1" applyAlignment="1">
      <alignment horizontal="center"/>
      <protection/>
    </xf>
    <xf numFmtId="165" fontId="6" fillId="35" borderId="22" xfId="57" applyFont="1" applyFill="1" applyBorder="1" applyAlignment="1">
      <alignment horizontal="center"/>
      <protection/>
    </xf>
    <xf numFmtId="165" fontId="6" fillId="35" borderId="14" xfId="57" applyFont="1" applyFill="1" applyBorder="1" applyAlignment="1">
      <alignment horizontal="center"/>
      <protection/>
    </xf>
    <xf numFmtId="165" fontId="6" fillId="35" borderId="15" xfId="57" applyFont="1" applyFill="1" applyBorder="1" applyAlignment="1">
      <alignment horizontal="center"/>
      <protection/>
    </xf>
    <xf numFmtId="165" fontId="6" fillId="35" borderId="16" xfId="57" applyFont="1" applyFill="1" applyBorder="1" applyAlignment="1">
      <alignment horizontal="center"/>
      <protection/>
    </xf>
    <xf numFmtId="165" fontId="3" fillId="35" borderId="10" xfId="57" applyFont="1" applyFill="1" applyBorder="1" applyAlignment="1">
      <alignment horizontal="center"/>
      <protection/>
    </xf>
    <xf numFmtId="165" fontId="14" fillId="35" borderId="34" xfId="57" applyFont="1" applyFill="1" applyBorder="1" applyAlignment="1">
      <alignment horizontal="center"/>
      <protection/>
    </xf>
    <xf numFmtId="165" fontId="20" fillId="35" borderId="74" xfId="57" applyFont="1" applyFill="1" applyBorder="1" applyAlignment="1">
      <alignment horizontal="left"/>
      <protection/>
    </xf>
    <xf numFmtId="165" fontId="20" fillId="35" borderId="34" xfId="57" applyFont="1" applyFill="1" applyBorder="1" applyAlignment="1">
      <alignment horizontal="left"/>
      <protection/>
    </xf>
    <xf numFmtId="165" fontId="21" fillId="33" borderId="23" xfId="57" applyFont="1" applyFill="1" applyBorder="1" applyAlignment="1">
      <alignment horizontal="left"/>
      <protection/>
    </xf>
    <xf numFmtId="165" fontId="21" fillId="33" borderId="55" xfId="57" applyFont="1" applyFill="1" applyBorder="1" applyAlignment="1">
      <alignment horizontal="left"/>
      <protection/>
    </xf>
    <xf numFmtId="165" fontId="21" fillId="33" borderId="40" xfId="57" applyFont="1" applyFill="1" applyBorder="1" applyAlignment="1">
      <alignment horizontal="left"/>
      <protection/>
    </xf>
    <xf numFmtId="165" fontId="21" fillId="33" borderId="71" xfId="57" applyFont="1" applyFill="1" applyBorder="1" applyAlignment="1">
      <alignment horizontal="left"/>
      <protection/>
    </xf>
    <xf numFmtId="165" fontId="20" fillId="38" borderId="96" xfId="57" applyFont="1" applyFill="1" applyBorder="1" applyAlignment="1">
      <alignment horizontal="left"/>
      <protection/>
    </xf>
    <xf numFmtId="165" fontId="20" fillId="38" borderId="89" xfId="57" applyFont="1" applyFill="1" applyBorder="1" applyAlignment="1">
      <alignment horizontal="left"/>
      <protection/>
    </xf>
    <xf numFmtId="164" fontId="3" fillId="33" borderId="15" xfId="56" applyFont="1" applyFill="1" applyBorder="1" applyAlignment="1">
      <alignment horizontal="left" vertical="top"/>
      <protection/>
    </xf>
    <xf numFmtId="165" fontId="3" fillId="35" borderId="67" xfId="57" applyFont="1" applyFill="1" applyBorder="1" applyAlignment="1">
      <alignment horizontal="center"/>
      <protection/>
    </xf>
    <xf numFmtId="165" fontId="3" fillId="35" borderId="97" xfId="57" applyFont="1" applyFill="1" applyBorder="1" applyAlignment="1">
      <alignment horizontal="center"/>
      <protection/>
    </xf>
    <xf numFmtId="165" fontId="3" fillId="35" borderId="77" xfId="57" applyFont="1" applyFill="1" applyBorder="1" applyAlignment="1">
      <alignment horizontal="center"/>
      <protection/>
    </xf>
    <xf numFmtId="165" fontId="21" fillId="33" borderId="0" xfId="57" applyFont="1" applyFill="1" applyAlignment="1">
      <alignment horizontal="left"/>
      <protection/>
    </xf>
    <xf numFmtId="165" fontId="3" fillId="0" borderId="0" xfId="57" applyFont="1" applyAlignment="1">
      <alignment horizontal="center"/>
      <protection/>
    </xf>
    <xf numFmtId="0" fontId="18" fillId="0" borderId="74" xfId="0" applyFont="1" applyBorder="1" applyAlignment="1" applyProtection="1">
      <alignment horizontal="left"/>
      <protection locked="0"/>
    </xf>
    <xf numFmtId="0" fontId="18" fillId="0" borderId="34" xfId="0" applyFont="1" applyBorder="1" applyAlignment="1" applyProtection="1">
      <alignment horizontal="left"/>
      <protection locked="0"/>
    </xf>
    <xf numFmtId="0" fontId="18" fillId="0" borderId="45" xfId="0" applyFont="1" applyBorder="1" applyAlignment="1" applyProtection="1">
      <alignment horizontal="left"/>
      <protection locked="0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24" fillId="36" borderId="83" xfId="0" applyFont="1" applyFill="1" applyBorder="1" applyAlignment="1">
      <alignment horizontal="center" wrapText="1"/>
    </xf>
    <xf numFmtId="0" fontId="24" fillId="36" borderId="37" xfId="0" applyFont="1" applyFill="1" applyBorder="1" applyAlignment="1">
      <alignment horizontal="center" wrapText="1"/>
    </xf>
    <xf numFmtId="0" fontId="24" fillId="36" borderId="13" xfId="0" applyFont="1" applyFill="1" applyBorder="1" applyAlignment="1">
      <alignment horizontal="center" wrapText="1"/>
    </xf>
    <xf numFmtId="0" fontId="24" fillId="36" borderId="0" xfId="0" applyFont="1" applyFill="1" applyAlignment="1">
      <alignment horizontal="center" wrapText="1"/>
    </xf>
    <xf numFmtId="0" fontId="24" fillId="36" borderId="30" xfId="0" applyFont="1" applyFill="1" applyBorder="1" applyAlignment="1">
      <alignment horizontal="center" wrapText="1"/>
    </xf>
    <xf numFmtId="0" fontId="24" fillId="36" borderId="10" xfId="0" applyFont="1" applyFill="1" applyBorder="1" applyAlignment="1">
      <alignment horizontal="center" wrapText="1"/>
    </xf>
    <xf numFmtId="0" fontId="24" fillId="35" borderId="10" xfId="0" applyFont="1" applyFill="1" applyBorder="1" applyAlignment="1">
      <alignment horizontal="center"/>
    </xf>
    <xf numFmtId="0" fontId="24" fillId="35" borderId="22" xfId="0" applyFont="1" applyFill="1" applyBorder="1" applyAlignment="1">
      <alignment horizontal="center"/>
    </xf>
    <xf numFmtId="0" fontId="29" fillId="16" borderId="74" xfId="0" applyFont="1" applyFill="1" applyBorder="1" applyAlignment="1">
      <alignment horizontal="left" wrapText="1"/>
    </xf>
    <xf numFmtId="0" fontId="29" fillId="16" borderId="34" xfId="0" applyFont="1" applyFill="1" applyBorder="1" applyAlignment="1">
      <alignment horizontal="left" wrapText="1"/>
    </xf>
    <xf numFmtId="0" fontId="24" fillId="35" borderId="47" xfId="0" applyFont="1" applyFill="1" applyBorder="1" applyAlignment="1">
      <alignment horizontal="center" wrapText="1"/>
    </xf>
    <xf numFmtId="0" fontId="18" fillId="33" borderId="74" xfId="0" applyFont="1" applyFill="1" applyBorder="1" applyAlignment="1" applyProtection="1">
      <alignment horizontal="left"/>
      <protection locked="0"/>
    </xf>
    <xf numFmtId="0" fontId="18" fillId="33" borderId="34" xfId="0" applyFont="1" applyFill="1" applyBorder="1" applyAlignment="1" applyProtection="1">
      <alignment horizontal="left"/>
      <protection locked="0"/>
    </xf>
    <xf numFmtId="0" fontId="18" fillId="33" borderId="45" xfId="0" applyFont="1" applyFill="1" applyBorder="1" applyAlignment="1" applyProtection="1">
      <alignment horizontal="left"/>
      <protection locked="0"/>
    </xf>
    <xf numFmtId="0" fontId="18" fillId="33" borderId="74" xfId="0" applyFont="1" applyFill="1" applyBorder="1" applyAlignment="1">
      <alignment horizontal="left"/>
    </xf>
    <xf numFmtId="0" fontId="18" fillId="33" borderId="34" xfId="0" applyFont="1" applyFill="1" applyBorder="1" applyAlignment="1">
      <alignment horizontal="left"/>
    </xf>
    <xf numFmtId="0" fontId="18" fillId="33" borderId="45" xfId="0" applyFont="1" applyFill="1" applyBorder="1" applyAlignment="1">
      <alignment horizontal="left"/>
    </xf>
    <xf numFmtId="0" fontId="24" fillId="0" borderId="97" xfId="0" applyFont="1" applyBorder="1" applyAlignment="1">
      <alignment horizontal="center"/>
    </xf>
    <xf numFmtId="0" fontId="24" fillId="0" borderId="98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33" borderId="97" xfId="0" applyFont="1" applyFill="1" applyBorder="1" applyAlignment="1">
      <alignment horizontal="center"/>
    </xf>
    <xf numFmtId="0" fontId="24" fillId="33" borderId="98" xfId="0" applyFont="1" applyFill="1" applyBorder="1" applyAlignment="1">
      <alignment horizontal="center"/>
    </xf>
    <xf numFmtId="0" fontId="24" fillId="33" borderId="77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4" fillId="36" borderId="75" xfId="0" applyFont="1" applyFill="1" applyBorder="1" applyAlignment="1">
      <alignment horizontal="center" wrapText="1"/>
    </xf>
    <xf numFmtId="0" fontId="24" fillId="35" borderId="74" xfId="0" applyFont="1" applyFill="1" applyBorder="1" applyAlignment="1">
      <alignment horizontal="center" wrapText="1"/>
    </xf>
    <xf numFmtId="0" fontId="24" fillId="35" borderId="34" xfId="0" applyFont="1" applyFill="1" applyBorder="1" applyAlignment="1">
      <alignment horizontal="center" wrapText="1"/>
    </xf>
    <xf numFmtId="0" fontId="18" fillId="0" borderId="74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24" fillId="35" borderId="45" xfId="0" applyFont="1" applyFill="1" applyBorder="1" applyAlignment="1">
      <alignment horizontal="center" wrapText="1"/>
    </xf>
    <xf numFmtId="0" fontId="24" fillId="36" borderId="71" xfId="0" applyFont="1" applyFill="1" applyBorder="1" applyAlignment="1">
      <alignment horizontal="center" wrapText="1"/>
    </xf>
    <xf numFmtId="0" fontId="24" fillId="35" borderId="99" xfId="0" applyFont="1" applyFill="1" applyBorder="1" applyAlignment="1">
      <alignment horizontal="center" wrapText="1"/>
    </xf>
    <xf numFmtId="0" fontId="24" fillId="35" borderId="27" xfId="0" applyFont="1" applyFill="1" applyBorder="1" applyAlignment="1">
      <alignment horizontal="center" wrapText="1"/>
    </xf>
    <xf numFmtId="0" fontId="24" fillId="35" borderId="10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4" fillId="35" borderId="44" xfId="0" applyFont="1" applyFill="1" applyBorder="1" applyAlignment="1">
      <alignment horizontal="center" wrapText="1"/>
    </xf>
    <xf numFmtId="0" fontId="24" fillId="39" borderId="74" xfId="0" applyFont="1" applyFill="1" applyBorder="1" applyAlignment="1">
      <alignment horizontal="center" wrapText="1"/>
    </xf>
    <xf numFmtId="0" fontId="24" fillId="39" borderId="34" xfId="0" applyFont="1" applyFill="1" applyBorder="1" applyAlignment="1">
      <alignment horizontal="center" wrapText="1"/>
    </xf>
    <xf numFmtId="0" fontId="24" fillId="39" borderId="45" xfId="0" applyFont="1" applyFill="1" applyBorder="1" applyAlignment="1">
      <alignment horizontal="center" wrapText="1"/>
    </xf>
    <xf numFmtId="14" fontId="3" fillId="33" borderId="12" xfId="56" applyNumberFormat="1" applyFont="1" applyFill="1" applyBorder="1" applyAlignment="1">
      <alignment horizontal="center"/>
      <protection/>
    </xf>
    <xf numFmtId="41" fontId="3" fillId="33" borderId="0" xfId="56" applyNumberFormat="1" applyFont="1" applyFill="1" applyAlignment="1" applyProtection="1">
      <alignment horizontal="left" vertical="top"/>
      <protection locked="0"/>
    </xf>
    <xf numFmtId="41" fontId="3" fillId="33" borderId="22" xfId="56" applyNumberFormat="1" applyFont="1" applyFill="1" applyBorder="1" applyAlignment="1" applyProtection="1">
      <alignment horizontal="left" vertical="top"/>
      <protection locked="0"/>
    </xf>
    <xf numFmtId="164" fontId="2" fillId="33" borderId="14" xfId="56" applyFill="1" applyBorder="1" applyAlignment="1" applyProtection="1">
      <alignment horizontal="left" vertical="top" wrapText="1"/>
      <protection locked="0"/>
    </xf>
    <xf numFmtId="164" fontId="2" fillId="33" borderId="15" xfId="56" applyFill="1" applyBorder="1" applyAlignment="1" applyProtection="1">
      <alignment horizontal="left" vertical="top" wrapText="1"/>
      <protection locked="0"/>
    </xf>
    <xf numFmtId="164" fontId="2" fillId="33" borderId="16" xfId="56" applyFill="1" applyBorder="1" applyAlignment="1" applyProtection="1">
      <alignment horizontal="left" vertical="top" wrapText="1"/>
      <protection locked="0"/>
    </xf>
    <xf numFmtId="164" fontId="3" fillId="36" borderId="25" xfId="56" applyFont="1" applyFill="1" applyBorder="1" applyAlignment="1">
      <alignment horizontal="center"/>
      <protection/>
    </xf>
    <xf numFmtId="164" fontId="3" fillId="36" borderId="88" xfId="56" applyFont="1" applyFill="1" applyBorder="1" applyAlignment="1">
      <alignment horizontal="center"/>
      <protection/>
    </xf>
    <xf numFmtId="164" fontId="3" fillId="35" borderId="90" xfId="56" applyFont="1" applyFill="1" applyBorder="1" applyAlignment="1">
      <alignment horizontal="center"/>
      <protection/>
    </xf>
    <xf numFmtId="164" fontId="3" fillId="33" borderId="0" xfId="56" applyFont="1" applyFill="1" applyAlignment="1">
      <alignment horizontal="left" wrapText="1"/>
      <protection/>
    </xf>
    <xf numFmtId="166" fontId="3" fillId="33" borderId="50" xfId="42" applyNumberFormat="1" applyFont="1" applyFill="1" applyBorder="1" applyAlignment="1" applyProtection="1">
      <alignment horizontal="right" wrapText="1"/>
      <protection/>
    </xf>
    <xf numFmtId="166" fontId="3" fillId="33" borderId="73" xfId="42" applyNumberFormat="1" applyFont="1" applyFill="1" applyBorder="1" applyAlignment="1" applyProtection="1">
      <alignment horizontal="right" wrapText="1"/>
      <protection/>
    </xf>
    <xf numFmtId="166" fontId="3" fillId="33" borderId="75" xfId="42" applyNumberFormat="1" applyFont="1" applyFill="1" applyBorder="1" applyAlignment="1" applyProtection="1">
      <alignment horizontal="right"/>
      <protection/>
    </xf>
    <xf numFmtId="166" fontId="3" fillId="33" borderId="76" xfId="42" applyNumberFormat="1" applyFont="1" applyFill="1" applyBorder="1" applyAlignment="1" applyProtection="1">
      <alignment horizontal="right"/>
      <protection/>
    </xf>
    <xf numFmtId="10" fontId="3" fillId="33" borderId="75" xfId="60" applyNumberFormat="1" applyFont="1" applyFill="1" applyBorder="1" applyAlignment="1" applyProtection="1">
      <alignment horizontal="right"/>
      <protection/>
    </xf>
    <xf numFmtId="10" fontId="3" fillId="33" borderId="76" xfId="60" applyNumberFormat="1" applyFont="1" applyFill="1" applyBorder="1" applyAlignment="1" applyProtection="1">
      <alignment horizontal="right"/>
      <protection/>
    </xf>
    <xf numFmtId="164" fontId="2" fillId="33" borderId="0" xfId="56" applyFill="1" applyAlignment="1">
      <alignment horizontal="center"/>
      <protection/>
    </xf>
    <xf numFmtId="166" fontId="3" fillId="33" borderId="0" xfId="42" applyNumberFormat="1" applyFont="1" applyFill="1" applyBorder="1" applyAlignment="1" applyProtection="1">
      <alignment horizontal="right"/>
      <protection/>
    </xf>
    <xf numFmtId="166" fontId="3" fillId="33" borderId="22" xfId="42" applyNumberFormat="1" applyFont="1" applyFill="1" applyBorder="1" applyAlignment="1" applyProtection="1">
      <alignment horizontal="right"/>
      <protection/>
    </xf>
    <xf numFmtId="164" fontId="3" fillId="33" borderId="0" xfId="56" applyFont="1" applyFill="1" applyAlignment="1">
      <alignment horizontal="right"/>
      <protection/>
    </xf>
    <xf numFmtId="164" fontId="3" fillId="33" borderId="22" xfId="56" applyFont="1" applyFill="1" applyBorder="1" applyAlignment="1">
      <alignment horizontal="right"/>
      <protection/>
    </xf>
    <xf numFmtId="164" fontId="3" fillId="33" borderId="0" xfId="56" applyFont="1" applyFill="1" applyAlignment="1">
      <alignment wrapText="1"/>
      <protection/>
    </xf>
    <xf numFmtId="166" fontId="3" fillId="33" borderId="67" xfId="42" applyNumberFormat="1" applyFont="1" applyFill="1" applyBorder="1" applyAlignment="1" applyProtection="1">
      <alignment horizontal="right"/>
      <protection/>
    </xf>
    <xf numFmtId="166" fontId="3" fillId="33" borderId="69" xfId="42" applyNumberFormat="1" applyFont="1" applyFill="1" applyBorder="1" applyAlignment="1" applyProtection="1">
      <alignment horizontal="right"/>
      <protection/>
    </xf>
    <xf numFmtId="41" fontId="3" fillId="33" borderId="15" xfId="56" applyNumberFormat="1" applyFont="1" applyFill="1" applyBorder="1" applyAlignment="1" applyProtection="1">
      <alignment horizontal="left" vertical="top"/>
      <protection locked="0"/>
    </xf>
    <xf numFmtId="164" fontId="2" fillId="33" borderId="0" xfId="56" applyFill="1" applyAlignment="1" applyProtection="1">
      <alignment horizontal="left" vertical="top" wrapText="1"/>
      <protection locked="0"/>
    </xf>
    <xf numFmtId="164" fontId="3" fillId="33" borderId="0" xfId="56" applyFont="1" applyFill="1" applyAlignment="1">
      <alignment horizontal="left"/>
      <protection/>
    </xf>
    <xf numFmtId="166" fontId="3" fillId="33" borderId="75" xfId="42" applyNumberFormat="1" applyFont="1" applyFill="1" applyBorder="1" applyAlignment="1" applyProtection="1">
      <alignment horizontal="right" wrapText="1"/>
      <protection/>
    </xf>
    <xf numFmtId="166" fontId="3" fillId="33" borderId="76" xfId="42" applyNumberFormat="1" applyFont="1" applyFill="1" applyBorder="1" applyAlignment="1" applyProtection="1">
      <alignment horizontal="right" wrapText="1"/>
      <protection/>
    </xf>
    <xf numFmtId="43" fontId="3" fillId="33" borderId="67" xfId="42" applyFont="1" applyFill="1" applyBorder="1" applyAlignment="1" applyProtection="1">
      <alignment horizontal="right"/>
      <protection/>
    </xf>
    <xf numFmtId="43" fontId="3" fillId="33" borderId="69" xfId="42" applyFont="1" applyFill="1" applyBorder="1" applyAlignment="1" applyProtection="1">
      <alignment horizontal="right"/>
      <protection/>
    </xf>
    <xf numFmtId="164" fontId="2" fillId="33" borderId="0" xfId="56" applyFill="1" applyAlignment="1">
      <alignment horizontal="right"/>
      <protection/>
    </xf>
    <xf numFmtId="164" fontId="2" fillId="33" borderId="22" xfId="56" applyFill="1" applyBorder="1" applyAlignment="1">
      <alignment horizontal="right"/>
      <protection/>
    </xf>
    <xf numFmtId="0" fontId="24" fillId="33" borderId="0" xfId="0" applyFont="1" applyFill="1" applyAlignment="1">
      <alignment horizontal="right"/>
    </xf>
    <xf numFmtId="0" fontId="24" fillId="35" borderId="33" xfId="0" applyFont="1" applyFill="1" applyBorder="1" applyAlignment="1">
      <alignment horizontal="center" wrapText="1"/>
    </xf>
    <xf numFmtId="0" fontId="18" fillId="0" borderId="0" xfId="0" applyFont="1" applyAlignment="1" applyProtection="1">
      <alignment horizontal="left"/>
      <protection locked="0"/>
    </xf>
    <xf numFmtId="0" fontId="18" fillId="33" borderId="0" xfId="0" applyFont="1" applyFill="1" applyAlignment="1">
      <alignment horizontal="left"/>
    </xf>
    <xf numFmtId="0" fontId="24" fillId="35" borderId="98" xfId="0" applyFont="1" applyFill="1" applyBorder="1" applyAlignment="1">
      <alignment horizontal="center" wrapText="1"/>
    </xf>
    <xf numFmtId="41" fontId="3" fillId="33" borderId="0" xfId="56" applyNumberFormat="1" applyFont="1" applyFill="1" applyAlignment="1">
      <alignment horizontal="left" vertical="top"/>
      <protection/>
    </xf>
    <xf numFmtId="41" fontId="3" fillId="33" borderId="22" xfId="56" applyNumberFormat="1" applyFont="1" applyFill="1" applyBorder="1" applyAlignment="1">
      <alignment horizontal="left" vertical="top"/>
      <protection/>
    </xf>
    <xf numFmtId="164" fontId="2" fillId="33" borderId="14" xfId="56" applyFill="1" applyBorder="1" applyAlignment="1">
      <alignment horizontal="left" vertical="top" wrapText="1"/>
      <protection/>
    </xf>
    <xf numFmtId="164" fontId="2" fillId="33" borderId="15" xfId="56" applyFill="1" applyBorder="1" applyAlignment="1">
      <alignment horizontal="left" vertical="top" wrapText="1"/>
      <protection/>
    </xf>
    <xf numFmtId="164" fontId="2" fillId="33" borderId="16" xfId="56" applyFill="1" applyBorder="1" applyAlignment="1">
      <alignment horizontal="left" vertical="top" wrapText="1"/>
      <protection/>
    </xf>
    <xf numFmtId="164" fontId="3" fillId="36" borderId="12" xfId="56" applyFont="1" applyFill="1" applyBorder="1" applyAlignment="1">
      <alignment horizontal="center"/>
      <protection/>
    </xf>
    <xf numFmtId="164" fontId="3" fillId="36" borderId="19" xfId="56" applyFont="1" applyFill="1" applyBorder="1" applyAlignment="1">
      <alignment horizontal="center"/>
      <protection/>
    </xf>
    <xf numFmtId="164" fontId="3" fillId="33" borderId="88" xfId="56" applyFont="1" applyFill="1" applyBorder="1" applyAlignment="1">
      <alignment horizontal="left"/>
      <protection/>
    </xf>
    <xf numFmtId="164" fontId="3" fillId="33" borderId="90" xfId="56" applyFont="1" applyFill="1" applyBorder="1" applyAlignment="1">
      <alignment horizontal="left"/>
      <protection/>
    </xf>
    <xf numFmtId="164" fontId="3" fillId="36" borderId="11" xfId="56" applyFont="1" applyFill="1" applyBorder="1" applyAlignment="1">
      <alignment horizontal="center"/>
      <protection/>
    </xf>
    <xf numFmtId="164" fontId="3" fillId="33" borderId="11" xfId="56" applyFont="1" applyFill="1" applyBorder="1" applyAlignment="1">
      <alignment horizontal="center" wrapText="1"/>
      <protection/>
    </xf>
    <xf numFmtId="164" fontId="3" fillId="33" borderId="19" xfId="56" applyFont="1" applyFill="1" applyBorder="1" applyAlignment="1">
      <alignment horizontal="center" wrapText="1"/>
      <protection/>
    </xf>
    <xf numFmtId="164" fontId="3" fillId="33" borderId="0" xfId="56" applyFont="1" applyFill="1" applyBorder="1" applyAlignment="1" applyProtection="1">
      <alignment horizontal="left" wrapText="1"/>
      <protection locked="0"/>
    </xf>
    <xf numFmtId="37" fontId="2" fillId="33" borderId="75" xfId="56" applyNumberFormat="1" applyFill="1" applyBorder="1" applyAlignment="1" applyProtection="1">
      <alignment wrapText="1"/>
      <protection locked="0"/>
    </xf>
    <xf numFmtId="37" fontId="2" fillId="33" borderId="43" xfId="56" applyNumberFormat="1" applyFill="1" applyBorder="1" applyAlignment="1">
      <alignment wrapText="1"/>
      <protection/>
    </xf>
    <xf numFmtId="37" fontId="2" fillId="33" borderId="46" xfId="56" applyNumberFormat="1" applyFill="1" applyBorder="1" applyAlignment="1">
      <alignment wrapText="1"/>
      <protection/>
    </xf>
    <xf numFmtId="164" fontId="3" fillId="33" borderId="10" xfId="56" applyFont="1" applyFill="1" applyBorder="1" applyAlignment="1">
      <alignment horizontal="center" wrapText="1"/>
      <protection/>
    </xf>
    <xf numFmtId="164" fontId="3" fillId="33" borderId="34" xfId="56" applyFont="1" applyFill="1" applyBorder="1" applyAlignment="1" applyProtection="1">
      <alignment horizontal="center" wrapText="1"/>
      <protection locked="0"/>
    </xf>
    <xf numFmtId="37" fontId="2" fillId="33" borderId="74" xfId="56" applyNumberFormat="1" applyFill="1" applyBorder="1" applyAlignment="1" applyProtection="1">
      <alignment wrapText="1"/>
      <protection locked="0"/>
    </xf>
    <xf numFmtId="37" fontId="2" fillId="33" borderId="45" xfId="56" applyNumberFormat="1" applyFill="1" applyBorder="1" applyAlignment="1" applyProtection="1">
      <alignment wrapText="1"/>
      <protection locked="0"/>
    </xf>
    <xf numFmtId="37" fontId="2" fillId="33" borderId="23" xfId="56" applyNumberFormat="1" applyFill="1" applyBorder="1" applyAlignment="1">
      <alignment wrapText="1"/>
      <protection/>
    </xf>
    <xf numFmtId="37" fontId="2" fillId="33" borderId="22" xfId="56" applyNumberFormat="1" applyFill="1" applyBorder="1" applyAlignment="1">
      <alignment wrapText="1"/>
      <protection/>
    </xf>
    <xf numFmtId="164" fontId="3" fillId="33" borderId="10" xfId="56" applyFont="1" applyFill="1" applyBorder="1" applyAlignment="1" applyProtection="1">
      <alignment horizontal="center" wrapText="1"/>
      <protection locked="0"/>
    </xf>
    <xf numFmtId="164" fontId="3" fillId="33" borderId="0" xfId="56" applyFont="1" applyFill="1" applyBorder="1" applyAlignment="1">
      <alignment horizontal="left" wrapText="1"/>
      <protection/>
    </xf>
    <xf numFmtId="37" fontId="3" fillId="33" borderId="67" xfId="56" applyNumberFormat="1" applyFont="1" applyFill="1" applyBorder="1" applyAlignment="1">
      <alignment wrapText="1"/>
      <protection/>
    </xf>
    <xf numFmtId="37" fontId="3" fillId="33" borderId="43" xfId="56" applyNumberFormat="1" applyFont="1" applyFill="1" applyBorder="1" applyAlignment="1">
      <alignment wrapText="1"/>
      <protection/>
    </xf>
    <xf numFmtId="37" fontId="3" fillId="33" borderId="46" xfId="56" applyNumberFormat="1" applyFont="1" applyFill="1" applyBorder="1" applyAlignment="1">
      <alignment wrapText="1"/>
      <protection/>
    </xf>
    <xf numFmtId="164" fontId="3" fillId="33" borderId="0" xfId="56" applyFont="1" applyFill="1" applyBorder="1" applyAlignment="1">
      <alignment horizontal="center" wrapText="1"/>
      <protection/>
    </xf>
    <xf numFmtId="164" fontId="3" fillId="33" borderId="22" xfId="56" applyFont="1" applyFill="1" applyBorder="1" applyAlignment="1">
      <alignment horizontal="center" wrapText="1"/>
      <protection/>
    </xf>
    <xf numFmtId="164" fontId="3" fillId="33" borderId="34" xfId="56" applyFont="1" applyFill="1" applyBorder="1" applyAlignment="1">
      <alignment horizontal="center" wrapText="1"/>
      <protection/>
    </xf>
    <xf numFmtId="164" fontId="3" fillId="33" borderId="25" xfId="56" applyFont="1" applyFill="1" applyBorder="1" applyAlignment="1">
      <alignment horizontal="left"/>
      <protection/>
    </xf>
    <xf numFmtId="164" fontId="3" fillId="33" borderId="0" xfId="56" applyFont="1" applyFill="1" applyAlignment="1">
      <alignment horizontal="center"/>
      <protection/>
    </xf>
    <xf numFmtId="164" fontId="3" fillId="33" borderId="0" xfId="56" applyFont="1" applyFill="1" applyAlignment="1">
      <alignment horizontal="center" wrapText="1"/>
      <protection/>
    </xf>
    <xf numFmtId="164" fontId="2" fillId="33" borderId="0" xfId="56" applyFill="1" applyAlignment="1" applyProtection="1">
      <alignment horizontal="center" wrapText="1"/>
      <protection locked="0"/>
    </xf>
    <xf numFmtId="164" fontId="2" fillId="33" borderId="22" xfId="56" applyFill="1" applyBorder="1" applyAlignment="1" applyProtection="1">
      <alignment horizontal="center" wrapText="1"/>
      <protection locked="0"/>
    </xf>
    <xf numFmtId="37" fontId="3" fillId="33" borderId="74" xfId="56" applyNumberFormat="1" applyFont="1" applyFill="1" applyBorder="1" applyAlignment="1">
      <alignment wrapText="1"/>
      <protection/>
    </xf>
    <xf numFmtId="37" fontId="3" fillId="33" borderId="35" xfId="56" applyNumberFormat="1" applyFont="1" applyFill="1" applyBorder="1" applyAlignment="1">
      <alignment wrapText="1"/>
      <protection/>
    </xf>
    <xf numFmtId="164" fontId="2" fillId="33" borderId="41" xfId="56" applyFill="1" applyBorder="1" applyAlignment="1" applyProtection="1">
      <alignment horizontal="center" wrapText="1"/>
      <protection locked="0"/>
    </xf>
    <xf numFmtId="164" fontId="2" fillId="33" borderId="72" xfId="56" applyFill="1" applyBorder="1" applyAlignment="1" applyProtection="1">
      <alignment horizontal="center" wrapText="1"/>
      <protection locked="0"/>
    </xf>
    <xf numFmtId="164" fontId="2" fillId="33" borderId="43" xfId="56" applyFill="1" applyBorder="1" applyAlignment="1" applyProtection="1">
      <alignment horizontal="center" wrapText="1"/>
      <protection locked="0"/>
    </xf>
    <xf numFmtId="164" fontId="2" fillId="33" borderId="46" xfId="56" applyFill="1" applyBorder="1" applyAlignment="1" applyProtection="1">
      <alignment horizontal="center" wrapText="1"/>
      <protection locked="0"/>
    </xf>
    <xf numFmtId="164" fontId="2" fillId="33" borderId="47" xfId="56" applyFill="1" applyBorder="1" applyAlignment="1" applyProtection="1">
      <alignment horizontal="center" wrapText="1"/>
      <protection locked="0"/>
    </xf>
    <xf numFmtId="164" fontId="2" fillId="33" borderId="21" xfId="56" applyFill="1" applyBorder="1" applyAlignment="1" applyProtection="1">
      <alignment horizontal="center" wrapText="1"/>
      <protection locked="0"/>
    </xf>
    <xf numFmtId="37" fontId="3" fillId="33" borderId="75" xfId="56" applyNumberFormat="1" applyFont="1" applyFill="1" applyBorder="1" applyAlignment="1">
      <alignment wrapText="1"/>
      <protection/>
    </xf>
    <xf numFmtId="37" fontId="3" fillId="33" borderId="76" xfId="56" applyNumberFormat="1" applyFont="1" applyFill="1" applyBorder="1" applyAlignment="1">
      <alignment wrapText="1"/>
      <protection/>
    </xf>
    <xf numFmtId="164" fontId="3" fillId="33" borderId="25" xfId="56" applyFont="1" applyFill="1" applyBorder="1" applyAlignment="1">
      <alignment horizontal="center"/>
      <protection/>
    </xf>
    <xf numFmtId="164" fontId="3" fillId="33" borderId="88" xfId="56" applyFont="1" applyFill="1" applyBorder="1" applyAlignment="1">
      <alignment horizontal="center"/>
      <protection/>
    </xf>
    <xf numFmtId="164" fontId="3" fillId="33" borderId="90" xfId="56" applyFont="1" applyFill="1" applyBorder="1" applyAlignment="1">
      <alignment horizontal="center"/>
      <protection/>
    </xf>
    <xf numFmtId="37" fontId="3" fillId="33" borderId="69" xfId="56" applyNumberFormat="1" applyFont="1" applyFill="1" applyBorder="1" applyAlignment="1">
      <alignment wrapText="1"/>
      <protection/>
    </xf>
    <xf numFmtId="165" fontId="72" fillId="33" borderId="0" xfId="57" applyFont="1" applyFill="1" applyBorder="1">
      <alignment/>
      <protection/>
    </xf>
    <xf numFmtId="43" fontId="72" fillId="33" borderId="0" xfId="42" applyFont="1" applyFill="1" applyBorder="1" applyAlignment="1">
      <alignment/>
    </xf>
    <xf numFmtId="43" fontId="76" fillId="33" borderId="0" xfId="42" applyFont="1" applyFill="1" applyBorder="1" applyAlignment="1">
      <alignment/>
    </xf>
    <xf numFmtId="165" fontId="76" fillId="33" borderId="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CC90-FRO" xfId="56"/>
    <cellStyle name="Normal_CC90-WS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mithN\AppData\Local\Microsoft\Windows\INetCache\Content.Outlook\VN30MHCU\FQHC%20Medicaid%20Cost%20Report%20Form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dicaid%20Cost%20Report%20Workboo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tasha\Medicare%20cost%20reporting\2020\Danbury%20Hospital%202020%20Provider%20Fee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mithN\AppData\Local\Microsoft\Windows\INetCache\Content.Outlook\VN30MHCU\pg%2012%20data%20from%20Holly%20-Cost%20Report%20Data%207.23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 Info &amp; Certification"/>
      <sheetName val="P2 Service Sites &amp; Rel. Parties"/>
      <sheetName val="P3 Form A-1 Health Care"/>
      <sheetName val="P4 Form A-2 - Dental"/>
      <sheetName val="P5 Form A-3 - Mental Health"/>
      <sheetName val="P6 Form A-4 - Non-Allow Other"/>
      <sheetName val="P7 Form A-5 - OH "/>
      <sheetName val="P8 Form B-1 Visits-FTE Hlth "/>
      <sheetName val="P9 Form B-1 Visits-FTE Hlth2 "/>
      <sheetName val="P10 Form B-2 Visits-FTE Dental"/>
      <sheetName val="P11 Form B-3 Visits-FTE Mental "/>
      <sheetName val="P12 Form B-4 Summary Personnel"/>
      <sheetName val="P13 Form C - Adj &amp; Alloc"/>
      <sheetName val="P14 Form D-Allow Cost-Visit"/>
      <sheetName val="P15 Form E-Revenues"/>
      <sheetName val="P16 Form F-Grants-Contributions"/>
      <sheetName val="P17 Form G-Cost Disall &amp; Offset"/>
    </sheetNames>
    <sheetDataSet>
      <sheetData sheetId="0">
        <row r="12">
          <cell r="E12" t="str">
            <v>CIFC Inc./ Greater Danbury Community Health Center</v>
          </cell>
        </row>
        <row r="20">
          <cell r="L20">
            <v>43831</v>
          </cell>
          <cell r="M20" t="str">
            <v>To</v>
          </cell>
          <cell r="N20">
            <v>44196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S-224-14 WKS A "/>
      <sheetName val="2020 TB Fund 02"/>
      <sheetName val="Medicare grouping 2020"/>
      <sheetName val="wages and fte calc"/>
      <sheetName val="BH TB"/>
      <sheetName val="Dental TB"/>
      <sheetName val="THB TB"/>
      <sheetName val="VISITS BY PROVIDER"/>
      <sheetName val="Table 5 FTE hour report"/>
    </sheetNames>
    <sheetDataSet>
      <sheetData sheetId="1">
        <row r="147">
          <cell r="G147">
            <v>-15000</v>
          </cell>
        </row>
        <row r="148">
          <cell r="G148">
            <v>-15000</v>
          </cell>
        </row>
        <row r="272">
          <cell r="L272">
            <v>118739.52999999997</v>
          </cell>
          <cell r="M272">
            <v>470152</v>
          </cell>
          <cell r="N272">
            <v>1673714.69</v>
          </cell>
          <cell r="O272">
            <v>53291.61</v>
          </cell>
        </row>
        <row r="273">
          <cell r="L273">
            <v>-2379.96</v>
          </cell>
          <cell r="M273">
            <v>0</v>
          </cell>
          <cell r="N273">
            <v>92040.97</v>
          </cell>
          <cell r="O273">
            <v>53291.61</v>
          </cell>
        </row>
        <row r="274">
          <cell r="L274">
            <v>554585.72</v>
          </cell>
          <cell r="M274">
            <v>375848.60999999987</v>
          </cell>
          <cell r="N274">
            <v>4713633.48</v>
          </cell>
          <cell r="O274">
            <v>469592.70999999996</v>
          </cell>
        </row>
        <row r="278">
          <cell r="L278">
            <v>1174295.5</v>
          </cell>
        </row>
        <row r="279">
          <cell r="L279">
            <v>3872127</v>
          </cell>
        </row>
        <row r="280">
          <cell r="N280">
            <v>5082946.26</v>
          </cell>
        </row>
        <row r="281">
          <cell r="L281">
            <v>346029.57</v>
          </cell>
        </row>
        <row r="282">
          <cell r="L282">
            <v>30000</v>
          </cell>
        </row>
        <row r="283">
          <cell r="L283">
            <v>1200000</v>
          </cell>
        </row>
        <row r="284">
          <cell r="L284">
            <v>430657.75000000006</v>
          </cell>
        </row>
        <row r="285">
          <cell r="L285">
            <v>626992.02</v>
          </cell>
        </row>
        <row r="286">
          <cell r="L286">
            <v>19875</v>
          </cell>
        </row>
        <row r="287">
          <cell r="L287">
            <v>80392.39</v>
          </cell>
        </row>
        <row r="288">
          <cell r="L288">
            <v>563716.87</v>
          </cell>
        </row>
        <row r="289">
          <cell r="L289">
            <v>27100.31</v>
          </cell>
        </row>
        <row r="290">
          <cell r="L290">
            <v>2462071.87</v>
          </cell>
        </row>
        <row r="291">
          <cell r="L291">
            <v>20496</v>
          </cell>
        </row>
        <row r="292">
          <cell r="L292">
            <v>1657.86</v>
          </cell>
        </row>
        <row r="293">
          <cell r="L293">
            <v>1136900.27</v>
          </cell>
        </row>
        <row r="294">
          <cell r="L294">
            <v>932347.36</v>
          </cell>
        </row>
      </sheetData>
      <sheetData sheetId="2">
        <row r="15">
          <cell r="L15">
            <v>807657.73</v>
          </cell>
        </row>
        <row r="20">
          <cell r="L20">
            <v>963711.76</v>
          </cell>
        </row>
        <row r="27">
          <cell r="D27">
            <v>923768</v>
          </cell>
        </row>
        <row r="29">
          <cell r="D29">
            <v>384427.95</v>
          </cell>
        </row>
        <row r="30">
          <cell r="D30">
            <v>445549.65</v>
          </cell>
        </row>
        <row r="31">
          <cell r="D31">
            <v>637913.84</v>
          </cell>
        </row>
        <row r="33">
          <cell r="S33">
            <v>5229.76</v>
          </cell>
        </row>
        <row r="34">
          <cell r="S34">
            <v>864.45</v>
          </cell>
        </row>
        <row r="38">
          <cell r="S38">
            <v>1044951.13</v>
          </cell>
        </row>
        <row r="39">
          <cell r="S39">
            <v>97080.86</v>
          </cell>
        </row>
        <row r="40">
          <cell r="S40">
            <v>319351.78</v>
          </cell>
        </row>
        <row r="42">
          <cell r="S42">
            <v>248439.62</v>
          </cell>
        </row>
        <row r="44">
          <cell r="O44">
            <v>60000</v>
          </cell>
        </row>
        <row r="50">
          <cell r="S50">
            <v>161055.16</v>
          </cell>
        </row>
        <row r="51">
          <cell r="D51">
            <v>40614.41</v>
          </cell>
        </row>
        <row r="52">
          <cell r="D52">
            <v>12646.230000000001</v>
          </cell>
        </row>
        <row r="57">
          <cell r="S57">
            <v>208645.31</v>
          </cell>
        </row>
        <row r="58">
          <cell r="O58">
            <v>165807.06</v>
          </cell>
          <cell r="S58">
            <v>165807.06</v>
          </cell>
        </row>
        <row r="64">
          <cell r="D64">
            <v>16475.11</v>
          </cell>
        </row>
        <row r="78">
          <cell r="S78">
            <v>165768.83</v>
          </cell>
        </row>
        <row r="79">
          <cell r="S79">
            <v>119435.42</v>
          </cell>
        </row>
        <row r="80">
          <cell r="S80">
            <v>1191044.2899999998</v>
          </cell>
        </row>
        <row r="81">
          <cell r="S81">
            <v>220665.82999999996</v>
          </cell>
        </row>
        <row r="93">
          <cell r="N93">
            <v>3751134.2000000007</v>
          </cell>
        </row>
      </sheetData>
      <sheetData sheetId="3">
        <row r="8">
          <cell r="K8">
            <v>4144079.14</v>
          </cell>
        </row>
        <row r="10">
          <cell r="K10">
            <v>0</v>
          </cell>
        </row>
        <row r="11">
          <cell r="E11">
            <v>1438</v>
          </cell>
          <cell r="G11">
            <v>148846.99999999997</v>
          </cell>
        </row>
        <row r="12">
          <cell r="E12">
            <v>0</v>
          </cell>
          <cell r="G12">
            <v>24</v>
          </cell>
        </row>
        <row r="13">
          <cell r="K13">
            <v>296132.99</v>
          </cell>
        </row>
        <row r="15">
          <cell r="K15">
            <v>73761.28</v>
          </cell>
        </row>
        <row r="19">
          <cell r="K19">
            <v>977424.3899999999</v>
          </cell>
        </row>
        <row r="24">
          <cell r="E24">
            <v>474.2251558344127</v>
          </cell>
          <cell r="G24">
            <v>42603.89</v>
          </cell>
        </row>
        <row r="45">
          <cell r="E45">
            <v>1623.04</v>
          </cell>
          <cell r="G45">
            <v>24886.29</v>
          </cell>
        </row>
        <row r="48">
          <cell r="E48">
            <v>1501.1893588255198</v>
          </cell>
          <cell r="G48">
            <v>57207.299999999996</v>
          </cell>
        </row>
        <row r="49">
          <cell r="E49">
            <v>1049.73</v>
          </cell>
          <cell r="G49">
            <v>21542.210000000003</v>
          </cell>
        </row>
        <row r="50">
          <cell r="E50">
            <v>1544.62</v>
          </cell>
          <cell r="G50">
            <v>142398.91999999998</v>
          </cell>
        </row>
        <row r="52">
          <cell r="E52">
            <v>891.34</v>
          </cell>
          <cell r="G52">
            <v>74339.76</v>
          </cell>
        </row>
        <row r="53">
          <cell r="E53">
            <v>52.363940111906125</v>
          </cell>
          <cell r="G53">
            <v>801.75</v>
          </cell>
        </row>
        <row r="54">
          <cell r="E54">
            <v>1776.03</v>
          </cell>
          <cell r="G54">
            <v>35413.65</v>
          </cell>
        </row>
        <row r="55">
          <cell r="E55">
            <v>599.75</v>
          </cell>
          <cell r="G55">
            <v>53451.380000000005</v>
          </cell>
        </row>
        <row r="57">
          <cell r="E57">
            <v>1335.7054985420984</v>
          </cell>
          <cell r="G57">
            <v>52303.479999999996</v>
          </cell>
        </row>
        <row r="72">
          <cell r="E72">
            <v>2059.56</v>
          </cell>
          <cell r="G72">
            <v>221736.7999999999</v>
          </cell>
        </row>
        <row r="75">
          <cell r="E75">
            <v>1670.74</v>
          </cell>
          <cell r="G75">
            <v>140404.42999999996</v>
          </cell>
        </row>
        <row r="80">
          <cell r="E80">
            <v>1320.61</v>
          </cell>
          <cell r="G80">
            <v>24528.64</v>
          </cell>
        </row>
        <row r="81">
          <cell r="E81">
            <v>34.44177430992672</v>
          </cell>
          <cell r="G81">
            <v>1770.04</v>
          </cell>
        </row>
        <row r="82">
          <cell r="E82">
            <v>1636.7866913024013</v>
          </cell>
          <cell r="G82">
            <v>30460.089999999993</v>
          </cell>
        </row>
        <row r="83">
          <cell r="E83">
            <v>331.94</v>
          </cell>
          <cell r="G83">
            <v>5287.23</v>
          </cell>
        </row>
        <row r="85">
          <cell r="E85">
            <v>588.75</v>
          </cell>
          <cell r="G85">
            <v>61250</v>
          </cell>
        </row>
        <row r="86">
          <cell r="E86">
            <v>2081.3253095517643</v>
          </cell>
          <cell r="G86">
            <v>26337.299999999996</v>
          </cell>
        </row>
        <row r="87">
          <cell r="E87">
            <v>10.456324992826929</v>
          </cell>
          <cell r="G87">
            <v>191.59</v>
          </cell>
        </row>
        <row r="92">
          <cell r="E92">
            <v>2168.4</v>
          </cell>
          <cell r="G92">
            <v>35841.07000000001</v>
          </cell>
        </row>
        <row r="93">
          <cell r="E93">
            <v>80.1274936951797</v>
          </cell>
          <cell r="G93">
            <v>3833.48</v>
          </cell>
        </row>
        <row r="95">
          <cell r="E95">
            <v>1506.512522010812</v>
          </cell>
          <cell r="G95">
            <v>71934.56999999998</v>
          </cell>
        </row>
        <row r="96">
          <cell r="E96">
            <v>407.165289209994</v>
          </cell>
          <cell r="G96">
            <v>47723.68</v>
          </cell>
        </row>
        <row r="101">
          <cell r="E101">
            <v>327.78823336224445</v>
          </cell>
          <cell r="G101">
            <v>30690.97</v>
          </cell>
        </row>
        <row r="103">
          <cell r="E103">
            <v>596.4036765809759</v>
          </cell>
          <cell r="G103">
            <v>53580.28000000001</v>
          </cell>
        </row>
        <row r="104">
          <cell r="E104">
            <v>656.5240094477866</v>
          </cell>
          <cell r="G104">
            <v>56837.020000000004</v>
          </cell>
        </row>
        <row r="105">
          <cell r="E105">
            <v>8.27688591042857</v>
          </cell>
          <cell r="G105">
            <v>380.21</v>
          </cell>
        </row>
        <row r="108">
          <cell r="E108">
            <v>22.5</v>
          </cell>
          <cell r="G108">
            <v>1235.03</v>
          </cell>
        </row>
        <row r="109">
          <cell r="E109">
            <v>573.4418978650662</v>
          </cell>
          <cell r="G109">
            <v>21475.54</v>
          </cell>
        </row>
        <row r="110">
          <cell r="E110">
            <v>1792.712187020893</v>
          </cell>
          <cell r="G110">
            <v>47814.42</v>
          </cell>
        </row>
        <row r="114">
          <cell r="E114">
            <v>320.05</v>
          </cell>
          <cell r="G114">
            <v>4954.820000000001</v>
          </cell>
        </row>
        <row r="116">
          <cell r="E116">
            <v>1072.4</v>
          </cell>
          <cell r="G116">
            <v>20472.67</v>
          </cell>
        </row>
        <row r="118">
          <cell r="E118">
            <v>91.75</v>
          </cell>
          <cell r="G118">
            <v>10351.24</v>
          </cell>
        </row>
        <row r="119">
          <cell r="E119">
            <v>1710.3568330619394</v>
          </cell>
          <cell r="G119">
            <v>30182.61999999999</v>
          </cell>
        </row>
        <row r="120">
          <cell r="E120">
            <v>531.6413875472805</v>
          </cell>
          <cell r="G120">
            <v>48229.87000000001</v>
          </cell>
        </row>
        <row r="126">
          <cell r="E126">
            <v>2458.68</v>
          </cell>
          <cell r="G126">
            <v>78470.6</v>
          </cell>
        </row>
        <row r="127">
          <cell r="E127">
            <v>125.01</v>
          </cell>
          <cell r="G127">
            <v>9329.52</v>
          </cell>
        </row>
        <row r="128">
          <cell r="E128">
            <v>498.17</v>
          </cell>
          <cell r="G128">
            <v>20167.550000000003</v>
          </cell>
        </row>
        <row r="130">
          <cell r="E130">
            <v>389.70000000000005</v>
          </cell>
          <cell r="G130">
            <v>16826.56</v>
          </cell>
        </row>
        <row r="131">
          <cell r="E131">
            <v>1830.41</v>
          </cell>
          <cell r="G131">
            <v>56374.91999999997</v>
          </cell>
        </row>
        <row r="132">
          <cell r="E132">
            <v>387.4368820639808</v>
          </cell>
          <cell r="G132">
            <v>19911.250000000004</v>
          </cell>
        </row>
        <row r="133">
          <cell r="E133">
            <v>2121.763050675892</v>
          </cell>
          <cell r="G133">
            <v>35568.46</v>
          </cell>
        </row>
        <row r="134">
          <cell r="E134">
            <v>331.97</v>
          </cell>
          <cell r="G134">
            <v>5287.59</v>
          </cell>
        </row>
        <row r="135">
          <cell r="E135">
            <v>83.27</v>
          </cell>
          <cell r="G135">
            <v>2248.29</v>
          </cell>
        </row>
        <row r="138">
          <cell r="E138">
            <v>2179.92354454559</v>
          </cell>
          <cell r="G138">
            <v>38418.6</v>
          </cell>
        </row>
        <row r="140">
          <cell r="E140">
            <v>1963.8</v>
          </cell>
          <cell r="G140">
            <v>172346.06999999995</v>
          </cell>
        </row>
        <row r="141">
          <cell r="E141">
            <v>2313.075247488574</v>
          </cell>
          <cell r="G141">
            <v>56988.30000000002</v>
          </cell>
        </row>
        <row r="142">
          <cell r="E142">
            <v>239</v>
          </cell>
          <cell r="G142">
            <v>2632.66</v>
          </cell>
        </row>
        <row r="144">
          <cell r="E144">
            <v>2175.06</v>
          </cell>
          <cell r="G144">
            <v>41056.63</v>
          </cell>
        </row>
        <row r="145">
          <cell r="E145">
            <v>2537</v>
          </cell>
          <cell r="G145">
            <v>234012.8100000001</v>
          </cell>
        </row>
        <row r="146">
          <cell r="E146">
            <v>109.65662008762943</v>
          </cell>
          <cell r="G146">
            <v>5246.22</v>
          </cell>
        </row>
        <row r="149">
          <cell r="E149">
            <v>1951.8</v>
          </cell>
          <cell r="G149">
            <v>29881.64</v>
          </cell>
        </row>
        <row r="151">
          <cell r="E151">
            <v>2230.16</v>
          </cell>
          <cell r="G151">
            <v>41922.16000000001</v>
          </cell>
        </row>
        <row r="153">
          <cell r="E153">
            <v>1109.658064339903</v>
          </cell>
          <cell r="G153">
            <v>46228.55999999999</v>
          </cell>
        </row>
        <row r="154">
          <cell r="E154">
            <v>593.6058229012866</v>
          </cell>
          <cell r="G154">
            <v>27268.089999999997</v>
          </cell>
        </row>
        <row r="161">
          <cell r="E161">
            <v>2246.42</v>
          </cell>
          <cell r="G161">
            <v>88304.37</v>
          </cell>
        </row>
        <row r="182">
          <cell r="E182">
            <v>360.33</v>
          </cell>
          <cell r="G182">
            <v>9368.58</v>
          </cell>
        </row>
        <row r="185">
          <cell r="E185">
            <v>130.83</v>
          </cell>
          <cell r="G185">
            <v>2224.11</v>
          </cell>
        </row>
        <row r="194">
          <cell r="E194">
            <v>523.96</v>
          </cell>
          <cell r="G194">
            <v>31437.600000000002</v>
          </cell>
        </row>
        <row r="209">
          <cell r="E209">
            <v>8.002428888394252</v>
          </cell>
          <cell r="G209">
            <v>193.47</v>
          </cell>
        </row>
        <row r="228">
          <cell r="E228">
            <v>577.25</v>
          </cell>
          <cell r="G228">
            <v>21875</v>
          </cell>
        </row>
        <row r="229">
          <cell r="E229">
            <v>1954.8</v>
          </cell>
          <cell r="G229">
            <v>115443.24000000003</v>
          </cell>
        </row>
        <row r="230">
          <cell r="E230">
            <v>83.20814355393159</v>
          </cell>
          <cell r="G230">
            <v>2911.8900000000003</v>
          </cell>
        </row>
        <row r="232">
          <cell r="E232">
            <v>1957.5</v>
          </cell>
          <cell r="G232">
            <v>73761.28</v>
          </cell>
        </row>
        <row r="233">
          <cell r="E233">
            <v>434.50156770854437</v>
          </cell>
          <cell r="G233">
            <v>15121.809999999998</v>
          </cell>
        </row>
        <row r="234">
          <cell r="E234">
            <v>1244</v>
          </cell>
          <cell r="G234">
            <v>47826.89</v>
          </cell>
        </row>
        <row r="247">
          <cell r="E247">
            <v>1124.5</v>
          </cell>
          <cell r="G247">
            <v>32850</v>
          </cell>
        </row>
        <row r="250">
          <cell r="E250">
            <v>1089.5</v>
          </cell>
          <cell r="G250">
            <v>32850</v>
          </cell>
        </row>
        <row r="251">
          <cell r="E251">
            <v>1231.5</v>
          </cell>
          <cell r="G251">
            <v>39110.45000000001</v>
          </cell>
        </row>
        <row r="252">
          <cell r="E252">
            <v>1494.75</v>
          </cell>
          <cell r="G252">
            <v>39110.45000000001</v>
          </cell>
        </row>
        <row r="253">
          <cell r="E253">
            <v>2348</v>
          </cell>
          <cell r="G253">
            <v>65980.07999999997</v>
          </cell>
        </row>
        <row r="254">
          <cell r="E254">
            <v>494.35330869759866</v>
          </cell>
          <cell r="G254">
            <v>9741.02</v>
          </cell>
        </row>
        <row r="255">
          <cell r="E255">
            <v>338.8098580303664</v>
          </cell>
          <cell r="G255">
            <v>10709.04</v>
          </cell>
        </row>
        <row r="256">
          <cell r="E256">
            <v>2390</v>
          </cell>
          <cell r="G256">
            <v>65980.07999999997</v>
          </cell>
        </row>
        <row r="257">
          <cell r="E257">
            <v>1130.5</v>
          </cell>
          <cell r="G257">
            <v>32850</v>
          </cell>
        </row>
        <row r="258">
          <cell r="E258">
            <v>136.0208522520753</v>
          </cell>
          <cell r="G258">
            <v>9280.469999999998</v>
          </cell>
        </row>
        <row r="263">
          <cell r="E263">
            <v>1060.5</v>
          </cell>
          <cell r="G263">
            <v>32850</v>
          </cell>
        </row>
        <row r="265">
          <cell r="E265">
            <v>2364.5</v>
          </cell>
          <cell r="G265">
            <v>67544.57999999997</v>
          </cell>
        </row>
        <row r="268">
          <cell r="E268">
            <v>1165.5</v>
          </cell>
          <cell r="G268">
            <v>39110.45000000001</v>
          </cell>
        </row>
        <row r="272">
          <cell r="E272">
            <v>501.677477989188</v>
          </cell>
          <cell r="G272">
            <v>25302.699999999997</v>
          </cell>
        </row>
        <row r="273">
          <cell r="E273">
            <v>969.834710790006</v>
          </cell>
          <cell r="G273">
            <v>112115.6</v>
          </cell>
        </row>
        <row r="274">
          <cell r="E274">
            <v>2396.25</v>
          </cell>
          <cell r="G274">
            <v>67507.07999999997</v>
          </cell>
        </row>
        <row r="275">
          <cell r="E275">
            <v>1515.25</v>
          </cell>
          <cell r="G275">
            <v>39159.34000000001</v>
          </cell>
        </row>
        <row r="276">
          <cell r="E276">
            <v>1064.5</v>
          </cell>
          <cell r="G276">
            <v>32850</v>
          </cell>
        </row>
        <row r="277">
          <cell r="E277">
            <v>2175</v>
          </cell>
          <cell r="G277">
            <v>65980.07999999997</v>
          </cell>
        </row>
        <row r="280">
          <cell r="E280">
            <v>2119.5</v>
          </cell>
          <cell r="G280">
            <v>66679.75999999998</v>
          </cell>
        </row>
        <row r="281">
          <cell r="E281">
            <v>882.25</v>
          </cell>
          <cell r="G281">
            <v>71817.9</v>
          </cell>
        </row>
        <row r="282">
          <cell r="E282">
            <v>2478</v>
          </cell>
          <cell r="G282">
            <v>67507.07999999997</v>
          </cell>
        </row>
        <row r="283">
          <cell r="E283">
            <v>2374</v>
          </cell>
          <cell r="G283">
            <v>67507.07999999997</v>
          </cell>
        </row>
        <row r="285">
          <cell r="E285">
            <v>1077.5</v>
          </cell>
          <cell r="G285">
            <v>39110.45000000001</v>
          </cell>
        </row>
        <row r="286">
          <cell r="E286">
            <v>2368.9617666377553</v>
          </cell>
          <cell r="G286">
            <v>212555.36</v>
          </cell>
        </row>
        <row r="288">
          <cell r="E288">
            <v>2125</v>
          </cell>
          <cell r="G288">
            <v>65980.07999999997</v>
          </cell>
        </row>
        <row r="289">
          <cell r="E289">
            <v>510.12116758461127</v>
          </cell>
          <cell r="G289">
            <v>45828.75</v>
          </cell>
        </row>
        <row r="290">
          <cell r="E290">
            <v>1143.5</v>
          </cell>
          <cell r="G290">
            <v>37505.00000000001</v>
          </cell>
        </row>
        <row r="291">
          <cell r="E291">
            <v>1658.2259905522133</v>
          </cell>
          <cell r="G291">
            <v>143557.00999999998</v>
          </cell>
        </row>
        <row r="293">
          <cell r="E293">
            <v>2000</v>
          </cell>
          <cell r="G293">
            <v>67507.07999999997</v>
          </cell>
        </row>
        <row r="294">
          <cell r="E294">
            <v>1086</v>
          </cell>
          <cell r="G294">
            <v>39126.750000000015</v>
          </cell>
        </row>
        <row r="295">
          <cell r="E295">
            <v>1248.5</v>
          </cell>
          <cell r="G295">
            <v>39110.45000000001</v>
          </cell>
        </row>
        <row r="296">
          <cell r="E296">
            <v>149.53993595336917</v>
          </cell>
          <cell r="G296">
            <v>6068.24</v>
          </cell>
        </row>
        <row r="297">
          <cell r="E297">
            <v>2221.5</v>
          </cell>
          <cell r="G297">
            <v>67544.57999999997</v>
          </cell>
        </row>
        <row r="298">
          <cell r="E298">
            <v>2247</v>
          </cell>
          <cell r="G298">
            <v>65980.07999999997</v>
          </cell>
        </row>
        <row r="300">
          <cell r="E300">
            <v>478.42810213493374</v>
          </cell>
          <cell r="G300">
            <v>17917.25</v>
          </cell>
        </row>
        <row r="301">
          <cell r="E301">
            <v>578.697812979107</v>
          </cell>
          <cell r="G301">
            <v>15434.77</v>
          </cell>
        </row>
        <row r="302">
          <cell r="E302">
            <v>433.1788083687311</v>
          </cell>
          <cell r="G302">
            <v>9326.199999999999</v>
          </cell>
        </row>
        <row r="303">
          <cell r="E303">
            <v>2466</v>
          </cell>
          <cell r="G303">
            <v>73780.07999999999</v>
          </cell>
        </row>
        <row r="305">
          <cell r="E305">
            <v>2410.25</v>
          </cell>
          <cell r="G305">
            <v>67507.07999999997</v>
          </cell>
        </row>
        <row r="306">
          <cell r="E306">
            <v>2430</v>
          </cell>
          <cell r="G306">
            <v>67507.07999999997</v>
          </cell>
        </row>
        <row r="311">
          <cell r="E311">
            <v>2311.5</v>
          </cell>
          <cell r="G311">
            <v>65980.07999999997</v>
          </cell>
        </row>
        <row r="314">
          <cell r="E314">
            <v>1087.5</v>
          </cell>
          <cell r="G314">
            <v>32850</v>
          </cell>
        </row>
        <row r="315">
          <cell r="E315">
            <v>2593.5</v>
          </cell>
          <cell r="G315">
            <v>67507.07999999997</v>
          </cell>
        </row>
        <row r="316">
          <cell r="E316">
            <v>1144.25</v>
          </cell>
          <cell r="G316">
            <v>39110.45000000001</v>
          </cell>
        </row>
        <row r="318">
          <cell r="E318">
            <v>583.8281891920104</v>
          </cell>
          <cell r="G318">
            <v>10302.800000000001</v>
          </cell>
        </row>
        <row r="319">
          <cell r="E319">
            <v>1108.25</v>
          </cell>
          <cell r="G319">
            <v>49000.07999999999</v>
          </cell>
        </row>
        <row r="320">
          <cell r="E320">
            <v>556.4505569637915</v>
          </cell>
          <cell r="G320">
            <v>11398.2</v>
          </cell>
        </row>
        <row r="321">
          <cell r="E321">
            <v>1414.5</v>
          </cell>
          <cell r="G321">
            <v>39110.45000000001</v>
          </cell>
        </row>
        <row r="322">
          <cell r="E322">
            <v>1238.6086124527196</v>
          </cell>
          <cell r="G322">
            <v>112365.09</v>
          </cell>
        </row>
        <row r="324">
          <cell r="E324">
            <v>2310.5</v>
          </cell>
          <cell r="G324">
            <v>67507.07999999997</v>
          </cell>
        </row>
        <row r="327">
          <cell r="E327">
            <v>275.6982530476749</v>
          </cell>
          <cell r="G327">
            <v>9648.130000000001</v>
          </cell>
        </row>
        <row r="328">
          <cell r="E328">
            <v>2113.75</v>
          </cell>
          <cell r="G328">
            <v>80008.24999999999</v>
          </cell>
        </row>
        <row r="329">
          <cell r="E329">
            <v>1966</v>
          </cell>
          <cell r="G329">
            <v>90538.95000000001</v>
          </cell>
        </row>
        <row r="330">
          <cell r="E330">
            <v>1973.5</v>
          </cell>
          <cell r="G330">
            <v>76773.31</v>
          </cell>
        </row>
        <row r="331">
          <cell r="E331">
            <v>2061.25</v>
          </cell>
          <cell r="G331">
            <v>221183.33</v>
          </cell>
        </row>
        <row r="333">
          <cell r="E333">
            <v>2194.91</v>
          </cell>
          <cell r="G333">
            <v>129004.66</v>
          </cell>
        </row>
        <row r="335">
          <cell r="E335">
            <v>1737.5</v>
          </cell>
          <cell r="G335">
            <v>62405.439999999995</v>
          </cell>
        </row>
        <row r="337">
          <cell r="E337">
            <v>732.5</v>
          </cell>
          <cell r="G337">
            <v>27576.82</v>
          </cell>
        </row>
        <row r="339">
          <cell r="E339">
            <v>1839.25</v>
          </cell>
          <cell r="G339">
            <v>118014</v>
          </cell>
        </row>
        <row r="343">
          <cell r="E343">
            <v>2051.08</v>
          </cell>
          <cell r="G343">
            <v>102633.63000000003</v>
          </cell>
        </row>
        <row r="345">
          <cell r="E345">
            <v>1560.92</v>
          </cell>
          <cell r="G345">
            <v>61878.39</v>
          </cell>
        </row>
        <row r="347">
          <cell r="E347">
            <v>2152.33</v>
          </cell>
          <cell r="G347">
            <v>92535.38</v>
          </cell>
        </row>
        <row r="348">
          <cell r="E348">
            <v>1050</v>
          </cell>
          <cell r="G348">
            <v>83021.30999999998</v>
          </cell>
        </row>
        <row r="349">
          <cell r="E349">
            <v>1600.75</v>
          </cell>
          <cell r="G349">
            <v>65755.14</v>
          </cell>
        </row>
        <row r="353">
          <cell r="E353">
            <v>1959.2501419696337</v>
          </cell>
          <cell r="G353">
            <v>34164.09000000001</v>
          </cell>
        </row>
        <row r="355">
          <cell r="E355">
            <v>1079.63</v>
          </cell>
          <cell r="G355">
            <v>18059.13</v>
          </cell>
        </row>
        <row r="357">
          <cell r="E357">
            <v>2086.25</v>
          </cell>
          <cell r="G357">
            <v>171866.13999999998</v>
          </cell>
        </row>
        <row r="358">
          <cell r="E358">
            <v>1049.5</v>
          </cell>
          <cell r="G358">
            <v>75424.87</v>
          </cell>
        </row>
        <row r="360">
          <cell r="E360">
            <v>2013.83</v>
          </cell>
          <cell r="G360">
            <v>160538.09</v>
          </cell>
        </row>
        <row r="366">
          <cell r="E366">
            <v>2144.1523173755413</v>
          </cell>
          <cell r="G366">
            <v>41100.07000000001</v>
          </cell>
        </row>
        <row r="367">
          <cell r="E367">
            <v>1504.36</v>
          </cell>
          <cell r="G367">
            <v>32255.59</v>
          </cell>
        </row>
        <row r="368">
          <cell r="E368">
            <v>181.5</v>
          </cell>
          <cell r="G368">
            <v>7590.47</v>
          </cell>
        </row>
        <row r="369">
          <cell r="E369">
            <v>563.28</v>
          </cell>
          <cell r="G369">
            <v>9864.98</v>
          </cell>
        </row>
        <row r="373">
          <cell r="E373">
            <v>1950.34</v>
          </cell>
          <cell r="G373">
            <v>29127.199999999993</v>
          </cell>
        </row>
        <row r="374">
          <cell r="E374">
            <v>2229.66</v>
          </cell>
          <cell r="G374">
            <v>36138.189999999995</v>
          </cell>
        </row>
        <row r="375">
          <cell r="E375">
            <v>2038.73</v>
          </cell>
          <cell r="G375">
            <v>98052.13</v>
          </cell>
        </row>
        <row r="377">
          <cell r="E377">
            <v>1522.120064046631</v>
          </cell>
          <cell r="G377">
            <v>61766.71000000001</v>
          </cell>
        </row>
        <row r="378">
          <cell r="E378">
            <v>71.5</v>
          </cell>
          <cell r="G378">
            <v>1501.5</v>
          </cell>
        </row>
        <row r="380">
          <cell r="E380">
            <v>1154.914881731246</v>
          </cell>
          <cell r="G380">
            <v>19869.63</v>
          </cell>
        </row>
        <row r="383">
          <cell r="E383">
            <v>2195.1165889601466</v>
          </cell>
          <cell r="G383">
            <v>35902.56</v>
          </cell>
        </row>
        <row r="385">
          <cell r="E385">
            <v>2214.31</v>
          </cell>
          <cell r="G385">
            <v>38264.26</v>
          </cell>
        </row>
        <row r="386">
          <cell r="E386">
            <v>1741.0118522402224</v>
          </cell>
          <cell r="G386">
            <v>35662.469999999994</v>
          </cell>
        </row>
        <row r="387">
          <cell r="E387">
            <v>1297</v>
          </cell>
          <cell r="G387">
            <v>51700.06</v>
          </cell>
        </row>
        <row r="401">
          <cell r="E401">
            <v>2185.6099999999997</v>
          </cell>
          <cell r="G401">
            <v>32246.089999999997</v>
          </cell>
        </row>
        <row r="403">
          <cell r="E403">
            <v>2118.452869363868</v>
          </cell>
          <cell r="G403">
            <v>39030.270000000004</v>
          </cell>
        </row>
        <row r="404">
          <cell r="E404">
            <v>1179.48</v>
          </cell>
          <cell r="G404">
            <v>51843.920000000006</v>
          </cell>
        </row>
        <row r="405">
          <cell r="E405">
            <v>440</v>
          </cell>
          <cell r="G405">
            <v>40074.740000000005</v>
          </cell>
        </row>
        <row r="409">
          <cell r="E409">
            <v>2091.38</v>
          </cell>
          <cell r="G409">
            <v>32201.96</v>
          </cell>
        </row>
        <row r="410">
          <cell r="E410">
            <v>2207.067571111606</v>
          </cell>
          <cell r="G410">
            <v>53358.970000000016</v>
          </cell>
        </row>
        <row r="415">
          <cell r="E415">
            <v>2166</v>
          </cell>
          <cell r="G415">
            <v>106357.5</v>
          </cell>
        </row>
        <row r="416">
          <cell r="E416">
            <v>52</v>
          </cell>
          <cell r="G416">
            <v>6250</v>
          </cell>
        </row>
        <row r="418">
          <cell r="E418">
            <v>2191.8199999999997</v>
          </cell>
          <cell r="G418">
            <v>31250.969999999998</v>
          </cell>
        </row>
        <row r="431">
          <cell r="E431">
            <v>1675.5</v>
          </cell>
          <cell r="G431">
            <v>29453.890000000003</v>
          </cell>
        </row>
        <row r="432">
          <cell r="E432">
            <v>1629.9984322914556</v>
          </cell>
          <cell r="G432">
            <v>53784.479999999996</v>
          </cell>
        </row>
        <row r="433">
          <cell r="E433">
            <v>502.0119356600971</v>
          </cell>
          <cell r="G433">
            <v>20913.909999999996</v>
          </cell>
        </row>
        <row r="434">
          <cell r="E434">
            <v>1143.3672911882845</v>
          </cell>
          <cell r="G434">
            <v>52522.12999999999</v>
          </cell>
        </row>
        <row r="435">
          <cell r="E435">
            <v>1533.954872233786</v>
          </cell>
          <cell r="G435">
            <v>74875.04</v>
          </cell>
        </row>
        <row r="436">
          <cell r="E436">
            <v>1475.7499999999998</v>
          </cell>
          <cell r="G436">
            <v>22001.899999999994</v>
          </cell>
        </row>
        <row r="437">
          <cell r="E437">
            <v>1677</v>
          </cell>
          <cell r="G437">
            <v>48093.10000000001</v>
          </cell>
        </row>
        <row r="441">
          <cell r="E441">
            <v>1909.1671379017398</v>
          </cell>
          <cell r="G441">
            <v>34569.009999999995</v>
          </cell>
        </row>
        <row r="442">
          <cell r="E442">
            <v>1692</v>
          </cell>
          <cell r="G442">
            <v>56072.09</v>
          </cell>
        </row>
        <row r="444">
          <cell r="E444">
            <v>649.05</v>
          </cell>
          <cell r="G444">
            <v>28024.21</v>
          </cell>
        </row>
        <row r="446">
          <cell r="E446">
            <v>1250.9545374955555</v>
          </cell>
          <cell r="G446">
            <v>40860.8</v>
          </cell>
        </row>
        <row r="447">
          <cell r="E447">
            <v>1532.8945036096638</v>
          </cell>
          <cell r="G447">
            <v>69319.13</v>
          </cell>
        </row>
        <row r="449">
          <cell r="E449">
            <v>193.02214219282277</v>
          </cell>
          <cell r="G449">
            <v>3079.0699999999997</v>
          </cell>
        </row>
        <row r="450">
          <cell r="E450">
            <v>993.8599553289089</v>
          </cell>
          <cell r="G450">
            <v>17931.54</v>
          </cell>
        </row>
      </sheetData>
      <sheetData sheetId="4">
        <row r="49">
          <cell r="G49">
            <v>67957.05</v>
          </cell>
        </row>
        <row r="53">
          <cell r="G53">
            <v>1863.18</v>
          </cell>
        </row>
        <row r="54">
          <cell r="G54">
            <v>13266.6</v>
          </cell>
        </row>
        <row r="66">
          <cell r="G66">
            <v>3208.5</v>
          </cell>
        </row>
        <row r="67">
          <cell r="G67">
            <v>0</v>
          </cell>
        </row>
        <row r="68">
          <cell r="G68">
            <v>1349.99</v>
          </cell>
        </row>
        <row r="74">
          <cell r="G74">
            <v>5701</v>
          </cell>
        </row>
        <row r="75">
          <cell r="G75">
            <v>0</v>
          </cell>
        </row>
        <row r="76">
          <cell r="G76">
            <v>1910.03</v>
          </cell>
        </row>
        <row r="81">
          <cell r="G81">
            <v>1231.93</v>
          </cell>
        </row>
      </sheetData>
      <sheetData sheetId="5">
        <row r="56">
          <cell r="H56">
            <v>9572.36</v>
          </cell>
        </row>
        <row r="57">
          <cell r="H57">
            <v>3260.91</v>
          </cell>
        </row>
        <row r="58">
          <cell r="H58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891.5</v>
          </cell>
        </row>
        <row r="74">
          <cell r="H74">
            <v>0</v>
          </cell>
        </row>
        <row r="78">
          <cell r="H78">
            <v>0</v>
          </cell>
        </row>
        <row r="79">
          <cell r="H79">
            <v>0</v>
          </cell>
        </row>
        <row r="82">
          <cell r="H82">
            <v>1071.85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9">
          <cell r="H89">
            <v>43538.31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1264.58</v>
          </cell>
        </row>
        <row r="93">
          <cell r="H93">
            <v>1185.82</v>
          </cell>
        </row>
        <row r="94">
          <cell r="H94">
            <v>602.9</v>
          </cell>
        </row>
        <row r="95">
          <cell r="H95">
            <v>0</v>
          </cell>
        </row>
      </sheetData>
      <sheetData sheetId="7">
        <row r="7">
          <cell r="T7">
            <v>1900</v>
          </cell>
        </row>
        <row r="8">
          <cell r="T8">
            <v>1817</v>
          </cell>
        </row>
        <row r="9">
          <cell r="T9">
            <v>1075</v>
          </cell>
        </row>
        <row r="10">
          <cell r="T10">
            <v>449</v>
          </cell>
        </row>
        <row r="11">
          <cell r="T11">
            <v>2355</v>
          </cell>
        </row>
        <row r="13">
          <cell r="T13">
            <v>1383</v>
          </cell>
        </row>
        <row r="14">
          <cell r="T14">
            <v>637</v>
          </cell>
        </row>
        <row r="15">
          <cell r="T15">
            <v>807</v>
          </cell>
        </row>
        <row r="16">
          <cell r="T16">
            <v>1864</v>
          </cell>
        </row>
        <row r="17">
          <cell r="T17">
            <v>574</v>
          </cell>
        </row>
        <row r="18">
          <cell r="T18">
            <v>85</v>
          </cell>
        </row>
        <row r="19">
          <cell r="T19">
            <v>18</v>
          </cell>
        </row>
        <row r="20">
          <cell r="T20">
            <v>102</v>
          </cell>
        </row>
        <row r="36">
          <cell r="T36">
            <v>3348</v>
          </cell>
        </row>
        <row r="38">
          <cell r="T38">
            <v>3072</v>
          </cell>
        </row>
        <row r="39">
          <cell r="T39">
            <v>2556</v>
          </cell>
        </row>
        <row r="41">
          <cell r="T41">
            <v>155</v>
          </cell>
        </row>
        <row r="42">
          <cell r="T42">
            <v>304</v>
          </cell>
        </row>
        <row r="47">
          <cell r="T47">
            <v>679</v>
          </cell>
        </row>
        <row r="48">
          <cell r="T48">
            <v>189</v>
          </cell>
        </row>
        <row r="49">
          <cell r="T49">
            <v>84</v>
          </cell>
        </row>
        <row r="50">
          <cell r="T50">
            <v>441</v>
          </cell>
        </row>
        <row r="51">
          <cell r="T51">
            <v>104</v>
          </cell>
        </row>
        <row r="52">
          <cell r="T52">
            <v>663</v>
          </cell>
        </row>
        <row r="53">
          <cell r="T53">
            <v>837</v>
          </cell>
        </row>
        <row r="54">
          <cell r="T54">
            <v>705</v>
          </cell>
        </row>
        <row r="55">
          <cell r="T55">
            <v>558</v>
          </cell>
        </row>
        <row r="56">
          <cell r="T56">
            <v>136</v>
          </cell>
        </row>
        <row r="61">
          <cell r="T61">
            <v>125</v>
          </cell>
        </row>
        <row r="62">
          <cell r="T62">
            <v>9</v>
          </cell>
        </row>
        <row r="63">
          <cell r="T63">
            <v>500</v>
          </cell>
        </row>
        <row r="68">
          <cell r="T68">
            <v>598</v>
          </cell>
        </row>
        <row r="74">
          <cell r="T74">
            <v>1162</v>
          </cell>
        </row>
        <row r="79">
          <cell r="T79">
            <v>232</v>
          </cell>
        </row>
        <row r="80">
          <cell r="T80">
            <v>387</v>
          </cell>
        </row>
        <row r="81">
          <cell r="T81">
            <v>1836</v>
          </cell>
        </row>
        <row r="82">
          <cell r="T82">
            <v>2076</v>
          </cell>
        </row>
        <row r="83">
          <cell r="T83">
            <v>1169</v>
          </cell>
        </row>
        <row r="84">
          <cell r="T84">
            <v>169</v>
          </cell>
        </row>
        <row r="85">
          <cell r="T85">
            <v>1426</v>
          </cell>
        </row>
        <row r="86">
          <cell r="T86">
            <v>2013</v>
          </cell>
        </row>
        <row r="87">
          <cell r="T87">
            <v>1389</v>
          </cell>
        </row>
        <row r="88">
          <cell r="T88">
            <v>1155</v>
          </cell>
        </row>
        <row r="89">
          <cell r="T89">
            <v>340</v>
          </cell>
        </row>
        <row r="90">
          <cell r="T90">
            <v>261</v>
          </cell>
        </row>
        <row r="94">
          <cell r="T94">
            <v>188</v>
          </cell>
        </row>
        <row r="95">
          <cell r="T95">
            <v>576</v>
          </cell>
        </row>
        <row r="96">
          <cell r="T96">
            <v>193</v>
          </cell>
        </row>
        <row r="97">
          <cell r="T97">
            <v>361</v>
          </cell>
        </row>
        <row r="98">
          <cell r="T98">
            <v>792</v>
          </cell>
        </row>
        <row r="101">
          <cell r="AC101">
            <v>686</v>
          </cell>
        </row>
        <row r="102">
          <cell r="AC102">
            <v>124</v>
          </cell>
        </row>
        <row r="103">
          <cell r="AC103">
            <v>72</v>
          </cell>
        </row>
        <row r="106">
          <cell r="AC106">
            <v>90</v>
          </cell>
        </row>
        <row r="108">
          <cell r="AC108">
            <v>431</v>
          </cell>
        </row>
        <row r="109">
          <cell r="AC109">
            <v>108</v>
          </cell>
        </row>
        <row r="110">
          <cell r="AC110">
            <v>427</v>
          </cell>
        </row>
        <row r="111">
          <cell r="AC111">
            <v>747</v>
          </cell>
        </row>
        <row r="112">
          <cell r="AC112">
            <v>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SITS BY PROVIDER"/>
      <sheetName val="provider productivity"/>
      <sheetName val="2020 YTD "/>
    </sheetNames>
    <sheetDataSet>
      <sheetData sheetId="1">
        <row r="57">
          <cell r="X57">
            <v>16125.292000000001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 other Med staff"/>
      <sheetName val="Dental"/>
      <sheetName val="BH"/>
    </sheetNames>
    <sheetDataSet>
      <sheetData sheetId="0">
        <row r="22">
          <cell r="E22">
            <v>4</v>
          </cell>
          <cell r="G22">
            <v>2</v>
          </cell>
        </row>
        <row r="64">
          <cell r="E64">
            <v>10</v>
          </cell>
          <cell r="G64">
            <v>14</v>
          </cell>
        </row>
        <row r="86">
          <cell r="F86">
            <v>2</v>
          </cell>
          <cell r="G86">
            <v>3</v>
          </cell>
        </row>
        <row r="130">
          <cell r="E130">
            <v>4</v>
          </cell>
          <cell r="G13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58"/>
  <sheetViews>
    <sheetView tabSelected="1" zoomScalePageLayoutView="0" workbookViewId="0" topLeftCell="A1">
      <selection activeCell="Q27" sqref="Q27"/>
    </sheetView>
  </sheetViews>
  <sheetFormatPr defaultColWidth="9.7109375" defaultRowHeight="15"/>
  <cols>
    <col min="1" max="1" width="5.28125" style="1" customWidth="1"/>
    <col min="2" max="2" width="9.7109375" style="1" customWidth="1"/>
    <col min="3" max="3" width="1.7109375" style="1" customWidth="1"/>
    <col min="4" max="4" width="10.7109375" style="1" customWidth="1"/>
    <col min="5" max="6" width="9.7109375" style="1" customWidth="1"/>
    <col min="7" max="7" width="1.7109375" style="1" customWidth="1"/>
    <col min="8" max="8" width="10.57421875" style="1" customWidth="1"/>
    <col min="9" max="9" width="10.8515625" style="1" customWidth="1"/>
    <col min="10" max="10" width="9.7109375" style="1" customWidth="1"/>
    <col min="11" max="11" width="1.7109375" style="1" customWidth="1"/>
    <col min="12" max="12" width="10.140625" style="1" bestFit="1" customWidth="1"/>
    <col min="13" max="13" width="9.7109375" style="1" customWidth="1"/>
    <col min="14" max="14" width="11.8515625" style="1" customWidth="1"/>
    <col min="15" max="16384" width="9.7109375" style="2" customWidth="1"/>
  </cols>
  <sheetData>
    <row r="1" spans="2:14" ht="12.75"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4" ht="25.5">
      <c r="A2" s="523" t="s">
        <v>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1:14" ht="16.5">
      <c r="A3" s="524" t="s">
        <v>1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</row>
    <row r="4" spans="1:14" ht="16.5">
      <c r="A4" s="524" t="s">
        <v>2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</row>
    <row r="5" spans="1:14" ht="11.25" customHeight="1">
      <c r="A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>
      <c r="A6" s="524" t="s">
        <v>3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</row>
    <row r="7" spans="1:14" ht="16.5">
      <c r="A7" s="524" t="s">
        <v>4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</row>
    <row r="10" spans="2:14" ht="15">
      <c r="B10" s="4" t="s">
        <v>5</v>
      </c>
      <c r="C10" s="4"/>
      <c r="D10" s="5"/>
      <c r="E10" s="6"/>
      <c r="F10" s="6"/>
      <c r="G10" s="7"/>
      <c r="H10" s="7"/>
      <c r="I10" s="4" t="s">
        <v>6</v>
      </c>
      <c r="J10" s="5"/>
      <c r="K10" s="5"/>
      <c r="L10" s="6"/>
      <c r="M10" s="6"/>
      <c r="N10" s="7"/>
    </row>
    <row r="11" spans="2:14" ht="7.5" customHeight="1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8" t="s">
        <v>7</v>
      </c>
      <c r="B12" s="9" t="s">
        <v>8</v>
      </c>
      <c r="C12" s="10"/>
      <c r="D12" s="10"/>
      <c r="E12" s="525" t="s">
        <v>9</v>
      </c>
      <c r="F12" s="525"/>
      <c r="G12" s="525"/>
      <c r="H12" s="525"/>
      <c r="I12" s="525"/>
      <c r="J12" s="525"/>
      <c r="K12" s="525"/>
      <c r="L12" s="525"/>
      <c r="M12" s="525"/>
      <c r="N12" s="526"/>
    </row>
    <row r="13" spans="2:14" ht="23.25" customHeight="1">
      <c r="B13" s="11" t="s">
        <v>10</v>
      </c>
      <c r="C13" s="5"/>
      <c r="D13" s="5"/>
      <c r="E13" s="527" t="s">
        <v>11</v>
      </c>
      <c r="F13" s="527"/>
      <c r="G13" s="527"/>
      <c r="H13" s="527"/>
      <c r="I13" s="527"/>
      <c r="J13" s="527"/>
      <c r="K13" s="527"/>
      <c r="L13" s="527"/>
      <c r="M13" s="527"/>
      <c r="N13" s="528"/>
    </row>
    <row r="14" spans="2:14" ht="23.25" customHeight="1">
      <c r="B14" s="11" t="s">
        <v>12</v>
      </c>
      <c r="C14" s="5"/>
      <c r="D14" s="5"/>
      <c r="E14" s="527" t="s">
        <v>13</v>
      </c>
      <c r="F14" s="527"/>
      <c r="G14" s="527"/>
      <c r="H14" s="527"/>
      <c r="I14" s="527"/>
      <c r="J14" s="527"/>
      <c r="K14" s="527"/>
      <c r="L14" s="527"/>
      <c r="M14" s="527"/>
      <c r="N14" s="528"/>
    </row>
    <row r="15" spans="2:14" ht="23.25" customHeight="1">
      <c r="B15" s="11" t="s">
        <v>14</v>
      </c>
      <c r="C15" s="5"/>
      <c r="D15" s="5"/>
      <c r="E15" s="527" t="s">
        <v>15</v>
      </c>
      <c r="F15" s="527"/>
      <c r="G15" s="527"/>
      <c r="H15" s="527"/>
      <c r="I15" s="527"/>
      <c r="J15" s="527"/>
      <c r="K15" s="527"/>
      <c r="L15" s="527"/>
      <c r="M15" s="527"/>
      <c r="N15" s="528"/>
    </row>
    <row r="16" spans="2:14" ht="23.25" customHeight="1">
      <c r="B16" s="11" t="s">
        <v>16</v>
      </c>
      <c r="C16" s="5"/>
      <c r="D16" s="5"/>
      <c r="E16" s="527" t="s">
        <v>17</v>
      </c>
      <c r="F16" s="527"/>
      <c r="G16" s="527"/>
      <c r="H16" s="527"/>
      <c r="I16" s="527"/>
      <c r="J16" s="527"/>
      <c r="K16" s="527"/>
      <c r="L16" s="527"/>
      <c r="M16" s="527"/>
      <c r="N16" s="528"/>
    </row>
    <row r="17" spans="2:14" ht="23.25" customHeight="1">
      <c r="B17" s="11" t="s">
        <v>18</v>
      </c>
      <c r="C17" s="5"/>
      <c r="D17" s="5"/>
      <c r="E17" s="527" t="s">
        <v>594</v>
      </c>
      <c r="F17" s="527"/>
      <c r="G17" s="527"/>
      <c r="H17" s="527"/>
      <c r="I17" s="527"/>
      <c r="J17" s="527"/>
      <c r="K17" s="527"/>
      <c r="L17" s="527"/>
      <c r="M17" s="527"/>
      <c r="N17" s="528"/>
    </row>
    <row r="18" spans="2:14" ht="15" customHeight="1" thickBo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</row>
    <row r="19" spans="1:14" ht="15">
      <c r="A19" s="8" t="s">
        <v>19</v>
      </c>
      <c r="B19" s="15" t="s">
        <v>20</v>
      </c>
      <c r="C19" s="16"/>
      <c r="D19" s="10"/>
      <c r="E19" s="10"/>
      <c r="F19" s="10"/>
      <c r="G19" s="10"/>
      <c r="H19" s="17"/>
      <c r="I19" s="18" t="s">
        <v>21</v>
      </c>
      <c r="J19" s="10"/>
      <c r="K19" s="10"/>
      <c r="L19" s="10"/>
      <c r="M19" s="19"/>
      <c r="N19" s="20"/>
    </row>
    <row r="20" spans="2:14" ht="15">
      <c r="B20" s="21"/>
      <c r="C20" s="22" t="s">
        <v>22</v>
      </c>
      <c r="D20" s="23"/>
      <c r="E20" s="23"/>
      <c r="F20" s="529">
        <v>8004668</v>
      </c>
      <c r="G20" s="529"/>
      <c r="H20" s="530"/>
      <c r="I20" s="24"/>
      <c r="J20" s="25" t="s">
        <v>23</v>
      </c>
      <c r="K20" s="25"/>
      <c r="L20" s="26">
        <v>43831</v>
      </c>
      <c r="M20" s="27" t="s">
        <v>24</v>
      </c>
      <c r="N20" s="28">
        <v>44196</v>
      </c>
    </row>
    <row r="21" spans="2:14" ht="15">
      <c r="B21" s="21"/>
      <c r="C21" s="22" t="s">
        <v>25</v>
      </c>
      <c r="D21" s="29"/>
      <c r="E21" s="29"/>
      <c r="F21" s="529">
        <v>8058757</v>
      </c>
      <c r="G21" s="529"/>
      <c r="H21" s="530"/>
      <c r="I21" s="24"/>
      <c r="J21" s="25"/>
      <c r="K21" s="25"/>
      <c r="L21" s="30"/>
      <c r="M21" s="27"/>
      <c r="N21" s="31"/>
    </row>
    <row r="22" spans="2:14" ht="15">
      <c r="B22" s="21"/>
      <c r="C22" s="22" t="s">
        <v>26</v>
      </c>
      <c r="D22" s="29"/>
      <c r="E22" s="29"/>
      <c r="F22" s="529">
        <v>8050622</v>
      </c>
      <c r="G22" s="529"/>
      <c r="H22" s="530"/>
      <c r="I22" s="24"/>
      <c r="J22" s="25"/>
      <c r="K22" s="25"/>
      <c r="L22" s="30"/>
      <c r="M22" s="27"/>
      <c r="N22" s="31"/>
    </row>
    <row r="23" spans="2:14" ht="15">
      <c r="B23" s="21"/>
      <c r="C23" s="22" t="s">
        <v>27</v>
      </c>
      <c r="D23" s="29"/>
      <c r="E23" s="29"/>
      <c r="F23" s="529"/>
      <c r="G23" s="529"/>
      <c r="H23" s="530"/>
      <c r="I23" s="24"/>
      <c r="J23" s="25"/>
      <c r="K23" s="25"/>
      <c r="L23" s="30"/>
      <c r="M23" s="27"/>
      <c r="N23" s="31"/>
    </row>
    <row r="24" spans="2:14" ht="15">
      <c r="B24" s="21"/>
      <c r="C24" s="32"/>
      <c r="D24" s="5"/>
      <c r="E24" s="5"/>
      <c r="F24" s="531"/>
      <c r="G24" s="531"/>
      <c r="H24" s="532"/>
      <c r="I24" s="33"/>
      <c r="J24" s="34"/>
      <c r="K24" s="34"/>
      <c r="L24" s="34"/>
      <c r="M24" s="35"/>
      <c r="N24" s="36"/>
    </row>
    <row r="25" spans="2:14" ht="15.75" thickBot="1">
      <c r="B25" s="37"/>
      <c r="C25" s="38"/>
      <c r="D25" s="38"/>
      <c r="E25" s="38"/>
      <c r="F25" s="38"/>
      <c r="G25" s="38"/>
      <c r="H25" s="38"/>
      <c r="I25" s="39"/>
      <c r="J25" s="38"/>
      <c r="K25" s="38"/>
      <c r="L25" s="38"/>
      <c r="M25" s="38"/>
      <c r="N25" s="40"/>
    </row>
    <row r="26" spans="1:14" ht="15">
      <c r="A26" s="8" t="s">
        <v>28</v>
      </c>
      <c r="B26" s="15" t="s">
        <v>29</v>
      </c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1"/>
    </row>
    <row r="27" spans="2:14" ht="17.25" customHeight="1">
      <c r="B27" s="21"/>
      <c r="C27" s="42" t="s">
        <v>30</v>
      </c>
      <c r="D27" s="22" t="s">
        <v>31</v>
      </c>
      <c r="E27" s="43"/>
      <c r="F27" s="43"/>
      <c r="G27" s="43"/>
      <c r="H27" s="43"/>
      <c r="I27" s="43"/>
      <c r="J27" s="43"/>
      <c r="K27" s="43"/>
      <c r="L27" s="43"/>
      <c r="M27" s="5"/>
      <c r="N27" s="44"/>
    </row>
    <row r="28" spans="2:14" ht="9.75" customHeight="1">
      <c r="B28" s="11"/>
      <c r="C28" s="5"/>
      <c r="D28" s="43"/>
      <c r="E28" s="43"/>
      <c r="F28" s="43"/>
      <c r="G28" s="43"/>
      <c r="H28" s="43"/>
      <c r="I28" s="43"/>
      <c r="J28" s="43"/>
      <c r="K28" s="43"/>
      <c r="L28" s="43"/>
      <c r="M28" s="5"/>
      <c r="N28" s="44"/>
    </row>
    <row r="29" spans="2:14" ht="12" customHeight="1">
      <c r="B29" s="21"/>
      <c r="C29" s="32"/>
      <c r="D29" s="22" t="s">
        <v>32</v>
      </c>
      <c r="E29" s="43"/>
      <c r="F29" s="45"/>
      <c r="G29" s="45"/>
      <c r="H29" s="43"/>
      <c r="I29" s="43"/>
      <c r="J29" s="22"/>
      <c r="K29" s="22"/>
      <c r="L29" s="43"/>
      <c r="M29" s="5"/>
      <c r="N29" s="44"/>
    </row>
    <row r="30" spans="2:14" ht="15" customHeight="1">
      <c r="B30" s="21"/>
      <c r="C30" s="42"/>
      <c r="D30" s="43" t="s">
        <v>33</v>
      </c>
      <c r="E30" s="43"/>
      <c r="F30" s="22"/>
      <c r="G30" s="46"/>
      <c r="H30" s="43" t="s">
        <v>34</v>
      </c>
      <c r="I30" s="43"/>
      <c r="J30" s="22"/>
      <c r="K30" s="46"/>
      <c r="L30" s="43" t="s">
        <v>35</v>
      </c>
      <c r="M30" s="5"/>
      <c r="N30" s="44"/>
    </row>
    <row r="31" spans="2:14" ht="12" customHeight="1">
      <c r="B31" s="21"/>
      <c r="C31" s="42"/>
      <c r="D31" s="43" t="s">
        <v>36</v>
      </c>
      <c r="E31" s="43"/>
      <c r="F31" s="22"/>
      <c r="G31" s="46"/>
      <c r="H31" s="43" t="s">
        <v>37</v>
      </c>
      <c r="I31" s="43"/>
      <c r="J31" s="22"/>
      <c r="K31" s="22"/>
      <c r="L31" s="43"/>
      <c r="M31" s="5"/>
      <c r="N31" s="44"/>
    </row>
    <row r="32" spans="2:14" ht="15.75" thickBo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0"/>
    </row>
    <row r="33" spans="1:14" ht="15">
      <c r="A33" s="8" t="s">
        <v>38</v>
      </c>
      <c r="B33" s="15" t="s">
        <v>39</v>
      </c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41"/>
    </row>
    <row r="34" spans="2:14" ht="15.75" customHeight="1">
      <c r="B34" s="533" t="s">
        <v>40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5"/>
    </row>
    <row r="35" spans="2:14" ht="15.75" customHeight="1">
      <c r="B35" s="533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5"/>
    </row>
    <row r="36" spans="2:14" ht="39.75" customHeight="1" thickBot="1">
      <c r="B36" s="536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8"/>
    </row>
    <row r="37" spans="2:14" s="1" customFormat="1" ht="13.5" customHeight="1">
      <c r="B37" s="47" t="s">
        <v>41</v>
      </c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2:14" ht="20.25" customHeight="1">
      <c r="B38" s="539" t="s">
        <v>42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1"/>
    </row>
    <row r="39" spans="2:14" ht="20.25" customHeight="1">
      <c r="B39" s="51"/>
      <c r="C39" s="542" t="str">
        <f>CONCATENATE(E12," ",F20)</f>
        <v>CIFC Inc./ Greater Danbury Community Health Center 8004668</v>
      </c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3"/>
    </row>
    <row r="40" spans="2:14" ht="15">
      <c r="B40" s="21"/>
      <c r="C40" s="544" t="s">
        <v>43</v>
      </c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5"/>
    </row>
    <row r="41" spans="2:14" ht="72.75" customHeight="1">
      <c r="B41" s="546" t="str">
        <f>CONCATENATE("For the Reporting Period Beginning"," ",TEXT(L20,"M/D/YYYY")," ","and Ending"," ",TEXT(N20,"M/D/YYYY")," ","and That to the Best of My Knowledge and Belief It Is a True, Correct and Complete Statement Prepared From the Books and Records of the FQHC In Accordance With Applicable Instructions, Except as Noted:")</f>
        <v>For the Reporting Period Beginning 1/1/2020 and Ending 12/31/2020 and That to the Best of My Knowledge and Belief It Is a True, Correct and Complete Statement Prepared From the Books and Records of the FQHC In Accordance With Applicable Instructions, Except as Noted:</v>
      </c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8"/>
    </row>
    <row r="42" spans="2:14" ht="15">
      <c r="B42" s="549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1"/>
    </row>
    <row r="43" spans="2:14" ht="15">
      <c r="B43" s="549"/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1"/>
    </row>
    <row r="44" spans="2:14" ht="15">
      <c r="B44" s="549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1"/>
    </row>
    <row r="45" spans="1:14" ht="15.75" thickBot="1">
      <c r="A45" s="8" t="s">
        <v>44</v>
      </c>
      <c r="B45" s="558" t="s">
        <v>45</v>
      </c>
      <c r="C45" s="559"/>
      <c r="D45" s="559"/>
      <c r="E45" s="559"/>
      <c r="F45" s="559"/>
      <c r="G45" s="559"/>
      <c r="H45" s="560"/>
      <c r="I45" s="561" t="s">
        <v>46</v>
      </c>
      <c r="J45" s="559"/>
      <c r="K45" s="559"/>
      <c r="L45" s="559"/>
      <c r="M45" s="559"/>
      <c r="N45" s="562"/>
    </row>
    <row r="46" spans="2:14" ht="12.75" customHeight="1">
      <c r="B46" s="563"/>
      <c r="C46" s="564"/>
      <c r="D46" s="564"/>
      <c r="E46" s="564"/>
      <c r="F46" s="564"/>
      <c r="G46" s="564"/>
      <c r="H46" s="565"/>
      <c r="I46" s="569" t="s">
        <v>47</v>
      </c>
      <c r="J46" s="570"/>
      <c r="K46" s="570"/>
      <c r="L46" s="570"/>
      <c r="M46" s="570"/>
      <c r="N46" s="571"/>
    </row>
    <row r="47" spans="2:14" ht="31.5" customHeight="1" thickBot="1">
      <c r="B47" s="566"/>
      <c r="C47" s="567"/>
      <c r="D47" s="567"/>
      <c r="E47" s="567"/>
      <c r="F47" s="567"/>
      <c r="G47" s="567"/>
      <c r="H47" s="568"/>
      <c r="I47" s="572"/>
      <c r="J47" s="573"/>
      <c r="K47" s="573"/>
      <c r="L47" s="573"/>
      <c r="M47" s="573"/>
      <c r="N47" s="574"/>
    </row>
    <row r="48" spans="2:14" ht="17.25" customHeight="1" thickBot="1">
      <c r="B48" s="558" t="s">
        <v>18</v>
      </c>
      <c r="C48" s="559"/>
      <c r="D48" s="559"/>
      <c r="E48" s="559"/>
      <c r="F48" s="559"/>
      <c r="G48" s="559"/>
      <c r="H48" s="560"/>
      <c r="I48" s="561" t="s">
        <v>48</v>
      </c>
      <c r="J48" s="559"/>
      <c r="K48" s="559"/>
      <c r="L48" s="559"/>
      <c r="M48" s="559"/>
      <c r="N48" s="562"/>
    </row>
    <row r="49" spans="2:14" ht="38.25" customHeight="1" thickBot="1">
      <c r="B49" s="552" t="s">
        <v>595</v>
      </c>
      <c r="C49" s="553"/>
      <c r="D49" s="553"/>
      <c r="E49" s="553"/>
      <c r="F49" s="553"/>
      <c r="G49" s="553"/>
      <c r="H49" s="554"/>
      <c r="I49" s="555"/>
      <c r="J49" s="556"/>
      <c r="K49" s="556"/>
      <c r="L49" s="556"/>
      <c r="M49" s="556"/>
      <c r="N49" s="557"/>
    </row>
    <row r="50" spans="2:14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</sheetData>
  <sheetProtection/>
  <mergeCells count="33">
    <mergeCell ref="B49:H49"/>
    <mergeCell ref="I49:N49"/>
    <mergeCell ref="B44:N44"/>
    <mergeCell ref="B45:H45"/>
    <mergeCell ref="I45:N45"/>
    <mergeCell ref="B46:H47"/>
    <mergeCell ref="I46:N47"/>
    <mergeCell ref="B48:H48"/>
    <mergeCell ref="I48:N48"/>
    <mergeCell ref="B38:N38"/>
    <mergeCell ref="C39:N39"/>
    <mergeCell ref="C40:N40"/>
    <mergeCell ref="B41:N41"/>
    <mergeCell ref="B42:N42"/>
    <mergeCell ref="B43:N43"/>
    <mergeCell ref="F20:H20"/>
    <mergeCell ref="F21:H21"/>
    <mergeCell ref="F22:H22"/>
    <mergeCell ref="F23:H23"/>
    <mergeCell ref="F24:H24"/>
    <mergeCell ref="B34:N36"/>
    <mergeCell ref="E12:N12"/>
    <mergeCell ref="E13:N13"/>
    <mergeCell ref="E14:N14"/>
    <mergeCell ref="E15:N15"/>
    <mergeCell ref="E16:N16"/>
    <mergeCell ref="E17:N17"/>
    <mergeCell ref="B1:N1"/>
    <mergeCell ref="A2:N2"/>
    <mergeCell ref="A3:N3"/>
    <mergeCell ref="A4:N4"/>
    <mergeCell ref="A6:N6"/>
    <mergeCell ref="A7:N7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0">
      <selection activeCell="B35" sqref="B35:D38"/>
    </sheetView>
  </sheetViews>
  <sheetFormatPr defaultColWidth="9.140625" defaultRowHeight="15"/>
  <cols>
    <col min="1" max="1" width="3.57421875" style="272" customWidth="1"/>
    <col min="2" max="2" width="16.421875" style="260" customWidth="1"/>
    <col min="3" max="3" width="28.421875" style="260" customWidth="1"/>
    <col min="4" max="4" width="11.8515625" style="260" customWidth="1"/>
    <col min="5" max="5" width="15.57421875" style="260" customWidth="1"/>
    <col min="6" max="6" width="15.28125" style="260" customWidth="1"/>
    <col min="7" max="7" width="16.8515625" style="260" customWidth="1"/>
    <col min="8" max="8" width="16.57421875" style="260" customWidth="1"/>
    <col min="9" max="16384" width="9.140625" style="260" customWidth="1"/>
  </cols>
  <sheetData>
    <row r="1" spans="1:17" ht="14.25">
      <c r="A1" s="575" t="s">
        <v>0</v>
      </c>
      <c r="B1" s="575"/>
      <c r="C1" s="575"/>
      <c r="D1" s="575"/>
      <c r="E1" s="575"/>
      <c r="F1" s="575"/>
      <c r="G1" s="575"/>
      <c r="H1" s="575"/>
      <c r="I1" s="52"/>
      <c r="J1" s="52"/>
      <c r="K1" s="52"/>
      <c r="L1" s="52"/>
      <c r="M1" s="52"/>
      <c r="N1" s="52"/>
      <c r="O1" s="52"/>
      <c r="P1" s="52"/>
      <c r="Q1" s="52"/>
    </row>
    <row r="2" spans="1:17" ht="14.25">
      <c r="A2" s="575" t="s">
        <v>1</v>
      </c>
      <c r="B2" s="575"/>
      <c r="C2" s="575"/>
      <c r="D2" s="575"/>
      <c r="E2" s="575"/>
      <c r="F2" s="575"/>
      <c r="G2" s="575"/>
      <c r="H2" s="575"/>
      <c r="I2" s="52"/>
      <c r="J2" s="52"/>
      <c r="K2" s="52"/>
      <c r="L2" s="52"/>
      <c r="M2" s="52"/>
      <c r="N2" s="52"/>
      <c r="O2" s="52"/>
      <c r="P2" s="52"/>
      <c r="Q2" s="52"/>
    </row>
    <row r="3" spans="1:17" ht="14.25">
      <c r="A3" s="575" t="s">
        <v>3</v>
      </c>
      <c r="B3" s="575"/>
      <c r="C3" s="575"/>
      <c r="D3" s="575"/>
      <c r="E3" s="575"/>
      <c r="F3" s="575"/>
      <c r="G3" s="575"/>
      <c r="H3" s="575"/>
      <c r="I3" s="52"/>
      <c r="J3" s="52"/>
      <c r="K3" s="52"/>
      <c r="L3" s="52"/>
      <c r="M3" s="52"/>
      <c r="N3" s="52"/>
      <c r="O3" s="52"/>
      <c r="P3" s="52"/>
      <c r="Q3" s="52"/>
    </row>
    <row r="4" spans="1:17" ht="14.25">
      <c r="A4" s="575" t="s">
        <v>4</v>
      </c>
      <c r="B4" s="575"/>
      <c r="C4" s="575"/>
      <c r="D4" s="575"/>
      <c r="E4" s="575"/>
      <c r="F4" s="575"/>
      <c r="G4" s="575"/>
      <c r="H4" s="575"/>
      <c r="I4" s="52"/>
      <c r="J4" s="52"/>
      <c r="K4" s="52"/>
      <c r="L4" s="52"/>
      <c r="M4" s="52"/>
      <c r="N4" s="52"/>
      <c r="O4" s="52"/>
      <c r="P4" s="52"/>
      <c r="Q4" s="52"/>
    </row>
    <row r="5" spans="1:17" ht="15" thickBot="1">
      <c r="A5" s="175"/>
      <c r="B5" s="2"/>
      <c r="C5" s="2"/>
      <c r="D5" s="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6" ht="14.25">
      <c r="A6" s="176"/>
      <c r="B6" s="55" t="s">
        <v>49</v>
      </c>
      <c r="C6" s="55"/>
      <c r="D6" s="56" t="s">
        <v>23</v>
      </c>
      <c r="E6" s="262">
        <f>'[1]P1 Info &amp; Certification'!L20</f>
        <v>43831</v>
      </c>
      <c r="F6" s="263"/>
      <c r="G6" s="75" t="str">
        <f>'[1]P1 Info &amp; Certification'!M20</f>
        <v>To</v>
      </c>
      <c r="H6" s="264">
        <f>'[1]P1 Info &amp; Certification'!N20</f>
        <v>44196</v>
      </c>
      <c r="I6" s="265"/>
      <c r="J6" s="266"/>
      <c r="K6" s="2"/>
      <c r="L6" s="76"/>
      <c r="M6" s="60"/>
      <c r="N6" s="265"/>
      <c r="O6" s="265"/>
      <c r="P6" s="60"/>
    </row>
    <row r="7" spans="1:16" ht="14.25">
      <c r="A7" s="267"/>
      <c r="B7" s="60"/>
      <c r="C7" s="60"/>
      <c r="D7" s="60"/>
      <c r="E7" s="2"/>
      <c r="F7" s="2"/>
      <c r="G7" s="2"/>
      <c r="H7" s="62"/>
      <c r="I7" s="2"/>
      <c r="J7" s="2"/>
      <c r="K7" s="2"/>
      <c r="L7" s="2"/>
      <c r="M7" s="2"/>
      <c r="N7" s="2"/>
      <c r="O7" s="2"/>
      <c r="P7" s="2"/>
    </row>
    <row r="8" spans="1:16" ht="22.5" customHeight="1" thickBot="1">
      <c r="A8" s="178"/>
      <c r="B8" s="64" t="s">
        <v>50</v>
      </c>
      <c r="C8" s="577" t="str">
        <f>'[1]P1 Info &amp; Certification'!E12</f>
        <v>CIFC Inc./ Greater Danbury Community Health Center</v>
      </c>
      <c r="D8" s="577"/>
      <c r="E8" s="577"/>
      <c r="F8" s="577"/>
      <c r="G8" s="577"/>
      <c r="H8" s="81"/>
      <c r="I8" s="268"/>
      <c r="J8" s="268"/>
      <c r="K8" s="268"/>
      <c r="L8" s="268"/>
      <c r="M8" s="268"/>
      <c r="N8" s="268"/>
      <c r="O8" s="268"/>
      <c r="P8" s="268"/>
    </row>
    <row r="9" spans="1:16" ht="14.25">
      <c r="A9" s="269"/>
      <c r="B9" s="270"/>
      <c r="C9" s="270"/>
      <c r="D9" s="270"/>
      <c r="E9" s="270"/>
      <c r="F9" s="270"/>
      <c r="G9" s="270"/>
      <c r="H9" s="270"/>
      <c r="I9" s="271"/>
      <c r="J9" s="271"/>
      <c r="K9" s="271"/>
      <c r="L9" s="271"/>
      <c r="M9" s="271"/>
      <c r="N9" s="271"/>
      <c r="O9" s="271"/>
      <c r="P9" s="271"/>
    </row>
    <row r="11" ht="15" thickBot="1">
      <c r="H11" s="273" t="s">
        <v>252</v>
      </c>
    </row>
    <row r="12" spans="1:8" ht="15">
      <c r="A12" s="634" t="s">
        <v>253</v>
      </c>
      <c r="B12" s="635"/>
      <c r="C12" s="635"/>
      <c r="D12" s="635"/>
      <c r="E12" s="635"/>
      <c r="F12" s="635"/>
      <c r="G12" s="635"/>
      <c r="H12" s="637"/>
    </row>
    <row r="13" spans="1:8" ht="14.25">
      <c r="A13" s="638" t="s">
        <v>254</v>
      </c>
      <c r="B13" s="639"/>
      <c r="C13" s="639"/>
      <c r="D13" s="669"/>
      <c r="E13" s="275"/>
      <c r="F13" s="276"/>
      <c r="G13" s="644" t="s">
        <v>230</v>
      </c>
      <c r="H13" s="645"/>
    </row>
    <row r="14" spans="1:8" ht="14.25">
      <c r="A14" s="640"/>
      <c r="B14" s="641"/>
      <c r="C14" s="641"/>
      <c r="D14" s="641"/>
      <c r="E14" s="278"/>
      <c r="F14" s="279"/>
      <c r="G14" s="280" t="s">
        <v>231</v>
      </c>
      <c r="H14" s="281" t="s">
        <v>232</v>
      </c>
    </row>
    <row r="15" spans="1:8" ht="14.25">
      <c r="A15" s="642"/>
      <c r="B15" s="643"/>
      <c r="C15" s="643"/>
      <c r="D15" s="643"/>
      <c r="E15" s="283" t="s">
        <v>234</v>
      </c>
      <c r="F15" s="284" t="s">
        <v>235</v>
      </c>
      <c r="G15" s="285" t="s">
        <v>236</v>
      </c>
      <c r="H15" s="286" t="s">
        <v>237</v>
      </c>
    </row>
    <row r="16" spans="1:8" ht="14.25">
      <c r="A16" s="353"/>
      <c r="B16" s="288"/>
      <c r="C16" s="288"/>
      <c r="D16" s="288"/>
      <c r="E16" s="290" t="s">
        <v>112</v>
      </c>
      <c r="F16" s="291" t="s">
        <v>113</v>
      </c>
      <c r="G16" s="292" t="s">
        <v>114</v>
      </c>
      <c r="H16" s="293" t="s">
        <v>115</v>
      </c>
    </row>
    <row r="17" spans="1:8" ht="12.75" customHeight="1" thickBot="1">
      <c r="A17" s="354"/>
      <c r="B17" s="646" t="s">
        <v>255</v>
      </c>
      <c r="C17" s="647"/>
      <c r="D17" s="647"/>
      <c r="E17" s="297">
        <v>125000</v>
      </c>
      <c r="F17" s="297">
        <v>1500</v>
      </c>
      <c r="G17" s="331">
        <v>1040</v>
      </c>
      <c r="H17" s="332">
        <f>G17/2080</f>
        <v>0.5</v>
      </c>
    </row>
    <row r="18" spans="1:8" ht="14.25">
      <c r="A18" s="355" t="s">
        <v>109</v>
      </c>
      <c r="B18" s="670" t="s">
        <v>256</v>
      </c>
      <c r="C18" s="671"/>
      <c r="D18" s="672"/>
      <c r="E18" s="356"/>
      <c r="F18" s="356"/>
      <c r="G18" s="357"/>
      <c r="H18" s="358"/>
    </row>
    <row r="19" spans="1:8" ht="14.25">
      <c r="A19" s="304" t="s">
        <v>7</v>
      </c>
      <c r="B19" s="631" t="s">
        <v>584</v>
      </c>
      <c r="C19" s="632"/>
      <c r="D19" s="633"/>
      <c r="E19" s="359">
        <f>+'[2]wages and fte calc'!$G$50</f>
        <v>142398.91999999998</v>
      </c>
      <c r="F19" s="306">
        <f>+'[2]VISITS BY PROVIDER'!$T$98</f>
        <v>792</v>
      </c>
      <c r="G19" s="306">
        <f>+'[2]wages and fte calc'!$E$50</f>
        <v>1544.62</v>
      </c>
      <c r="H19" s="360">
        <f>ROUND(G19/2080,2)</f>
        <v>0.74</v>
      </c>
    </row>
    <row r="20" spans="1:8" ht="14.25">
      <c r="A20" s="304" t="s">
        <v>19</v>
      </c>
      <c r="B20" s="631" t="s">
        <v>585</v>
      </c>
      <c r="C20" s="632"/>
      <c r="D20" s="633"/>
      <c r="E20" s="359">
        <f>+'[2]wages and fte calc'!$G$52</f>
        <v>74339.76</v>
      </c>
      <c r="F20" s="308">
        <f>+'[2]VISITS BY PROVIDER'!$T$97</f>
        <v>361</v>
      </c>
      <c r="G20" s="306">
        <f>+'[2]wages and fte calc'!$E$52</f>
        <v>891.34</v>
      </c>
      <c r="H20" s="360">
        <f>ROUND(G20/2080,2)</f>
        <v>0.43</v>
      </c>
    </row>
    <row r="21" spans="1:8" ht="14.25">
      <c r="A21" s="304" t="s">
        <v>152</v>
      </c>
      <c r="B21" s="631" t="s">
        <v>586</v>
      </c>
      <c r="C21" s="632"/>
      <c r="D21" s="633"/>
      <c r="E21" s="359">
        <f>+'[2]wages and fte calc'!$G$55</f>
        <v>53451.380000000005</v>
      </c>
      <c r="F21" s="306">
        <f>+'[2]VISITS BY PROVIDER'!$T$94</f>
        <v>188</v>
      </c>
      <c r="G21" s="306">
        <f>+'[2]wages and fte calc'!$E$55</f>
        <v>599.75</v>
      </c>
      <c r="H21" s="360">
        <f>ROUND(G21/2080,2)</f>
        <v>0.29</v>
      </c>
    </row>
    <row r="22" spans="1:8" ht="14.25">
      <c r="A22" s="304"/>
      <c r="B22" s="631"/>
      <c r="C22" s="632"/>
      <c r="D22" s="633"/>
      <c r="E22" s="359"/>
      <c r="F22" s="308"/>
      <c r="G22" s="306"/>
      <c r="H22" s="360">
        <f>ROUND(G22/2080,2)</f>
        <v>0</v>
      </c>
    </row>
    <row r="23" spans="1:8" ht="14.25">
      <c r="A23" s="304"/>
      <c r="B23" s="631"/>
      <c r="C23" s="632"/>
      <c r="D23" s="633"/>
      <c r="E23" s="359"/>
      <c r="F23" s="308"/>
      <c r="G23" s="306"/>
      <c r="H23" s="360">
        <f>ROUND(G23/2080,2)</f>
        <v>0</v>
      </c>
    </row>
    <row r="24" spans="1:8" ht="24.75" customHeight="1" thickBot="1">
      <c r="A24" s="309"/>
      <c r="B24" s="655" t="s">
        <v>257</v>
      </c>
      <c r="C24" s="656"/>
      <c r="D24" s="657"/>
      <c r="E24" s="361">
        <f>SUM(E19:E23)</f>
        <v>270190.06</v>
      </c>
      <c r="F24" s="361">
        <f>SUM(F19:F23)</f>
        <v>1341</v>
      </c>
      <c r="G24" s="361">
        <f>SUM(G19:G23)</f>
        <v>3035.71</v>
      </c>
      <c r="H24" s="362">
        <f>SUM(H19:H23)</f>
        <v>1.46</v>
      </c>
    </row>
    <row r="25" spans="1:8" ht="15" thickTop="1">
      <c r="A25" s="309"/>
      <c r="B25" s="673"/>
      <c r="C25" s="673"/>
      <c r="D25" s="673"/>
      <c r="E25" s="363"/>
      <c r="F25" s="315"/>
      <c r="G25" s="314"/>
      <c r="H25" s="364"/>
    </row>
    <row r="26" spans="1:8" ht="14.25">
      <c r="A26" s="299" t="s">
        <v>155</v>
      </c>
      <c r="B26" s="663" t="s">
        <v>258</v>
      </c>
      <c r="C26" s="664"/>
      <c r="D26" s="668"/>
      <c r="E26" s="301"/>
      <c r="F26" s="301"/>
      <c r="G26" s="319"/>
      <c r="H26" s="320"/>
    </row>
    <row r="27" spans="1:8" ht="14.25">
      <c r="A27" s="304" t="s">
        <v>7</v>
      </c>
      <c r="B27" s="631" t="s">
        <v>587</v>
      </c>
      <c r="C27" s="632"/>
      <c r="D27" s="633"/>
      <c r="E27" s="365">
        <f>+'[2]wages and fte calc'!$G$48</f>
        <v>57207.299999999996</v>
      </c>
      <c r="F27" s="326">
        <f>+'[2]VISITS BY PROVIDER'!$T$96</f>
        <v>193</v>
      </c>
      <c r="G27" s="325">
        <f>+'[2]wages and fte calc'!$E$48</f>
        <v>1501.1893588255198</v>
      </c>
      <c r="H27" s="366">
        <f>ROUND(G27/2080,2)</f>
        <v>0.72</v>
      </c>
    </row>
    <row r="28" spans="1:8" ht="14.25">
      <c r="A28" s="304" t="s">
        <v>19</v>
      </c>
      <c r="B28" s="631" t="s">
        <v>588</v>
      </c>
      <c r="C28" s="632"/>
      <c r="D28" s="633"/>
      <c r="E28" s="359">
        <f>+'[2]wages and fte calc'!$G$57</f>
        <v>52303.479999999996</v>
      </c>
      <c r="F28" s="308">
        <f>+'[2]VISITS BY PROVIDER'!$T$95</f>
        <v>576</v>
      </c>
      <c r="G28" s="306">
        <f>+'[2]wages and fte calc'!$E$57</f>
        <v>1335.7054985420984</v>
      </c>
      <c r="H28" s="366">
        <f>ROUND(G28/2080,2)</f>
        <v>0.64</v>
      </c>
    </row>
    <row r="29" spans="1:8" ht="14.25">
      <c r="A29" s="304" t="s">
        <v>152</v>
      </c>
      <c r="B29" s="631"/>
      <c r="C29" s="632"/>
      <c r="D29" s="633"/>
      <c r="E29" s="359"/>
      <c r="F29" s="308"/>
      <c r="G29" s="306"/>
      <c r="H29" s="366">
        <f>ROUND(G29/2080,2)</f>
        <v>0</v>
      </c>
    </row>
    <row r="30" spans="1:8" ht="14.25">
      <c r="A30" s="304" t="s">
        <v>28</v>
      </c>
      <c r="B30" s="631"/>
      <c r="C30" s="632"/>
      <c r="D30" s="633"/>
      <c r="E30" s="359"/>
      <c r="F30" s="308"/>
      <c r="G30" s="306"/>
      <c r="H30" s="366">
        <f>ROUND(G30/2080,2)</f>
        <v>0</v>
      </c>
    </row>
    <row r="31" spans="1:8" ht="14.25">
      <c r="A31" s="304" t="s">
        <v>38</v>
      </c>
      <c r="B31" s="631"/>
      <c r="C31" s="632"/>
      <c r="D31" s="633"/>
      <c r="E31" s="359"/>
      <c r="F31" s="308"/>
      <c r="G31" s="306"/>
      <c r="H31" s="366">
        <f>ROUND(G31/2080,2)</f>
        <v>0</v>
      </c>
    </row>
    <row r="32" spans="1:8" ht="24.75" customHeight="1" thickBot="1">
      <c r="A32" s="328"/>
      <c r="B32" s="655" t="s">
        <v>259</v>
      </c>
      <c r="C32" s="656"/>
      <c r="D32" s="657"/>
      <c r="E32" s="361">
        <f>SUM(E27:E31)</f>
        <v>109510.78</v>
      </c>
      <c r="F32" s="361">
        <f>SUM(F27:F31)</f>
        <v>769</v>
      </c>
      <c r="G32" s="361">
        <f>SUM(G27:G31)</f>
        <v>2836.894857367618</v>
      </c>
      <c r="H32" s="362">
        <f>SUM(H27:H31)</f>
        <v>1.3599999999999999</v>
      </c>
    </row>
    <row r="33" spans="1:8" ht="15" thickTop="1">
      <c r="A33" s="328"/>
      <c r="B33" s="340"/>
      <c r="C33" s="340"/>
      <c r="D33" s="340"/>
      <c r="E33" s="363"/>
      <c r="F33" s="315"/>
      <c r="G33" s="314"/>
      <c r="H33" s="364"/>
    </row>
    <row r="34" spans="1:8" ht="14.25">
      <c r="A34" s="299" t="s">
        <v>174</v>
      </c>
      <c r="B34" s="663" t="s">
        <v>260</v>
      </c>
      <c r="C34" s="664"/>
      <c r="D34" s="668"/>
      <c r="E34" s="301"/>
      <c r="F34" s="301"/>
      <c r="G34" s="319"/>
      <c r="H34" s="320"/>
    </row>
    <row r="35" spans="1:8" ht="14.25">
      <c r="A35" s="304" t="s">
        <v>7</v>
      </c>
      <c r="B35" s="631" t="s">
        <v>616</v>
      </c>
      <c r="C35" s="632"/>
      <c r="D35" s="633"/>
      <c r="E35" s="365">
        <f>+'[2]wages and fte calc'!$G$45</f>
        <v>24886.29</v>
      </c>
      <c r="F35" s="326"/>
      <c r="G35" s="325">
        <f>+'[2]wages and fte calc'!$E$45</f>
        <v>1623.04</v>
      </c>
      <c r="H35" s="366">
        <f>ROUND(G35/2080,2)</f>
        <v>0.78</v>
      </c>
    </row>
    <row r="36" spans="1:8" ht="14.25">
      <c r="A36" s="304" t="s">
        <v>19</v>
      </c>
      <c r="B36" s="631" t="s">
        <v>617</v>
      </c>
      <c r="C36" s="632"/>
      <c r="D36" s="633"/>
      <c r="E36" s="359">
        <f>+'[2]wages and fte calc'!$G$54</f>
        <v>35413.65</v>
      </c>
      <c r="F36" s="308"/>
      <c r="G36" s="306">
        <f>+'[2]wages and fte calc'!$E$54</f>
        <v>1776.03</v>
      </c>
      <c r="H36" s="366">
        <f>ROUND(G36/2080,2)</f>
        <v>0.85</v>
      </c>
    </row>
    <row r="37" spans="1:8" ht="14.25">
      <c r="A37" s="304" t="s">
        <v>152</v>
      </c>
      <c r="B37" s="631" t="s">
        <v>618</v>
      </c>
      <c r="C37" s="632"/>
      <c r="D37" s="633"/>
      <c r="E37" s="359">
        <f>+'[2]wages and fte calc'!$G$49</f>
        <v>21542.210000000003</v>
      </c>
      <c r="F37" s="308"/>
      <c r="G37" s="306">
        <f>+'[2]wages and fte calc'!$E$49</f>
        <v>1049.73</v>
      </c>
      <c r="H37" s="366">
        <f>ROUND(G37/2080,2)</f>
        <v>0.5</v>
      </c>
    </row>
    <row r="38" spans="1:8" ht="14.25">
      <c r="A38" s="304" t="s">
        <v>28</v>
      </c>
      <c r="B38" s="631" t="s">
        <v>619</v>
      </c>
      <c r="C38" s="632"/>
      <c r="D38" s="633"/>
      <c r="E38" s="359">
        <f>+'[2]wages and fte calc'!$G$53</f>
        <v>801.75</v>
      </c>
      <c r="F38" s="308"/>
      <c r="G38" s="306">
        <f>+'[2]wages and fte calc'!$E$53</f>
        <v>52.363940111906125</v>
      </c>
      <c r="H38" s="366">
        <f>ROUND(G38/2080,2)</f>
        <v>0.03</v>
      </c>
    </row>
    <row r="39" spans="1:8" ht="14.25">
      <c r="A39" s="304"/>
      <c r="B39" s="631"/>
      <c r="C39" s="632"/>
      <c r="D39" s="633"/>
      <c r="E39" s="359"/>
      <c r="F39" s="308"/>
      <c r="G39" s="306"/>
      <c r="H39" s="366">
        <f>ROUND(G39/2080,2)</f>
        <v>0</v>
      </c>
    </row>
    <row r="40" spans="1:8" ht="24.75" customHeight="1" thickBot="1">
      <c r="A40" s="328"/>
      <c r="B40" s="655" t="s">
        <v>261</v>
      </c>
      <c r="C40" s="656"/>
      <c r="D40" s="657"/>
      <c r="E40" s="361">
        <f>SUM(E35:E39)</f>
        <v>82643.90000000001</v>
      </c>
      <c r="F40" s="361">
        <f>SUM(F35:F39)</f>
        <v>0</v>
      </c>
      <c r="G40" s="361">
        <f>SUM(G35:G39)</f>
        <v>4501.1639401119055</v>
      </c>
      <c r="H40" s="362">
        <f>SUM(H35:H39)</f>
        <v>2.1599999999999997</v>
      </c>
    </row>
    <row r="41" spans="1:8" ht="14.25" customHeight="1" thickBot="1" thickTop="1">
      <c r="A41" s="345"/>
      <c r="B41" s="367"/>
      <c r="C41" s="367"/>
      <c r="D41" s="367"/>
      <c r="E41" s="368"/>
      <c r="F41" s="369"/>
      <c r="G41" s="370"/>
      <c r="H41" s="371"/>
    </row>
    <row r="42" spans="5:8" ht="14.25">
      <c r="E42" s="479"/>
      <c r="F42" s="479"/>
      <c r="G42" s="479"/>
      <c r="H42" s="480"/>
    </row>
    <row r="43" spans="5:6" ht="14.25">
      <c r="E43" s="468"/>
      <c r="F43" s="468"/>
    </row>
    <row r="44" ht="14.25">
      <c r="E44" s="479"/>
    </row>
  </sheetData>
  <sheetProtection/>
  <mergeCells count="31">
    <mergeCell ref="B40:D40"/>
    <mergeCell ref="B34:D34"/>
    <mergeCell ref="B35:D35"/>
    <mergeCell ref="B36:D36"/>
    <mergeCell ref="B37:D37"/>
    <mergeCell ref="B38:D38"/>
    <mergeCell ref="B39:D39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3:D15"/>
    <mergeCell ref="G13:H13"/>
    <mergeCell ref="B17:D17"/>
    <mergeCell ref="B18:D18"/>
    <mergeCell ref="B19:D19"/>
    <mergeCell ref="B20:D20"/>
    <mergeCell ref="A1:H1"/>
    <mergeCell ref="A2:H2"/>
    <mergeCell ref="A3:H3"/>
    <mergeCell ref="A4:H4"/>
    <mergeCell ref="C8:G8"/>
    <mergeCell ref="A12:H12"/>
  </mergeCells>
  <printOptions horizontalCentered="1" verticalCentered="1"/>
  <pageMargins left="0.25" right="0.25" top="0.75" bottom="0.75" header="0.3" footer="0.3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B36" sqref="B36:D36"/>
    </sheetView>
  </sheetViews>
  <sheetFormatPr defaultColWidth="9.140625" defaultRowHeight="15"/>
  <cols>
    <col min="1" max="1" width="3.57421875" style="272" customWidth="1"/>
    <col min="2" max="2" width="16.421875" style="260" customWidth="1"/>
    <col min="3" max="3" width="28.421875" style="260" customWidth="1"/>
    <col min="4" max="4" width="15.421875" style="260" customWidth="1"/>
    <col min="5" max="5" width="16.421875" style="260" customWidth="1"/>
    <col min="6" max="6" width="17.421875" style="260" customWidth="1"/>
    <col min="7" max="7" width="17.7109375" style="260" customWidth="1"/>
    <col min="8" max="8" width="16.57421875" style="260" customWidth="1"/>
    <col min="9" max="16384" width="9.140625" style="260" customWidth="1"/>
  </cols>
  <sheetData>
    <row r="1" spans="1:17" ht="14.25">
      <c r="A1" s="575" t="s">
        <v>0</v>
      </c>
      <c r="B1" s="575"/>
      <c r="C1" s="575"/>
      <c r="D1" s="575"/>
      <c r="E1" s="575"/>
      <c r="F1" s="575"/>
      <c r="G1" s="575"/>
      <c r="H1" s="575"/>
      <c r="I1" s="52"/>
      <c r="J1" s="52"/>
      <c r="K1" s="52"/>
      <c r="L1" s="52"/>
      <c r="M1" s="52"/>
      <c r="N1" s="52"/>
      <c r="O1" s="52"/>
      <c r="P1" s="52"/>
      <c r="Q1" s="52"/>
    </row>
    <row r="2" spans="1:17" ht="14.25">
      <c r="A2" s="575" t="s">
        <v>1</v>
      </c>
      <c r="B2" s="575"/>
      <c r="C2" s="575"/>
      <c r="D2" s="575"/>
      <c r="E2" s="575"/>
      <c r="F2" s="575"/>
      <c r="G2" s="575"/>
      <c r="H2" s="575"/>
      <c r="I2" s="52"/>
      <c r="J2" s="52"/>
      <c r="K2" s="52"/>
      <c r="L2" s="52"/>
      <c r="M2" s="52"/>
      <c r="N2" s="52"/>
      <c r="O2" s="52"/>
      <c r="P2" s="52"/>
      <c r="Q2" s="52"/>
    </row>
    <row r="3" spans="1:17" ht="14.25">
      <c r="A3" s="575" t="s">
        <v>3</v>
      </c>
      <c r="B3" s="575"/>
      <c r="C3" s="575"/>
      <c r="D3" s="575"/>
      <c r="E3" s="575"/>
      <c r="F3" s="575"/>
      <c r="G3" s="575"/>
      <c r="H3" s="575"/>
      <c r="I3" s="52"/>
      <c r="J3" s="52"/>
      <c r="K3" s="52"/>
      <c r="L3" s="52"/>
      <c r="M3" s="52"/>
      <c r="N3" s="52"/>
      <c r="O3" s="52"/>
      <c r="P3" s="52"/>
      <c r="Q3" s="52"/>
    </row>
    <row r="4" spans="1:17" ht="14.25">
      <c r="A4" s="575" t="s">
        <v>4</v>
      </c>
      <c r="B4" s="575"/>
      <c r="C4" s="575"/>
      <c r="D4" s="575"/>
      <c r="E4" s="575"/>
      <c r="F4" s="575"/>
      <c r="G4" s="575"/>
      <c r="H4" s="575"/>
      <c r="I4" s="52"/>
      <c r="J4" s="52"/>
      <c r="K4" s="52"/>
      <c r="L4" s="52"/>
      <c r="M4" s="52"/>
      <c r="N4" s="52"/>
      <c r="O4" s="52"/>
      <c r="P4" s="52"/>
      <c r="Q4" s="52"/>
    </row>
    <row r="5" spans="1:17" ht="15" thickBot="1">
      <c r="A5" s="175"/>
      <c r="B5" s="2"/>
      <c r="C5" s="2"/>
      <c r="D5" s="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6" ht="14.25">
      <c r="A6" s="176"/>
      <c r="B6" s="55" t="s">
        <v>49</v>
      </c>
      <c r="C6" s="55"/>
      <c r="D6" s="56" t="s">
        <v>23</v>
      </c>
      <c r="E6" s="262">
        <f>'[1]P1 Info &amp; Certification'!L20</f>
        <v>43831</v>
      </c>
      <c r="F6" s="263"/>
      <c r="G6" s="75" t="str">
        <f>'[1]P1 Info &amp; Certification'!M20</f>
        <v>To</v>
      </c>
      <c r="H6" s="264">
        <f>'[1]P1 Info &amp; Certification'!N20</f>
        <v>44196</v>
      </c>
      <c r="I6" s="265"/>
      <c r="J6" s="266"/>
      <c r="K6" s="2"/>
      <c r="L6" s="76"/>
      <c r="M6" s="60"/>
      <c r="N6" s="265"/>
      <c r="O6" s="265"/>
      <c r="P6" s="60"/>
    </row>
    <row r="7" spans="1:16" ht="14.25">
      <c r="A7" s="267"/>
      <c r="B7" s="60"/>
      <c r="C7" s="60"/>
      <c r="D7" s="60"/>
      <c r="E7" s="2"/>
      <c r="F7" s="2"/>
      <c r="G7" s="2"/>
      <c r="H7" s="62"/>
      <c r="I7" s="2"/>
      <c r="J7" s="2"/>
      <c r="K7" s="2"/>
      <c r="L7" s="2"/>
      <c r="M7" s="2"/>
      <c r="N7" s="2"/>
      <c r="O7" s="2"/>
      <c r="P7" s="2"/>
    </row>
    <row r="8" spans="1:16" ht="22.5" customHeight="1" thickBot="1">
      <c r="A8" s="178"/>
      <c r="B8" s="64" t="s">
        <v>50</v>
      </c>
      <c r="C8" s="577" t="str">
        <f>'[1]P1 Info &amp; Certification'!E12</f>
        <v>CIFC Inc./ Greater Danbury Community Health Center</v>
      </c>
      <c r="D8" s="577"/>
      <c r="E8" s="577"/>
      <c r="F8" s="577"/>
      <c r="G8" s="577"/>
      <c r="H8" s="81"/>
      <c r="I8" s="268"/>
      <c r="J8" s="268"/>
      <c r="K8" s="268"/>
      <c r="L8" s="268"/>
      <c r="M8" s="268"/>
      <c r="N8" s="268"/>
      <c r="O8" s="268"/>
      <c r="P8" s="268"/>
    </row>
    <row r="9" spans="1:16" ht="14.25">
      <c r="A9" s="269"/>
      <c r="B9" s="270"/>
      <c r="C9" s="270"/>
      <c r="D9" s="270"/>
      <c r="E9" s="270"/>
      <c r="F9" s="270"/>
      <c r="G9" s="270"/>
      <c r="H9" s="270"/>
      <c r="I9" s="271"/>
      <c r="J9" s="271"/>
      <c r="K9" s="271"/>
      <c r="L9" s="271"/>
      <c r="M9" s="271"/>
      <c r="N9" s="271"/>
      <c r="O9" s="271"/>
      <c r="P9" s="271"/>
    </row>
    <row r="11" ht="15" thickBot="1">
      <c r="H11" s="273" t="s">
        <v>262</v>
      </c>
    </row>
    <row r="12" spans="1:8" ht="15">
      <c r="A12" s="634" t="s">
        <v>263</v>
      </c>
      <c r="B12" s="635"/>
      <c r="C12" s="635"/>
      <c r="D12" s="635"/>
      <c r="E12" s="635"/>
      <c r="F12" s="635"/>
      <c r="G12" s="635"/>
      <c r="H12" s="637"/>
    </row>
    <row r="13" spans="1:8" ht="14.25">
      <c r="A13" s="638" t="s">
        <v>264</v>
      </c>
      <c r="B13" s="639"/>
      <c r="C13" s="639"/>
      <c r="D13" s="669"/>
      <c r="E13" s="275"/>
      <c r="F13" s="276"/>
      <c r="G13" s="644" t="s">
        <v>230</v>
      </c>
      <c r="H13" s="645"/>
    </row>
    <row r="14" spans="1:8" ht="14.25">
      <c r="A14" s="640"/>
      <c r="B14" s="641"/>
      <c r="C14" s="641"/>
      <c r="D14" s="641"/>
      <c r="E14" s="278"/>
      <c r="F14" s="279"/>
      <c r="G14" s="280" t="s">
        <v>231</v>
      </c>
      <c r="H14" s="281" t="s">
        <v>232</v>
      </c>
    </row>
    <row r="15" spans="1:8" ht="14.25">
      <c r="A15" s="642"/>
      <c r="B15" s="643"/>
      <c r="C15" s="643"/>
      <c r="D15" s="643"/>
      <c r="E15" s="283" t="s">
        <v>234</v>
      </c>
      <c r="F15" s="284" t="s">
        <v>235</v>
      </c>
      <c r="G15" s="285" t="s">
        <v>236</v>
      </c>
      <c r="H15" s="286" t="s">
        <v>237</v>
      </c>
    </row>
    <row r="16" spans="1:8" ht="14.25">
      <c r="A16" s="287"/>
      <c r="B16" s="288"/>
      <c r="C16" s="288"/>
      <c r="D16" s="288"/>
      <c r="E16" s="290" t="s">
        <v>112</v>
      </c>
      <c r="F16" s="291" t="s">
        <v>113</v>
      </c>
      <c r="G16" s="292" t="s">
        <v>114</v>
      </c>
      <c r="H16" s="293" t="s">
        <v>115</v>
      </c>
    </row>
    <row r="17" spans="1:8" ht="14.25">
      <c r="A17" s="294"/>
      <c r="B17" s="646" t="s">
        <v>265</v>
      </c>
      <c r="C17" s="647"/>
      <c r="D17" s="647"/>
      <c r="E17" s="297">
        <v>125000</v>
      </c>
      <c r="F17" s="297">
        <v>1500</v>
      </c>
      <c r="G17" s="297">
        <v>1040</v>
      </c>
      <c r="H17" s="298">
        <f>G17/2080</f>
        <v>0.5</v>
      </c>
    </row>
    <row r="18" spans="1:8" ht="14.25">
      <c r="A18" s="299" t="s">
        <v>109</v>
      </c>
      <c r="B18" s="648" t="s">
        <v>266</v>
      </c>
      <c r="C18" s="643"/>
      <c r="D18" s="674"/>
      <c r="E18" s="372"/>
      <c r="F18" s="372"/>
      <c r="G18" s="373"/>
      <c r="H18" s="374"/>
    </row>
    <row r="19" spans="1:10" ht="14.25">
      <c r="A19" s="304" t="s">
        <v>7</v>
      </c>
      <c r="B19" s="631" t="s">
        <v>494</v>
      </c>
      <c r="C19" s="632"/>
      <c r="D19" s="633"/>
      <c r="E19" s="359">
        <f>+'[2]wages and fte calc'!$G$234</f>
        <v>47826.89</v>
      </c>
      <c r="F19" s="511">
        <f>+'[2]VISITS BY PROVIDER'!$T$52</f>
        <v>663</v>
      </c>
      <c r="G19" s="306">
        <f>+'[2]wages and fte calc'!$E$234</f>
        <v>1244</v>
      </c>
      <c r="H19" s="360">
        <f>ROUND(G19/2080,2)</f>
        <v>0.6</v>
      </c>
      <c r="J19"/>
    </row>
    <row r="20" spans="1:8" ht="14.25">
      <c r="A20" s="304" t="s">
        <v>19</v>
      </c>
      <c r="B20" s="631" t="s">
        <v>620</v>
      </c>
      <c r="C20" s="632"/>
      <c r="D20" s="633"/>
      <c r="E20" s="359">
        <f>+'[2]wages and fte calc'!$G$72</f>
        <v>221736.7999999999</v>
      </c>
      <c r="F20" s="308">
        <f>+'[2]VISITS BY PROVIDER'!$T$86</f>
        <v>2013</v>
      </c>
      <c r="G20" s="306">
        <f>+'[2]wages and fte calc'!$E$72</f>
        <v>2059.56</v>
      </c>
      <c r="H20" s="360">
        <f>ROUND(G20/2080,2)</f>
        <v>0.99</v>
      </c>
    </row>
    <row r="21" spans="1:8" ht="14.25">
      <c r="A21" s="304" t="s">
        <v>152</v>
      </c>
      <c r="B21" s="631" t="s">
        <v>621</v>
      </c>
      <c r="C21" s="632"/>
      <c r="D21" s="633"/>
      <c r="E21" s="359">
        <f>+'[2]wages and fte calc'!$G$331</f>
        <v>221183.33</v>
      </c>
      <c r="F21" s="306">
        <f>+'[2]VISITS BY PROVIDER'!$T$55+'[2]VISITS BY PROVIDER'!$T$62+'[2]VISITS BY PROVIDER'!$T$79</f>
        <v>799</v>
      </c>
      <c r="G21" s="306">
        <f>+'[2]wages and fte calc'!$E$331</f>
        <v>2061.25</v>
      </c>
      <c r="H21" s="360">
        <f>ROUND(G21/2080,2)</f>
        <v>0.99</v>
      </c>
    </row>
    <row r="22" spans="1:8" ht="14.25">
      <c r="A22" s="304"/>
      <c r="B22" s="631"/>
      <c r="C22" s="632"/>
      <c r="D22" s="633"/>
      <c r="E22" s="359"/>
      <c r="F22" s="308"/>
      <c r="G22" s="306"/>
      <c r="H22" s="360">
        <f>ROUND(G22/2080,2)</f>
        <v>0</v>
      </c>
    </row>
    <row r="23" spans="1:8" ht="14.25">
      <c r="A23" s="304"/>
      <c r="B23" s="631"/>
      <c r="C23" s="632"/>
      <c r="D23" s="633"/>
      <c r="E23" s="359"/>
      <c r="F23" s="308"/>
      <c r="G23" s="306"/>
      <c r="H23" s="360">
        <f>ROUND(G23/2080,2)</f>
        <v>0</v>
      </c>
    </row>
    <row r="24" spans="1:8" ht="24.75" customHeight="1" thickBot="1">
      <c r="A24" s="309"/>
      <c r="B24" s="655" t="s">
        <v>267</v>
      </c>
      <c r="C24" s="656"/>
      <c r="D24" s="657"/>
      <c r="E24" s="361">
        <f>SUM(E19:E23)</f>
        <v>490747.0199999999</v>
      </c>
      <c r="F24" s="361">
        <f>SUM(F19:F23)</f>
        <v>3475</v>
      </c>
      <c r="G24" s="361">
        <f>SUM(G19:G23)</f>
        <v>5364.8099999999995</v>
      </c>
      <c r="H24" s="362">
        <f>SUM(H19:H23)</f>
        <v>2.58</v>
      </c>
    </row>
    <row r="25" spans="1:8" ht="15" thickTop="1">
      <c r="A25" s="309"/>
      <c r="B25" s="673"/>
      <c r="C25" s="673"/>
      <c r="D25" s="673"/>
      <c r="E25" s="363"/>
      <c r="F25" s="315"/>
      <c r="G25" s="314"/>
      <c r="H25" s="364"/>
    </row>
    <row r="26" spans="1:8" ht="15" customHeight="1">
      <c r="A26" s="299" t="s">
        <v>155</v>
      </c>
      <c r="B26" s="675" t="s">
        <v>268</v>
      </c>
      <c r="C26" s="676"/>
      <c r="D26" s="677"/>
      <c r="E26" s="301"/>
      <c r="F26" s="301"/>
      <c r="G26" s="319"/>
      <c r="H26" s="320"/>
    </row>
    <row r="27" spans="1:8" ht="14.25">
      <c r="A27" s="304" t="s">
        <v>7</v>
      </c>
      <c r="B27" s="649" t="s">
        <v>622</v>
      </c>
      <c r="C27" s="650"/>
      <c r="D27" s="651"/>
      <c r="E27" s="325">
        <f>+'[2]wages and fte calc'!$G$228</f>
        <v>21875</v>
      </c>
      <c r="F27" s="326">
        <f>+'[2]VISITS BY PROVIDER'!$T$61</f>
        <v>125</v>
      </c>
      <c r="G27" s="325">
        <f>+'[2]wages and fte calc'!$E$228</f>
        <v>577.25</v>
      </c>
      <c r="H27" s="327">
        <f>ROUND(G27/2080,2)</f>
        <v>0.28</v>
      </c>
    </row>
    <row r="28" spans="1:8" ht="14.25">
      <c r="A28" s="304" t="s">
        <v>19</v>
      </c>
      <c r="B28" s="649" t="s">
        <v>623</v>
      </c>
      <c r="C28" s="650"/>
      <c r="D28" s="651"/>
      <c r="E28" s="306">
        <f>+'[2]wages and fte calc'!$G$230+'[2]wages and fte calc'!$G$327+'[2]wages and fte calc'!$G$446</f>
        <v>53420.82000000001</v>
      </c>
      <c r="F28" s="308">
        <f>+'[2]VISITS BY PROVIDER'!$T$51+'[2]VISITS BY PROVIDER'!$AC$106</f>
        <v>194</v>
      </c>
      <c r="G28" s="306">
        <f>+'[2]wages and fte calc'!$E$230+'[2]wages and fte calc'!$E$327+'[2]wages and fte calc'!$E$446</f>
        <v>1609.860934097162</v>
      </c>
      <c r="H28" s="327">
        <f>ROUND(G28/2080,2)</f>
        <v>0.77</v>
      </c>
    </row>
    <row r="29" spans="1:8" ht="14.25">
      <c r="A29" s="304" t="s">
        <v>152</v>
      </c>
      <c r="B29" s="649" t="s">
        <v>624</v>
      </c>
      <c r="C29" s="650"/>
      <c r="D29" s="651"/>
      <c r="E29" s="306">
        <f>+'[2]wages and fte calc'!$G$233+'[2]wages and fte calc'!$G$432</f>
        <v>68906.29</v>
      </c>
      <c r="F29" s="308">
        <f>+'[2]VISITS BY PROVIDER'!$T$56+'[2]VISITS BY PROVIDER'!$AC$112</f>
        <v>541</v>
      </c>
      <c r="G29" s="306">
        <f>+'[2]wages and fte calc'!$E$233+'[2]wages and fte calc'!$E$432</f>
        <v>2064.5</v>
      </c>
      <c r="H29" s="327">
        <f>ROUND(G29/2080,2)</f>
        <v>0.99</v>
      </c>
    </row>
    <row r="30" spans="1:8" ht="14.25">
      <c r="A30" s="304" t="s">
        <v>28</v>
      </c>
      <c r="B30" s="649" t="s">
        <v>625</v>
      </c>
      <c r="C30" s="650"/>
      <c r="D30" s="651"/>
      <c r="E30" s="306">
        <f>+'[2]wages and fte calc'!$G$328</f>
        <v>80008.24999999999</v>
      </c>
      <c r="F30" s="308">
        <f>+'[2]VISITS BY PROVIDER'!$T$53+'[2]VISITS BY PROVIDER'!$T$63</f>
        <v>1337</v>
      </c>
      <c r="G30" s="306">
        <f>+'[2]wages and fte calc'!$E$328</f>
        <v>2113.75</v>
      </c>
      <c r="H30" s="327">
        <f>ROUND(G30/2080,2)</f>
        <v>1.02</v>
      </c>
    </row>
    <row r="31" spans="1:8" ht="14.25">
      <c r="A31" s="304" t="s">
        <v>38</v>
      </c>
      <c r="B31" s="649" t="s">
        <v>626</v>
      </c>
      <c r="C31" s="650"/>
      <c r="D31" s="651"/>
      <c r="E31" s="306">
        <f>+'[2]wages and fte calc'!$G$329</f>
        <v>90538.95000000001</v>
      </c>
      <c r="F31" s="308">
        <f>+'[2]VISITS BY PROVIDER'!$T$81</f>
        <v>1836</v>
      </c>
      <c r="G31" s="306">
        <f>+'[2]wages and fte calc'!$E$329</f>
        <v>1966</v>
      </c>
      <c r="H31" s="327">
        <f>ROUND(G31/2080,2)</f>
        <v>0.95</v>
      </c>
    </row>
    <row r="32" spans="1:8" ht="14.25">
      <c r="A32" s="304" t="s">
        <v>44</v>
      </c>
      <c r="B32" s="649" t="s">
        <v>627</v>
      </c>
      <c r="C32" s="650"/>
      <c r="D32" s="651"/>
      <c r="E32" s="460">
        <f>+'[2]wages and fte calc'!$G$330</f>
        <v>76773.31</v>
      </c>
      <c r="F32" s="459">
        <f>+'[2]VISITS BY PROVIDER'!$T$85</f>
        <v>1426</v>
      </c>
      <c r="G32" s="460">
        <f>+'[2]wages and fte calc'!$E$330</f>
        <v>1973.5</v>
      </c>
      <c r="H32" s="327">
        <f aca="true" t="shared" si="0" ref="H32:H39">ROUND(G32/2080,2)</f>
        <v>0.95</v>
      </c>
    </row>
    <row r="33" spans="1:8" ht="14.25">
      <c r="A33" s="304" t="s">
        <v>51</v>
      </c>
      <c r="B33" s="649" t="s">
        <v>628</v>
      </c>
      <c r="C33" s="650"/>
      <c r="D33" s="651"/>
      <c r="E33" s="460">
        <f>+'[2]wages and fte calc'!$G$335</f>
        <v>62405.439999999995</v>
      </c>
      <c r="F33" s="459">
        <f>+'[2]VISITS BY PROVIDER'!$T$83</f>
        <v>1169</v>
      </c>
      <c r="G33" s="460">
        <f>+'[2]wages and fte calc'!$E$335</f>
        <v>1737.5</v>
      </c>
      <c r="H33" s="327">
        <f t="shared" si="0"/>
        <v>0.84</v>
      </c>
    </row>
    <row r="34" spans="1:8" ht="14.25">
      <c r="A34" s="304" t="s">
        <v>81</v>
      </c>
      <c r="B34" s="649" t="s">
        <v>629</v>
      </c>
      <c r="C34" s="650"/>
      <c r="D34" s="651"/>
      <c r="E34" s="460">
        <f>+'[2]wages and fte calc'!$G$337</f>
        <v>27576.82</v>
      </c>
      <c r="F34" s="459">
        <f>+'[2]VISITS BY PROVIDER'!$T$84</f>
        <v>169</v>
      </c>
      <c r="G34" s="460">
        <f>+'[2]wages and fte calc'!$E$337</f>
        <v>732.5</v>
      </c>
      <c r="H34" s="327">
        <f t="shared" si="0"/>
        <v>0.35</v>
      </c>
    </row>
    <row r="35" spans="1:8" ht="14.25">
      <c r="A35" s="304" t="s">
        <v>241</v>
      </c>
      <c r="B35" s="649" t="s">
        <v>630</v>
      </c>
      <c r="C35" s="650"/>
      <c r="D35" s="651"/>
      <c r="E35" s="460">
        <f>+'[2]wages and fte calc'!$G$345</f>
        <v>61878.39</v>
      </c>
      <c r="F35" s="459">
        <f>+'[2]VISITS BY PROVIDER'!$T$88</f>
        <v>1155</v>
      </c>
      <c r="G35" s="460">
        <f>+'[2]wages and fte calc'!$E$345</f>
        <v>1560.92</v>
      </c>
      <c r="H35" s="327">
        <f t="shared" si="0"/>
        <v>0.75</v>
      </c>
    </row>
    <row r="36" spans="1:8" ht="14.25">
      <c r="A36" s="304" t="s">
        <v>242</v>
      </c>
      <c r="B36" s="649" t="s">
        <v>631</v>
      </c>
      <c r="C36" s="650"/>
      <c r="D36" s="651"/>
      <c r="E36" s="460">
        <f>+'[2]wages and fte calc'!$G$349</f>
        <v>65755.14</v>
      </c>
      <c r="F36" s="459">
        <f>+'[2]VISITS BY PROVIDER'!$T$90</f>
        <v>261</v>
      </c>
      <c r="G36" s="460">
        <f>+'[2]wages and fte calc'!$E$349</f>
        <v>1600.75</v>
      </c>
      <c r="H36" s="327">
        <f t="shared" si="0"/>
        <v>0.77</v>
      </c>
    </row>
    <row r="37" spans="1:8" ht="14.25">
      <c r="A37" s="304" t="s">
        <v>364</v>
      </c>
      <c r="B37" s="649" t="s">
        <v>632</v>
      </c>
      <c r="C37" s="650"/>
      <c r="D37" s="651"/>
      <c r="E37" s="460">
        <f>+'[2]wages and fte calc'!$G$368</f>
        <v>7590.47</v>
      </c>
      <c r="F37" s="459">
        <f>+'[2]VISITS BY PROVIDER'!$T$49</f>
        <v>84</v>
      </c>
      <c r="G37" s="460">
        <f>+'[2]wages and fte calc'!$E$368</f>
        <v>181.5</v>
      </c>
      <c r="H37" s="327">
        <f t="shared" si="0"/>
        <v>0.09</v>
      </c>
    </row>
    <row r="38" spans="1:8" ht="14.25">
      <c r="A38" s="304" t="s">
        <v>382</v>
      </c>
      <c r="B38" s="649" t="s">
        <v>633</v>
      </c>
      <c r="C38" s="650"/>
      <c r="D38" s="651"/>
      <c r="E38" s="460">
        <f>+'[2]wages and fte calc'!$G$437</f>
        <v>48093.10000000001</v>
      </c>
      <c r="F38" s="459">
        <f>+'[2]VISITS BY PROVIDER'!$AC$108</f>
        <v>431</v>
      </c>
      <c r="G38" s="460">
        <f>+'[2]wages and fte calc'!$E$437</f>
        <v>1677</v>
      </c>
      <c r="H38" s="327">
        <f t="shared" si="0"/>
        <v>0.81</v>
      </c>
    </row>
    <row r="39" spans="1:8" ht="14.25">
      <c r="A39" s="304" t="s">
        <v>384</v>
      </c>
      <c r="B39" s="649" t="s">
        <v>634</v>
      </c>
      <c r="C39" s="650"/>
      <c r="D39" s="651"/>
      <c r="E39" s="460">
        <f>+'[2]wages and fte calc'!$G$442</f>
        <v>56072.09</v>
      </c>
      <c r="F39" s="459">
        <f>+'[2]VISITS BY PROVIDER'!$AC$110</f>
        <v>427</v>
      </c>
      <c r="G39" s="460">
        <f>+'[2]wages and fte calc'!$E$442</f>
        <v>1692</v>
      </c>
      <c r="H39" s="327">
        <f t="shared" si="0"/>
        <v>0.81</v>
      </c>
    </row>
    <row r="40" spans="1:8" ht="14.25">
      <c r="A40" s="304"/>
      <c r="B40" s="649"/>
      <c r="C40" s="650"/>
      <c r="D40" s="651"/>
      <c r="E40" s="460"/>
      <c r="F40" s="459"/>
      <c r="G40" s="460"/>
      <c r="H40" s="327"/>
    </row>
    <row r="41" spans="1:8" ht="24.75" customHeight="1" thickBot="1">
      <c r="A41" s="328"/>
      <c r="B41" s="658" t="s">
        <v>269</v>
      </c>
      <c r="C41" s="659"/>
      <c r="D41" s="660"/>
      <c r="E41" s="465">
        <f>SUM(E27:E40)</f>
        <v>720894.07</v>
      </c>
      <c r="F41" s="465">
        <f>SUM(F27:F40)</f>
        <v>9155</v>
      </c>
      <c r="G41" s="465">
        <f>SUM(G27:G40)</f>
        <v>19487.03093409716</v>
      </c>
      <c r="H41" s="465">
        <f>SUM(H27:H40)</f>
        <v>9.38</v>
      </c>
    </row>
    <row r="42" spans="1:8" ht="15" thickTop="1">
      <c r="A42" s="328"/>
      <c r="B42" s="340"/>
      <c r="C42" s="340"/>
      <c r="D42" s="340"/>
      <c r="E42" s="314"/>
      <c r="F42" s="315"/>
      <c r="G42" s="314"/>
      <c r="H42" s="316"/>
    </row>
    <row r="43" spans="1:8" ht="14.25">
      <c r="A43" s="299" t="s">
        <v>174</v>
      </c>
      <c r="B43" s="663" t="s">
        <v>270</v>
      </c>
      <c r="C43" s="664"/>
      <c r="D43" s="668"/>
      <c r="E43" s="301"/>
      <c r="F43" s="301"/>
      <c r="G43" s="319"/>
      <c r="H43" s="320"/>
    </row>
    <row r="44" spans="1:8" ht="14.25">
      <c r="A44" s="304" t="s">
        <v>7</v>
      </c>
      <c r="B44" s="631" t="s">
        <v>589</v>
      </c>
      <c r="C44" s="632"/>
      <c r="D44" s="633"/>
      <c r="E44" s="365">
        <f>+'[2]wages and fte calc'!$G$333</f>
        <v>129004.66</v>
      </c>
      <c r="F44" s="326">
        <f>+'[2]VISITS BY PROVIDER'!$T$82</f>
        <v>2076</v>
      </c>
      <c r="G44" s="326">
        <f>+'[2]wages and fte calc'!$E$333</f>
        <v>2194.91</v>
      </c>
      <c r="H44" s="366">
        <f aca="true" t="shared" si="1" ref="H44:H49">ROUND(G44/2080,2)</f>
        <v>1.06</v>
      </c>
    </row>
    <row r="45" spans="1:8" ht="14.25">
      <c r="A45" s="304" t="s">
        <v>19</v>
      </c>
      <c r="B45" s="631" t="s">
        <v>590</v>
      </c>
      <c r="C45" s="632"/>
      <c r="D45" s="633"/>
      <c r="E45" s="359">
        <f>+'[2]wages and fte calc'!$G$339</f>
        <v>118014</v>
      </c>
      <c r="F45" s="308">
        <f>+'[2]VISITS BY PROVIDER'!$T$87</f>
        <v>1389</v>
      </c>
      <c r="G45" s="308">
        <f>+'[2]wages and fte calc'!$E$339</f>
        <v>1839.25</v>
      </c>
      <c r="H45" s="366">
        <f t="shared" si="1"/>
        <v>0.88</v>
      </c>
    </row>
    <row r="46" spans="1:8" ht="14.25">
      <c r="A46" s="375" t="s">
        <v>152</v>
      </c>
      <c r="B46" s="631" t="s">
        <v>593</v>
      </c>
      <c r="C46" s="632"/>
      <c r="D46" s="633"/>
      <c r="E46" s="306">
        <f>+'[2]wages and fte calc'!$G$348</f>
        <v>83021.30999999998</v>
      </c>
      <c r="F46" s="308">
        <f>+'[2]VISITS BY PROVIDER'!$T$89</f>
        <v>340</v>
      </c>
      <c r="G46" s="308">
        <f>+'[2]wages and fte calc'!$E$348</f>
        <v>1050</v>
      </c>
      <c r="H46" s="366">
        <f>ROUND(G46/2080,2)</f>
        <v>0.5</v>
      </c>
    </row>
    <row r="47" spans="1:8" ht="14.25">
      <c r="A47" s="304" t="s">
        <v>28</v>
      </c>
      <c r="B47" s="321" t="s">
        <v>591</v>
      </c>
      <c r="C47" s="322"/>
      <c r="D47" s="323"/>
      <c r="E47" s="359">
        <f>+'[2]wages and fte calc'!$G$343</f>
        <v>102633.63000000003</v>
      </c>
      <c r="F47" s="308"/>
      <c r="G47" s="308">
        <f>+'[2]wages and fte calc'!$E$343</f>
        <v>2051.08</v>
      </c>
      <c r="H47" s="366">
        <f t="shared" si="1"/>
        <v>0.99</v>
      </c>
    </row>
    <row r="48" spans="1:8" ht="14.25">
      <c r="A48" s="304" t="s">
        <v>38</v>
      </c>
      <c r="B48" s="631" t="s">
        <v>592</v>
      </c>
      <c r="C48" s="632"/>
      <c r="D48" s="633"/>
      <c r="E48" s="306">
        <f>+'[2]wages and fte calc'!$G$347</f>
        <v>92535.38</v>
      </c>
      <c r="F48" s="308"/>
      <c r="G48" s="308">
        <f>+'[2]wages and fte calc'!$E$347</f>
        <v>2152.33</v>
      </c>
      <c r="H48" s="366">
        <f t="shared" si="1"/>
        <v>1.03</v>
      </c>
    </row>
    <row r="49" spans="1:8" ht="14.25">
      <c r="A49" s="304" t="s">
        <v>44</v>
      </c>
      <c r="B49" s="631" t="s">
        <v>495</v>
      </c>
      <c r="C49" s="632"/>
      <c r="D49" s="633"/>
      <c r="E49" s="306">
        <f>+'[2]wages and fte calc'!$G$229</f>
        <v>115443.24000000003</v>
      </c>
      <c r="F49" s="308">
        <f>+'[2]VISITS BY PROVIDER'!$T$80+'[2]VISITS BY PROVIDER'!$T$50</f>
        <v>828</v>
      </c>
      <c r="G49" s="308">
        <f>+'[2]wages and fte calc'!$E$229</f>
        <v>1954.8</v>
      </c>
      <c r="H49" s="366">
        <f t="shared" si="1"/>
        <v>0.94</v>
      </c>
    </row>
    <row r="50" spans="1:8" ht="14.25">
      <c r="A50" s="375"/>
      <c r="B50" s="631"/>
      <c r="C50" s="632"/>
      <c r="D50" s="633"/>
      <c r="E50" s="460"/>
      <c r="F50" s="459"/>
      <c r="G50" s="460"/>
      <c r="H50" s="464"/>
    </row>
    <row r="51" spans="1:8" ht="24.75" customHeight="1" thickBot="1">
      <c r="A51" s="376"/>
      <c r="B51" s="658" t="s">
        <v>271</v>
      </c>
      <c r="C51" s="659"/>
      <c r="D51" s="660"/>
      <c r="E51" s="311">
        <f>SUM(E44:E50)</f>
        <v>640652.22</v>
      </c>
      <c r="F51" s="311">
        <f>SUM(F44:F50)</f>
        <v>4633</v>
      </c>
      <c r="G51" s="311">
        <f>SUM(G44:G50)</f>
        <v>11242.369999999999</v>
      </c>
      <c r="H51" s="465">
        <f>SUM(H44:H50)</f>
        <v>5.4</v>
      </c>
    </row>
    <row r="52" spans="1:8" ht="19.5" customHeight="1" thickBot="1" thickTop="1">
      <c r="A52" s="377"/>
      <c r="B52" s="378"/>
      <c r="C52" s="378"/>
      <c r="D52" s="378"/>
      <c r="E52" s="370"/>
      <c r="F52" s="369"/>
      <c r="G52" s="370"/>
      <c r="H52" s="379"/>
    </row>
    <row r="53" spans="5:8" ht="14.25">
      <c r="E53" s="480"/>
      <c r="F53" s="480"/>
      <c r="G53" s="480"/>
      <c r="H53" s="480"/>
    </row>
    <row r="54" ht="14.25">
      <c r="E54" s="468"/>
    </row>
    <row r="55" ht="14.25">
      <c r="E55" s="480"/>
    </row>
  </sheetData>
  <sheetProtection/>
  <mergeCells count="41">
    <mergeCell ref="B51:D51"/>
    <mergeCell ref="B43:D43"/>
    <mergeCell ref="B44:D44"/>
    <mergeCell ref="B45:D45"/>
    <mergeCell ref="B46:D46"/>
    <mergeCell ref="B50:D50"/>
    <mergeCell ref="B48:D48"/>
    <mergeCell ref="B27:D27"/>
    <mergeCell ref="B28:D28"/>
    <mergeCell ref="B29:D29"/>
    <mergeCell ref="B30:D30"/>
    <mergeCell ref="B31:D31"/>
    <mergeCell ref="B41:D41"/>
    <mergeCell ref="B32:D32"/>
    <mergeCell ref="B33:D33"/>
    <mergeCell ref="B34:D34"/>
    <mergeCell ref="B35:D35"/>
    <mergeCell ref="B21:D21"/>
    <mergeCell ref="B22:D22"/>
    <mergeCell ref="B23:D23"/>
    <mergeCell ref="B24:D24"/>
    <mergeCell ref="B25:D25"/>
    <mergeCell ref="B26:D26"/>
    <mergeCell ref="A13:D15"/>
    <mergeCell ref="G13:H13"/>
    <mergeCell ref="B17:D17"/>
    <mergeCell ref="B18:D18"/>
    <mergeCell ref="B19:D19"/>
    <mergeCell ref="B20:D20"/>
    <mergeCell ref="A1:H1"/>
    <mergeCell ref="A2:H2"/>
    <mergeCell ref="A3:H3"/>
    <mergeCell ref="A4:H4"/>
    <mergeCell ref="C8:G8"/>
    <mergeCell ref="A12:H12"/>
    <mergeCell ref="B36:D36"/>
    <mergeCell ref="B37:D37"/>
    <mergeCell ref="B38:D38"/>
    <mergeCell ref="B39:D39"/>
    <mergeCell ref="B40:D40"/>
    <mergeCell ref="B49:D49"/>
  </mergeCells>
  <printOptions/>
  <pageMargins left="0.7" right="0.7" top="0.75" bottom="0.75" header="0.3" footer="0.3"/>
  <pageSetup horizontalDpi="600" verticalDpi="600" orientation="portrait" scale="6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.57421875" style="272" customWidth="1"/>
    <col min="2" max="4" width="13.140625" style="260" customWidth="1"/>
    <col min="5" max="5" width="12.421875" style="260" bestFit="1" customWidth="1"/>
    <col min="6" max="6" width="14.140625" style="260" bestFit="1" customWidth="1"/>
    <col min="7" max="7" width="13.421875" style="260" bestFit="1" customWidth="1"/>
    <col min="8" max="8" width="13.7109375" style="260" bestFit="1" customWidth="1"/>
    <col min="9" max="9" width="8.140625" style="260" customWidth="1"/>
    <col min="10" max="10" width="10.8515625" style="260" bestFit="1" customWidth="1"/>
    <col min="11" max="11" width="11.00390625" style="260" bestFit="1" customWidth="1"/>
    <col min="12" max="13" width="12.140625" style="260" customWidth="1"/>
    <col min="14" max="16384" width="9.140625" style="260" customWidth="1"/>
  </cols>
  <sheetData>
    <row r="1" spans="1:22" ht="14.2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2"/>
      <c r="O1" s="52"/>
      <c r="P1" s="52"/>
      <c r="Q1" s="52"/>
      <c r="R1" s="52"/>
      <c r="S1" s="52"/>
      <c r="T1" s="52"/>
      <c r="U1" s="52"/>
      <c r="V1" s="52"/>
    </row>
    <row r="2" spans="1:22" ht="14.2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2"/>
      <c r="O2" s="52"/>
      <c r="P2" s="52"/>
      <c r="Q2" s="52"/>
      <c r="R2" s="52"/>
      <c r="S2" s="52"/>
      <c r="T2" s="52"/>
      <c r="U2" s="52"/>
      <c r="V2" s="52"/>
    </row>
    <row r="3" spans="1:22" ht="14.2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2"/>
      <c r="O3" s="52"/>
      <c r="P3" s="52"/>
      <c r="Q3" s="52"/>
      <c r="R3" s="52"/>
      <c r="S3" s="52"/>
      <c r="T3" s="52"/>
      <c r="U3" s="52"/>
      <c r="V3" s="52"/>
    </row>
    <row r="4" spans="1:22" ht="14.2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2"/>
      <c r="O4" s="52"/>
      <c r="P4" s="52"/>
      <c r="Q4" s="52"/>
      <c r="R4" s="52"/>
      <c r="S4" s="52"/>
      <c r="T4" s="52"/>
      <c r="U4" s="52"/>
      <c r="V4" s="52"/>
    </row>
    <row r="5" spans="1:22" ht="15" thickBot="1">
      <c r="A5" s="175"/>
      <c r="B5" s="2"/>
      <c r="C5" s="2"/>
      <c r="D5" s="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1" ht="14.25">
      <c r="A6" s="176"/>
      <c r="B6" s="55" t="s">
        <v>49</v>
      </c>
      <c r="C6" s="55"/>
      <c r="D6" s="56" t="s">
        <v>23</v>
      </c>
      <c r="E6" s="262">
        <f>'[1]P1 Info &amp; Certification'!L20</f>
        <v>43831</v>
      </c>
      <c r="F6" s="74"/>
      <c r="G6" s="74"/>
      <c r="H6" s="74"/>
      <c r="I6" s="74"/>
      <c r="J6" s="74"/>
      <c r="K6" s="263"/>
      <c r="L6" s="75" t="str">
        <f>'[1]P1 Info &amp; Certification'!M20</f>
        <v>To</v>
      </c>
      <c r="M6" s="264">
        <f>'[1]P1 Info &amp; Certification'!N20</f>
        <v>44196</v>
      </c>
      <c r="N6" s="265"/>
      <c r="O6" s="266"/>
      <c r="P6" s="2"/>
      <c r="Q6" s="76"/>
      <c r="R6" s="60"/>
      <c r="S6" s="265"/>
      <c r="T6" s="265"/>
      <c r="U6" s="60"/>
    </row>
    <row r="7" spans="1:21" ht="14.25">
      <c r="A7" s="267"/>
      <c r="B7" s="60"/>
      <c r="C7" s="60"/>
      <c r="D7" s="60"/>
      <c r="E7" s="2"/>
      <c r="F7" s="2"/>
      <c r="G7" s="2"/>
      <c r="H7" s="2"/>
      <c r="I7" s="2"/>
      <c r="J7" s="2"/>
      <c r="K7" s="2"/>
      <c r="L7" s="2"/>
      <c r="M7" s="62"/>
      <c r="N7" s="2"/>
      <c r="O7" s="2"/>
      <c r="P7" s="2"/>
      <c r="Q7" s="2"/>
      <c r="R7" s="2"/>
      <c r="S7" s="2"/>
      <c r="T7" s="2"/>
      <c r="U7" s="2"/>
    </row>
    <row r="8" spans="1:21" ht="22.5" customHeight="1" thickBot="1">
      <c r="A8" s="178"/>
      <c r="B8" s="64" t="s">
        <v>50</v>
      </c>
      <c r="C8" s="577" t="str">
        <f>'[1]P1 Info &amp; Certification'!E12</f>
        <v>CIFC Inc./ Greater Danbury Community Health Center</v>
      </c>
      <c r="D8" s="577"/>
      <c r="E8" s="577"/>
      <c r="F8" s="577"/>
      <c r="G8" s="577"/>
      <c r="H8" s="577"/>
      <c r="I8" s="577"/>
      <c r="J8" s="577"/>
      <c r="K8" s="577"/>
      <c r="L8" s="577"/>
      <c r="M8" s="81"/>
      <c r="N8" s="268"/>
      <c r="O8" s="268"/>
      <c r="P8" s="268"/>
      <c r="Q8" s="268"/>
      <c r="R8" s="268"/>
      <c r="S8" s="268"/>
      <c r="T8" s="268"/>
      <c r="U8" s="268"/>
    </row>
    <row r="9" spans="1:21" ht="14.25">
      <c r="A9" s="269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271"/>
      <c r="P9" s="271"/>
      <c r="Q9" s="271"/>
      <c r="R9" s="271"/>
      <c r="S9" s="271"/>
      <c r="T9" s="271"/>
      <c r="U9" s="271"/>
    </row>
    <row r="11" ht="15" thickBot="1">
      <c r="M11" s="273" t="s">
        <v>272</v>
      </c>
    </row>
    <row r="12" spans="1:13" ht="15">
      <c r="A12" s="634" t="s">
        <v>273</v>
      </c>
      <c r="B12" s="635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7"/>
    </row>
    <row r="13" spans="1:13" ht="14.25">
      <c r="A13" s="638" t="s">
        <v>273</v>
      </c>
      <c r="B13" s="639"/>
      <c r="C13" s="639"/>
      <c r="D13" s="669"/>
      <c r="E13" s="275"/>
      <c r="F13" s="275"/>
      <c r="G13" s="380" t="s">
        <v>274</v>
      </c>
      <c r="H13" s="381"/>
      <c r="I13" s="380" t="s">
        <v>275</v>
      </c>
      <c r="J13" s="381"/>
      <c r="K13" s="276"/>
      <c r="L13" s="644" t="s">
        <v>276</v>
      </c>
      <c r="M13" s="645"/>
    </row>
    <row r="14" spans="1:13" ht="14.25">
      <c r="A14" s="640"/>
      <c r="B14" s="641"/>
      <c r="C14" s="641"/>
      <c r="D14" s="641"/>
      <c r="E14" s="278" t="s">
        <v>277</v>
      </c>
      <c r="F14" s="278" t="s">
        <v>104</v>
      </c>
      <c r="G14" s="278"/>
      <c r="H14" s="278"/>
      <c r="I14" s="278"/>
      <c r="J14" s="278"/>
      <c r="K14" s="279"/>
      <c r="L14" s="280" t="s">
        <v>231</v>
      </c>
      <c r="M14" s="281" t="s">
        <v>278</v>
      </c>
    </row>
    <row r="15" spans="1:13" ht="14.25">
      <c r="A15" s="642"/>
      <c r="B15" s="643"/>
      <c r="C15" s="643"/>
      <c r="D15" s="643"/>
      <c r="E15" s="283" t="s">
        <v>279</v>
      </c>
      <c r="F15" s="283" t="s">
        <v>234</v>
      </c>
      <c r="G15" s="283" t="s">
        <v>280</v>
      </c>
      <c r="H15" s="283" t="s">
        <v>281</v>
      </c>
      <c r="I15" s="283" t="s">
        <v>282</v>
      </c>
      <c r="J15" s="283" t="s">
        <v>283</v>
      </c>
      <c r="K15" s="284" t="s">
        <v>235</v>
      </c>
      <c r="L15" s="285" t="s">
        <v>236</v>
      </c>
      <c r="M15" s="286" t="s">
        <v>284</v>
      </c>
    </row>
    <row r="16" spans="1:13" ht="14.25">
      <c r="A16" s="287"/>
      <c r="B16" s="288"/>
      <c r="C16" s="288"/>
      <c r="D16" s="288"/>
      <c r="E16" s="290" t="s">
        <v>111</v>
      </c>
      <c r="F16" s="290" t="s">
        <v>112</v>
      </c>
      <c r="G16" s="290" t="s">
        <v>113</v>
      </c>
      <c r="H16" s="290" t="s">
        <v>114</v>
      </c>
      <c r="I16" s="290" t="s">
        <v>115</v>
      </c>
      <c r="J16" s="290" t="s">
        <v>116</v>
      </c>
      <c r="K16" s="291" t="s">
        <v>117</v>
      </c>
      <c r="L16" s="292" t="s">
        <v>285</v>
      </c>
      <c r="M16" s="293" t="s">
        <v>286</v>
      </c>
    </row>
    <row r="17" spans="1:13" ht="14.25">
      <c r="A17" s="294"/>
      <c r="B17" s="646"/>
      <c r="C17" s="647"/>
      <c r="D17" s="647"/>
      <c r="E17" s="297">
        <v>4</v>
      </c>
      <c r="F17" s="297">
        <v>500000</v>
      </c>
      <c r="G17" s="297">
        <v>150000</v>
      </c>
      <c r="H17" s="297">
        <v>100000</v>
      </c>
      <c r="I17" s="297">
        <v>2</v>
      </c>
      <c r="J17" s="297">
        <v>1</v>
      </c>
      <c r="K17" s="297">
        <v>10000</v>
      </c>
      <c r="L17" s="297">
        <v>8320</v>
      </c>
      <c r="M17" s="298">
        <f>L17/2080</f>
        <v>4</v>
      </c>
    </row>
    <row r="18" spans="1:13" ht="14.25">
      <c r="A18" s="299" t="s">
        <v>109</v>
      </c>
      <c r="B18" s="663" t="s">
        <v>287</v>
      </c>
      <c r="C18" s="664"/>
      <c r="D18" s="668"/>
      <c r="E18" s="301"/>
      <c r="F18" s="301"/>
      <c r="G18" s="301"/>
      <c r="H18" s="301"/>
      <c r="I18" s="301"/>
      <c r="J18" s="301"/>
      <c r="K18" s="301"/>
      <c r="L18" s="319"/>
      <c r="M18" s="320"/>
    </row>
    <row r="19" spans="1:13" ht="14.25">
      <c r="A19" s="309" t="s">
        <v>7</v>
      </c>
      <c r="B19" s="665" t="s">
        <v>240</v>
      </c>
      <c r="C19" s="666"/>
      <c r="D19" s="667"/>
      <c r="E19" s="359">
        <v>19</v>
      </c>
      <c r="F19" s="359">
        <f>+SUM('P8 Form B-1 Visits-FTE Hlth2'!F19:F38)</f>
        <v>2345928.7800000003</v>
      </c>
      <c r="G19" s="359">
        <f>+'P8 Form B-1 Visits-FTE Hlth2'!F24</f>
        <v>243246.33</v>
      </c>
      <c r="H19" s="359">
        <f>+'P8 Form B-1 Visits-FTE Hlth2'!F29</f>
        <v>6250</v>
      </c>
      <c r="I19" s="359">
        <f>+'[4]All other Med staff'!$E$22</f>
        <v>4</v>
      </c>
      <c r="J19" s="359">
        <f>+'[4]All other Med staff'!$G$22</f>
        <v>2</v>
      </c>
      <c r="K19" s="306">
        <f>+'P8 Form B-1 Visits-FTE Hlth2'!G73</f>
        <v>23802</v>
      </c>
      <c r="L19" s="306">
        <f>+SUM('P8 Form B-1 Visits-FTE Hlth2'!H19:H38)</f>
        <v>28033.050000000003</v>
      </c>
      <c r="M19" s="360">
        <f aca="true" t="shared" si="0" ref="M19:M26">ROUND(L19/2080,2)</f>
        <v>13.48</v>
      </c>
    </row>
    <row r="20" spans="1:13" ht="14.25">
      <c r="A20" s="309" t="s">
        <v>19</v>
      </c>
      <c r="B20" s="665" t="s">
        <v>583</v>
      </c>
      <c r="C20" s="666"/>
      <c r="D20" s="667"/>
      <c r="E20" s="359">
        <v>34</v>
      </c>
      <c r="F20" s="359">
        <f>+SUM('P8 Form B-1 Visits-FTE Hlth2'!F39:F72)</f>
        <v>1798150.36</v>
      </c>
      <c r="G20" s="359">
        <f>+'P8 Form B-1 Visits-FTE Hlth2'!F66</f>
        <v>67507.07999999997</v>
      </c>
      <c r="H20" s="359">
        <f>+'P8 Form B-1 Visits-FTE Hlth2'!F46</f>
        <v>32850</v>
      </c>
      <c r="I20" s="359">
        <f>+'[4]All other Med staff'!$E$64</f>
        <v>10</v>
      </c>
      <c r="J20" s="359">
        <f>+'[4]All other Med staff'!$G$64</f>
        <v>14</v>
      </c>
      <c r="K20" s="306"/>
      <c r="L20" s="306">
        <f>+SUM('P8 Form B-1 Visits-FTE Hlth2'!H39:H72)</f>
        <v>60838.75</v>
      </c>
      <c r="M20" s="360">
        <f t="shared" si="0"/>
        <v>29.25</v>
      </c>
    </row>
    <row r="21" spans="1:13" ht="14.25">
      <c r="A21" s="309" t="s">
        <v>152</v>
      </c>
      <c r="B21" s="665" t="s">
        <v>244</v>
      </c>
      <c r="C21" s="666"/>
      <c r="D21" s="667"/>
      <c r="E21" s="359"/>
      <c r="F21" s="359"/>
      <c r="G21" s="359"/>
      <c r="H21" s="359"/>
      <c r="I21" s="359"/>
      <c r="J21" s="359"/>
      <c r="K21" s="308"/>
      <c r="L21" s="306"/>
      <c r="M21" s="360">
        <f t="shared" si="0"/>
        <v>0</v>
      </c>
    </row>
    <row r="22" spans="1:13" ht="14.25">
      <c r="A22" s="309" t="s">
        <v>28</v>
      </c>
      <c r="B22" s="665" t="s">
        <v>247</v>
      </c>
      <c r="C22" s="666"/>
      <c r="D22" s="667"/>
      <c r="E22" s="359">
        <v>15</v>
      </c>
      <c r="F22" s="359">
        <f>+'P9 Form B-1 Visits-FTE Hlth2'!F35</f>
        <v>988752.5499999999</v>
      </c>
      <c r="G22" s="359">
        <f>+'P9 Form B-1 Visits-FTE Hlth2'!F34</f>
        <v>106357.5</v>
      </c>
      <c r="H22" s="359">
        <f>+'P9 Form B-1 Visits-FTE Hlth2'!F29</f>
        <v>31437.600000000002</v>
      </c>
      <c r="I22" s="359">
        <f>+'[4]All other Med staff'!$F$86</f>
        <v>2</v>
      </c>
      <c r="J22" s="359">
        <f>+'[4]All other Med staff'!$G$86</f>
        <v>3</v>
      </c>
      <c r="K22" s="306">
        <f>+'P9 Form B-1 Visits-FTE Hlth2'!G35</f>
        <v>3082</v>
      </c>
      <c r="L22" s="306">
        <f>+'P9 Form B-1 Visits-FTE Hlth2'!H35</f>
        <v>22362.152146000168</v>
      </c>
      <c r="M22" s="360">
        <f t="shared" si="0"/>
        <v>10.75</v>
      </c>
    </row>
    <row r="23" spans="1:13" ht="14.25">
      <c r="A23" s="309" t="s">
        <v>38</v>
      </c>
      <c r="B23" s="665" t="s">
        <v>130</v>
      </c>
      <c r="C23" s="666"/>
      <c r="D23" s="667"/>
      <c r="E23" s="359"/>
      <c r="F23" s="359">
        <f>+'P3 Form A-1 Health Care'!D25</f>
        <v>923768</v>
      </c>
      <c r="G23" s="359"/>
      <c r="H23" s="359"/>
      <c r="I23" s="359"/>
      <c r="J23" s="359"/>
      <c r="K23" s="308">
        <f>+'P9 Form B-1 Visits-FTE Hlth2'!G38</f>
        <v>16125.292000000001</v>
      </c>
      <c r="L23" s="306">
        <v>0</v>
      </c>
      <c r="M23" s="360">
        <f t="shared" si="0"/>
        <v>0</v>
      </c>
    </row>
    <row r="24" spans="1:13" ht="14.25">
      <c r="A24" s="309" t="s">
        <v>44</v>
      </c>
      <c r="B24" s="665" t="s">
        <v>288</v>
      </c>
      <c r="C24" s="666"/>
      <c r="D24" s="667"/>
      <c r="E24" s="359"/>
      <c r="F24" s="359"/>
      <c r="G24" s="359"/>
      <c r="H24" s="359"/>
      <c r="I24" s="359"/>
      <c r="J24" s="359"/>
      <c r="K24" s="308"/>
      <c r="L24" s="306"/>
      <c r="M24" s="360">
        <f t="shared" si="0"/>
        <v>0</v>
      </c>
    </row>
    <row r="25" spans="1:13" ht="14.25">
      <c r="A25" s="309" t="s">
        <v>51</v>
      </c>
      <c r="B25" s="665" t="s">
        <v>289</v>
      </c>
      <c r="C25" s="666"/>
      <c r="D25" s="667"/>
      <c r="E25" s="359">
        <v>37</v>
      </c>
      <c r="F25" s="359">
        <f>+'P9 Form B-1 Visits-FTE Hlth2'!F89</f>
        <v>1347318.6600000001</v>
      </c>
      <c r="G25" s="359">
        <f>+'P9 Form B-1 Visits-FTE Hlth2'!F82</f>
        <v>78470.6</v>
      </c>
      <c r="H25" s="359">
        <f>+'P9 Form B-1 Visits-FTE Hlth2'!F62</f>
        <v>9326.199999999999</v>
      </c>
      <c r="I25" s="359">
        <f>+'[4]All other Med staff'!$E$130</f>
        <v>4</v>
      </c>
      <c r="J25" s="359">
        <f>+'[4]All other Med staff'!$G$130</f>
        <v>8</v>
      </c>
      <c r="K25" s="308">
        <f>+'P9 Form B-1 Visits-FTE Hlth2'!G88</f>
        <v>705</v>
      </c>
      <c r="L25" s="306">
        <f>+'P9 Form B-1 Visits-FTE Hlth2'!H89</f>
        <v>69956.8964621877</v>
      </c>
      <c r="M25" s="360">
        <f t="shared" si="0"/>
        <v>33.63</v>
      </c>
    </row>
    <row r="26" spans="1:13" ht="14.25">
      <c r="A26" s="309" t="s">
        <v>81</v>
      </c>
      <c r="B26" s="665" t="s">
        <v>290</v>
      </c>
      <c r="C26" s="666"/>
      <c r="D26" s="667"/>
      <c r="E26" s="359"/>
      <c r="F26" s="359"/>
      <c r="G26" s="359"/>
      <c r="H26" s="359"/>
      <c r="I26" s="359"/>
      <c r="J26" s="359"/>
      <c r="K26" s="308"/>
      <c r="L26" s="306"/>
      <c r="M26" s="360">
        <f t="shared" si="0"/>
        <v>0</v>
      </c>
    </row>
    <row r="27" spans="1:13" ht="24.75" customHeight="1" thickBot="1">
      <c r="A27" s="309"/>
      <c r="B27" s="655" t="s">
        <v>291</v>
      </c>
      <c r="C27" s="656"/>
      <c r="D27" s="657"/>
      <c r="E27" s="361">
        <f>SUM(E19:E26)</f>
        <v>105</v>
      </c>
      <c r="F27" s="361">
        <f>SUM(F19:F26)</f>
        <v>7403918.350000001</v>
      </c>
      <c r="G27" s="385"/>
      <c r="H27" s="385"/>
      <c r="I27" s="361">
        <f>SUM(I19:I26)</f>
        <v>20</v>
      </c>
      <c r="J27" s="361">
        <f>SUM(J19:J26)</f>
        <v>27</v>
      </c>
      <c r="K27" s="361">
        <f>SUM(K19:K26)</f>
        <v>43714.292</v>
      </c>
      <c r="L27" s="361">
        <f>SUM(L19:L26)</f>
        <v>181190.84860818787</v>
      </c>
      <c r="M27" s="362">
        <f>SUM(M19:M26)</f>
        <v>87.11000000000001</v>
      </c>
    </row>
    <row r="28" spans="1:13" ht="15" thickTop="1">
      <c r="A28" s="309"/>
      <c r="B28" s="673"/>
      <c r="C28" s="673"/>
      <c r="D28" s="673"/>
      <c r="E28" s="363"/>
      <c r="F28" s="363"/>
      <c r="G28" s="363"/>
      <c r="H28" s="363"/>
      <c r="I28" s="363"/>
      <c r="J28" s="363"/>
      <c r="K28" s="315"/>
      <c r="L28" s="314"/>
      <c r="M28" s="364"/>
    </row>
    <row r="29" spans="1:13" ht="14.25">
      <c r="A29" s="299" t="s">
        <v>155</v>
      </c>
      <c r="B29" s="663" t="s">
        <v>292</v>
      </c>
      <c r="C29" s="664"/>
      <c r="D29" s="668"/>
      <c r="E29" s="301"/>
      <c r="F29" s="301"/>
      <c r="G29" s="301"/>
      <c r="H29" s="301"/>
      <c r="I29" s="301"/>
      <c r="J29" s="301"/>
      <c r="K29" s="301"/>
      <c r="L29" s="319"/>
      <c r="M29" s="320"/>
    </row>
    <row r="30" spans="1:13" ht="14.25">
      <c r="A30" s="309" t="s">
        <v>7</v>
      </c>
      <c r="B30" s="665" t="s">
        <v>256</v>
      </c>
      <c r="C30" s="666"/>
      <c r="D30" s="667"/>
      <c r="E30" s="325">
        <v>3</v>
      </c>
      <c r="F30" s="325">
        <f>+'P10  Form B-1 Visits-FTE Dental'!E24</f>
        <v>270190.06</v>
      </c>
      <c r="G30" s="325">
        <f>+'P10  Form B-1 Visits-FTE Dental'!E19</f>
        <v>142398.91999999998</v>
      </c>
      <c r="H30" s="325">
        <f>+'P10  Form B-1 Visits-FTE Dental'!E21</f>
        <v>53451.380000000005</v>
      </c>
      <c r="I30" s="325">
        <v>0</v>
      </c>
      <c r="J30" s="325">
        <v>0</v>
      </c>
      <c r="K30" s="326">
        <f>+'P10  Form B-1 Visits-FTE Dental'!F24</f>
        <v>1341</v>
      </c>
      <c r="L30" s="325">
        <f>+'P10  Form B-1 Visits-FTE Dental'!G24</f>
        <v>3035.71</v>
      </c>
      <c r="M30" s="327">
        <f>ROUND(L30/2080,2)</f>
        <v>1.46</v>
      </c>
    </row>
    <row r="31" spans="1:13" ht="14.25">
      <c r="A31" s="309" t="s">
        <v>19</v>
      </c>
      <c r="B31" s="665" t="s">
        <v>258</v>
      </c>
      <c r="C31" s="666"/>
      <c r="D31" s="667"/>
      <c r="E31" s="306">
        <v>2</v>
      </c>
      <c r="F31" s="306">
        <f>+'P10  Form B-1 Visits-FTE Dental'!E32</f>
        <v>109510.78</v>
      </c>
      <c r="G31" s="306">
        <f>+'P10  Form B-1 Visits-FTE Dental'!E27</f>
        <v>57207.299999999996</v>
      </c>
      <c r="H31" s="306">
        <f>+'P10  Form B-1 Visits-FTE Dental'!E28</f>
        <v>52303.479999999996</v>
      </c>
      <c r="I31" s="306">
        <v>0</v>
      </c>
      <c r="J31" s="306">
        <v>0</v>
      </c>
      <c r="K31" s="308">
        <f>+'P10  Form B-1 Visits-FTE Dental'!F32</f>
        <v>769</v>
      </c>
      <c r="L31" s="306">
        <f>+'P10  Form B-1 Visits-FTE Dental'!G32</f>
        <v>2836.894857367618</v>
      </c>
      <c r="M31" s="327">
        <f>ROUND(L31/2080,2)</f>
        <v>1.36</v>
      </c>
    </row>
    <row r="32" spans="1:13" ht="14.25">
      <c r="A32" s="309" t="s">
        <v>152</v>
      </c>
      <c r="B32" s="665" t="s">
        <v>293</v>
      </c>
      <c r="C32" s="666"/>
      <c r="D32" s="667"/>
      <c r="E32" s="306">
        <v>3</v>
      </c>
      <c r="F32" s="306">
        <f>+'P10  Form B-1 Visits-FTE Dental'!E40</f>
        <v>82643.90000000001</v>
      </c>
      <c r="G32" s="306">
        <f>+'P10  Form B-1 Visits-FTE Dental'!E36</f>
        <v>35413.65</v>
      </c>
      <c r="H32" s="306">
        <f>+'P10  Form B-1 Visits-FTE Dental'!E37</f>
        <v>21542.210000000003</v>
      </c>
      <c r="I32" s="306">
        <v>1</v>
      </c>
      <c r="J32" s="306">
        <v>1</v>
      </c>
      <c r="K32" s="308">
        <f>+'P10  Form B-1 Visits-FTE Dental'!F40</f>
        <v>0</v>
      </c>
      <c r="L32" s="306">
        <f>+'P10  Form B-1 Visits-FTE Dental'!G40</f>
        <v>4501.1639401119055</v>
      </c>
      <c r="M32" s="327">
        <f>ROUND(L32/2080,2)</f>
        <v>2.16</v>
      </c>
    </row>
    <row r="33" spans="1:13" ht="24.75" customHeight="1" thickBot="1">
      <c r="A33" s="328"/>
      <c r="B33" s="658" t="s">
        <v>294</v>
      </c>
      <c r="C33" s="659"/>
      <c r="D33" s="660"/>
      <c r="E33" s="311">
        <f>SUM(E30:E32)</f>
        <v>8</v>
      </c>
      <c r="F33" s="311">
        <f>SUM(F30:F32)</f>
        <v>462344.74</v>
      </c>
      <c r="G33" s="385"/>
      <c r="H33" s="385"/>
      <c r="I33" s="311">
        <f>SUM(I30:I32)</f>
        <v>1</v>
      </c>
      <c r="J33" s="311">
        <f>SUM(J30:J32)</f>
        <v>1</v>
      </c>
      <c r="K33" s="311">
        <f>SUM(K30:K32)</f>
        <v>2110</v>
      </c>
      <c r="L33" s="311">
        <f>SUM(L30:L32)</f>
        <v>10373.768797479523</v>
      </c>
      <c r="M33" s="312">
        <f>SUM(M30:M32)</f>
        <v>4.98</v>
      </c>
    </row>
    <row r="34" spans="1:13" ht="15" thickTop="1">
      <c r="A34" s="328"/>
      <c r="B34" s="340"/>
      <c r="C34" s="340"/>
      <c r="D34" s="340"/>
      <c r="E34" s="314"/>
      <c r="F34" s="314"/>
      <c r="G34" s="314"/>
      <c r="H34" s="314"/>
      <c r="I34" s="314"/>
      <c r="J34" s="314"/>
      <c r="K34" s="315"/>
      <c r="L34" s="314"/>
      <c r="M34" s="316"/>
    </row>
    <row r="35" spans="1:13" ht="14.25">
      <c r="A35" s="299" t="s">
        <v>174</v>
      </c>
      <c r="B35" s="663" t="s">
        <v>295</v>
      </c>
      <c r="C35" s="664"/>
      <c r="D35" s="668"/>
      <c r="E35" s="301"/>
      <c r="F35" s="301"/>
      <c r="G35" s="301"/>
      <c r="H35" s="301"/>
      <c r="I35" s="301"/>
      <c r="J35" s="301"/>
      <c r="K35" s="301"/>
      <c r="L35" s="319"/>
      <c r="M35" s="320"/>
    </row>
    <row r="36" spans="1:13" ht="14.25">
      <c r="A36" s="309" t="s">
        <v>7</v>
      </c>
      <c r="B36" s="665" t="s">
        <v>296</v>
      </c>
      <c r="C36" s="666"/>
      <c r="D36" s="667"/>
      <c r="E36" s="365">
        <v>2</v>
      </c>
      <c r="F36" s="365">
        <f>+'P11 Form B-1 Visits-FTE Mental'!E20+'P11 Form B-1 Visits-FTE Mental'!E21</f>
        <v>442920.1299999999</v>
      </c>
      <c r="G36" s="365">
        <f>+'P11 Form B-1 Visits-FTE Mental'!E20</f>
        <v>221736.7999999999</v>
      </c>
      <c r="H36" s="365">
        <f>+'P11 Form B-1 Visits-FTE Mental'!E21</f>
        <v>221183.33</v>
      </c>
      <c r="I36" s="365">
        <v>0</v>
      </c>
      <c r="J36" s="365">
        <v>0</v>
      </c>
      <c r="K36" s="326">
        <f>+'P11 Form B-1 Visits-FTE Mental'!F20+'P11 Form B-1 Visits-FTE Mental'!F21</f>
        <v>2812</v>
      </c>
      <c r="L36" s="325">
        <f>+'P11 Form B-1 Visits-FTE Mental'!G20+'P11 Form B-1 Visits-FTE Mental'!G21</f>
        <v>4120.8099999999995</v>
      </c>
      <c r="M36" s="366">
        <f>ROUND(L36/2080,2)</f>
        <v>1.98</v>
      </c>
    </row>
    <row r="37" spans="1:13" ht="14.25">
      <c r="A37" s="309" t="s">
        <v>19</v>
      </c>
      <c r="B37" s="665" t="s">
        <v>515</v>
      </c>
      <c r="C37" s="666"/>
      <c r="D37" s="667"/>
      <c r="E37" s="359">
        <v>1</v>
      </c>
      <c r="F37" s="359">
        <f>+'P11 Form B-1 Visits-FTE Mental'!E19</f>
        <v>47826.89</v>
      </c>
      <c r="G37" s="359">
        <f>+'P11 Form B-1 Visits-FTE Mental'!E19</f>
        <v>47826.89</v>
      </c>
      <c r="H37" s="359">
        <f>+'P11 Form B-1 Visits-FTE Mental'!E19</f>
        <v>47826.89</v>
      </c>
      <c r="I37" s="359">
        <v>0</v>
      </c>
      <c r="J37" s="359">
        <v>0</v>
      </c>
      <c r="K37" s="308">
        <f>+'P11 Form B-1 Visits-FTE Mental'!F19</f>
        <v>663</v>
      </c>
      <c r="L37" s="306">
        <f>+'P11 Form B-1 Visits-FTE Mental'!G19</f>
        <v>1244</v>
      </c>
      <c r="M37" s="366">
        <f>ROUND(L37/2080,2)</f>
        <v>0.6</v>
      </c>
    </row>
    <row r="38" spans="1:13" ht="14.25">
      <c r="A38" s="309" t="s">
        <v>152</v>
      </c>
      <c r="B38" s="382" t="s">
        <v>297</v>
      </c>
      <c r="C38" s="383"/>
      <c r="D38" s="384"/>
      <c r="E38" s="359">
        <v>13</v>
      </c>
      <c r="F38" s="359">
        <f>+'P11 Form B-1 Visits-FTE Mental'!E41</f>
        <v>720894.07</v>
      </c>
      <c r="G38" s="359">
        <f>+'P11 Form B-1 Visits-FTE Mental'!E31</f>
        <v>90538.95000000001</v>
      </c>
      <c r="H38" s="359">
        <f>+'P11 Form B-1 Visits-FTE Mental'!E37</f>
        <v>7590.47</v>
      </c>
      <c r="I38" s="359">
        <v>3</v>
      </c>
      <c r="J38" s="359">
        <v>1</v>
      </c>
      <c r="K38" s="308">
        <f>+'P11 Form B-1 Visits-FTE Mental'!F41</f>
        <v>9155</v>
      </c>
      <c r="L38" s="306">
        <f>+'P11 Form B-1 Visits-FTE Mental'!G41</f>
        <v>19487.03093409716</v>
      </c>
      <c r="M38" s="366">
        <f>ROUND(L38/2080,2)</f>
        <v>9.37</v>
      </c>
    </row>
    <row r="39" spans="1:13" ht="14.25">
      <c r="A39" s="309" t="s">
        <v>28</v>
      </c>
      <c r="B39" s="386" t="s">
        <v>298</v>
      </c>
      <c r="C39" s="387"/>
      <c r="D39" s="388"/>
      <c r="E39" s="359">
        <v>3</v>
      </c>
      <c r="F39" s="359">
        <f>+SUM('P11 Form B-1 Visits-FTE Mental'!E44:E46)</f>
        <v>330039.97</v>
      </c>
      <c r="G39" s="359">
        <f>+'P11 Form B-1 Visits-FTE Mental'!E49</f>
        <v>115443.24000000003</v>
      </c>
      <c r="H39" s="359">
        <f>+'P11 Form B-1 Visits-FTE Mental'!E44</f>
        <v>129004.66</v>
      </c>
      <c r="I39" s="359">
        <v>1</v>
      </c>
      <c r="J39" s="359">
        <v>1</v>
      </c>
      <c r="K39" s="308">
        <f>+SUM('P11 Form B-1 Visits-FTE Mental'!F44:F46)</f>
        <v>3805</v>
      </c>
      <c r="L39" s="306">
        <f>+SUM('P11 Form B-1 Visits-FTE Mental'!G44:G46)</f>
        <v>5084.16</v>
      </c>
      <c r="M39" s="366">
        <f>ROUND(L39/2080,2)</f>
        <v>2.44</v>
      </c>
    </row>
    <row r="40" spans="1:13" ht="14.25">
      <c r="A40" s="389" t="s">
        <v>38</v>
      </c>
      <c r="B40" s="382" t="s">
        <v>299</v>
      </c>
      <c r="C40" s="383"/>
      <c r="D40" s="384"/>
      <c r="E40" s="306">
        <v>3</v>
      </c>
      <c r="F40" s="306">
        <f>+SUM('P11 Form B-1 Visits-FTE Mental'!E47:E49)</f>
        <v>310612.25000000006</v>
      </c>
      <c r="G40" s="306">
        <f>+'P11 Form B-1 Visits-FTE Mental'!E46</f>
        <v>83021.30999999998</v>
      </c>
      <c r="H40" s="306">
        <f>+'P11 Form B-1 Visits-FTE Mental'!E47</f>
        <v>102633.63000000003</v>
      </c>
      <c r="I40" s="306">
        <v>0</v>
      </c>
      <c r="J40" s="306">
        <v>0</v>
      </c>
      <c r="K40" s="308">
        <f>+'P11 Form B-1 Visits-FTE Mental'!F49</f>
        <v>828</v>
      </c>
      <c r="L40" s="306">
        <f>+SUM('P11 Form B-1 Visits-FTE Mental'!G47:G49)</f>
        <v>6158.21</v>
      </c>
      <c r="M40" s="327">
        <f>ROUND(L40/2080,2)</f>
        <v>2.96</v>
      </c>
    </row>
    <row r="41" spans="1:13" ht="24.75" customHeight="1" thickBot="1">
      <c r="A41" s="376"/>
      <c r="B41" s="658" t="s">
        <v>300</v>
      </c>
      <c r="C41" s="659"/>
      <c r="D41" s="660"/>
      <c r="E41" s="311">
        <f>SUM(E36:E40)</f>
        <v>22</v>
      </c>
      <c r="F41" s="311">
        <f>SUM(F36:F40)</f>
        <v>1852293.3099999998</v>
      </c>
      <c r="G41" s="385"/>
      <c r="H41" s="385"/>
      <c r="I41" s="311">
        <f>SUM(I36:I40)</f>
        <v>4</v>
      </c>
      <c r="J41" s="311">
        <f>SUM(J36:J40)</f>
        <v>2</v>
      </c>
      <c r="K41" s="311">
        <f>SUM(K36:K40)</f>
        <v>17263</v>
      </c>
      <c r="L41" s="311">
        <f>SUM(L36:L40)</f>
        <v>36094.210934097166</v>
      </c>
      <c r="M41" s="312">
        <f>SUM(M36:M40)</f>
        <v>17.349999999999998</v>
      </c>
    </row>
    <row r="42" spans="1:13" ht="19.5" customHeight="1" thickBot="1" thickTop="1">
      <c r="A42" s="377"/>
      <c r="B42" s="378"/>
      <c r="C42" s="378"/>
      <c r="D42" s="378"/>
      <c r="E42" s="370"/>
      <c r="F42" s="370"/>
      <c r="G42" s="370"/>
      <c r="H42" s="370"/>
      <c r="I42" s="370"/>
      <c r="J42" s="370"/>
      <c r="K42" s="369"/>
      <c r="L42" s="370"/>
      <c r="M42" s="379"/>
    </row>
  </sheetData>
  <sheetProtection/>
  <mergeCells count="29">
    <mergeCell ref="B35:D35"/>
    <mergeCell ref="B36:D36"/>
    <mergeCell ref="B37:D37"/>
    <mergeCell ref="B41:D41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A13:D15"/>
    <mergeCell ref="L13:M13"/>
    <mergeCell ref="B17:D17"/>
    <mergeCell ref="B18:D18"/>
    <mergeCell ref="B19:D19"/>
    <mergeCell ref="B21:D21"/>
    <mergeCell ref="B20:D20"/>
    <mergeCell ref="A1:M1"/>
    <mergeCell ref="A2:M2"/>
    <mergeCell ref="A3:M3"/>
    <mergeCell ref="A4:M4"/>
    <mergeCell ref="C8:L8"/>
    <mergeCell ref="A12:M12"/>
  </mergeCells>
  <printOptions/>
  <pageMargins left="0.25" right="0.25" top="0.75" bottom="0.75" header="0.3" footer="0.3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B1">
      <selection activeCell="L26" sqref="L26:N26"/>
    </sheetView>
  </sheetViews>
  <sheetFormatPr defaultColWidth="9.7109375" defaultRowHeight="15"/>
  <cols>
    <col min="1" max="1" width="9.7109375" style="2" customWidth="1"/>
    <col min="2" max="2" width="2.7109375" style="2" customWidth="1"/>
    <col min="3" max="5" width="9.7109375" style="2" customWidth="1"/>
    <col min="6" max="6" width="1.7109375" style="2" customWidth="1"/>
    <col min="7" max="7" width="11.28125" style="2" customWidth="1"/>
    <col min="8" max="8" width="0.85546875" style="2" customWidth="1"/>
    <col min="9" max="9" width="10.8515625" style="2" customWidth="1"/>
    <col min="10" max="10" width="12.00390625" style="2" customWidth="1"/>
    <col min="11" max="11" width="1.7109375" style="2" customWidth="1"/>
    <col min="12" max="12" width="10.140625" style="2" bestFit="1" customWidth="1"/>
    <col min="13" max="13" width="12.140625" style="2" customWidth="1"/>
    <col min="14" max="14" width="12.00390625" style="2" customWidth="1"/>
    <col min="15" max="16384" width="9.7109375" style="2" customWidth="1"/>
  </cols>
  <sheetData>
    <row r="1" spans="1:15" ht="13.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2"/>
    </row>
    <row r="2" spans="1:15" ht="13.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2"/>
    </row>
    <row r="3" spans="1:15" ht="13.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2"/>
    </row>
    <row r="4" spans="1:15" ht="13.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2"/>
    </row>
    <row r="5" spans="2:15" ht="13.5" thickBo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2.75">
      <c r="A6" s="73" t="s">
        <v>49</v>
      </c>
      <c r="B6" s="55"/>
      <c r="C6" s="55"/>
      <c r="D6" s="56" t="s">
        <v>23</v>
      </c>
      <c r="E6" s="678">
        <f>'[1]P1 Info &amp; Certification'!L20</f>
        <v>43831</v>
      </c>
      <c r="F6" s="678"/>
      <c r="G6" s="678"/>
      <c r="H6" s="57"/>
      <c r="I6" s="58"/>
      <c r="J6" s="56" t="s">
        <v>24</v>
      </c>
      <c r="K6" s="55"/>
      <c r="L6" s="678">
        <f>'[1]P1 Info &amp; Certification'!N20</f>
        <v>44196</v>
      </c>
      <c r="M6" s="678"/>
      <c r="N6" s="59"/>
      <c r="O6" s="60"/>
    </row>
    <row r="7" spans="1:14" ht="12.75">
      <c r="A7" s="194"/>
      <c r="B7" s="60"/>
      <c r="N7" s="62"/>
    </row>
    <row r="8" spans="1:14" ht="12.75">
      <c r="A8" s="195" t="s">
        <v>50</v>
      </c>
      <c r="B8" s="196"/>
      <c r="C8" s="196"/>
      <c r="D8" s="679" t="str">
        <f>'[1]P1 Info &amp; Certification'!E12</f>
        <v>CIFC Inc./ Greater Danbury Community Health Center</v>
      </c>
      <c r="E8" s="679"/>
      <c r="F8" s="679"/>
      <c r="G8" s="679"/>
      <c r="H8" s="679"/>
      <c r="I8" s="679"/>
      <c r="J8" s="679"/>
      <c r="K8" s="679"/>
      <c r="L8" s="679"/>
      <c r="M8" s="679"/>
      <c r="N8" s="680"/>
    </row>
    <row r="9" spans="1:14" ht="13.5" thickBot="1">
      <c r="A9" s="681"/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3"/>
    </row>
    <row r="10" spans="1:14" ht="15">
      <c r="A10" s="32"/>
      <c r="B10" s="197"/>
      <c r="N10" s="76" t="s">
        <v>301</v>
      </c>
    </row>
    <row r="11" spans="1:2" ht="14.25" thickBot="1">
      <c r="A11" s="198"/>
      <c r="B11" s="197"/>
    </row>
    <row r="12" spans="1:14" s="1" customFormat="1" ht="13.5" thickBot="1">
      <c r="A12" s="684" t="s">
        <v>302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6"/>
    </row>
    <row r="13" spans="1:14" ht="12.75">
      <c r="A13" s="202" t="s">
        <v>109</v>
      </c>
      <c r="B13" s="204"/>
      <c r="C13" s="687" t="s">
        <v>303</v>
      </c>
      <c r="D13" s="687"/>
      <c r="E13" s="687"/>
      <c r="F13" s="687"/>
      <c r="G13" s="687"/>
      <c r="H13" s="687"/>
      <c r="I13" s="687"/>
      <c r="J13" s="687"/>
      <c r="K13" s="687"/>
      <c r="L13" s="688">
        <f>+'P5 Form A-3- Mental Health'!J45</f>
        <v>13005814.31872</v>
      </c>
      <c r="M13" s="688"/>
      <c r="N13" s="689"/>
    </row>
    <row r="14" spans="1:14" ht="12.75">
      <c r="A14" s="202" t="s">
        <v>155</v>
      </c>
      <c r="B14" s="204"/>
      <c r="C14" s="687" t="s">
        <v>304</v>
      </c>
      <c r="D14" s="687"/>
      <c r="E14" s="687"/>
      <c r="F14" s="687"/>
      <c r="G14" s="687"/>
      <c r="H14" s="687"/>
      <c r="I14" s="687"/>
      <c r="J14" s="687"/>
      <c r="K14" s="687"/>
      <c r="L14" s="690">
        <f>+'P6 Form A-4 Non-Allow Other'!J36</f>
        <v>0</v>
      </c>
      <c r="M14" s="690"/>
      <c r="N14" s="691"/>
    </row>
    <row r="15" spans="1:14" ht="12.75">
      <c r="A15" s="202" t="s">
        <v>174</v>
      </c>
      <c r="B15" s="204"/>
      <c r="C15" s="687" t="s">
        <v>305</v>
      </c>
      <c r="D15" s="687"/>
      <c r="E15" s="687"/>
      <c r="F15" s="687"/>
      <c r="G15" s="687"/>
      <c r="H15" s="687"/>
      <c r="I15" s="687"/>
      <c r="J15" s="687"/>
      <c r="K15" s="687"/>
      <c r="L15" s="690">
        <f>SUM(L13:N14)</f>
        <v>13005814.31872</v>
      </c>
      <c r="M15" s="690"/>
      <c r="N15" s="691"/>
    </row>
    <row r="16" spans="1:14" ht="12.75">
      <c r="A16" s="202" t="s">
        <v>183</v>
      </c>
      <c r="B16" s="204"/>
      <c r="C16" s="687" t="s">
        <v>306</v>
      </c>
      <c r="D16" s="687"/>
      <c r="E16" s="687"/>
      <c r="F16" s="687"/>
      <c r="G16" s="687"/>
      <c r="H16" s="687"/>
      <c r="I16" s="687"/>
      <c r="J16" s="687"/>
      <c r="K16" s="687"/>
      <c r="L16" s="692">
        <f>ROUND(L13/L15,4)</f>
        <v>1</v>
      </c>
      <c r="M16" s="692"/>
      <c r="N16" s="693"/>
    </row>
    <row r="17" spans="1:14" ht="12.75">
      <c r="A17" s="202" t="s">
        <v>186</v>
      </c>
      <c r="B17" s="204"/>
      <c r="C17" s="687" t="s">
        <v>307</v>
      </c>
      <c r="D17" s="687"/>
      <c r="E17" s="687"/>
      <c r="F17" s="687"/>
      <c r="G17" s="687"/>
      <c r="H17" s="687"/>
      <c r="I17" s="687"/>
      <c r="J17" s="687"/>
      <c r="K17" s="687"/>
      <c r="L17" s="690">
        <f>+'P7  Form A-5 - OH'!J50</f>
        <v>7229988.01</v>
      </c>
      <c r="M17" s="690"/>
      <c r="N17" s="691"/>
    </row>
    <row r="18" spans="1:14" ht="12.75">
      <c r="A18" s="202" t="s">
        <v>196</v>
      </c>
      <c r="B18" s="204"/>
      <c r="C18" s="687" t="s">
        <v>308</v>
      </c>
      <c r="D18" s="687"/>
      <c r="E18" s="687"/>
      <c r="F18" s="687"/>
      <c r="G18" s="687"/>
      <c r="H18" s="687"/>
      <c r="I18" s="687"/>
      <c r="J18" s="687"/>
      <c r="K18" s="687"/>
      <c r="L18" s="690">
        <f>ROUND(L16*L17,0)</f>
        <v>7229988</v>
      </c>
      <c r="M18" s="690"/>
      <c r="N18" s="691"/>
    </row>
    <row r="19" spans="1:14" ht="12.75">
      <c r="A19" s="202" t="s">
        <v>199</v>
      </c>
      <c r="B19" s="204"/>
      <c r="C19" s="687" t="s">
        <v>309</v>
      </c>
      <c r="D19" s="687"/>
      <c r="E19" s="687"/>
      <c r="F19" s="687"/>
      <c r="G19" s="687"/>
      <c r="H19" s="687"/>
      <c r="I19" s="687"/>
      <c r="J19" s="687"/>
      <c r="K19" s="687"/>
      <c r="L19" s="690">
        <f>L13+L18</f>
        <v>20235802.318719998</v>
      </c>
      <c r="M19" s="690"/>
      <c r="N19" s="691"/>
    </row>
    <row r="20" spans="1:14" ht="12.75">
      <c r="A20" s="202" t="s">
        <v>209</v>
      </c>
      <c r="B20" s="204"/>
      <c r="C20" s="687" t="s">
        <v>310</v>
      </c>
      <c r="D20" s="687"/>
      <c r="E20" s="687"/>
      <c r="F20" s="687"/>
      <c r="G20" s="687"/>
      <c r="H20" s="687"/>
      <c r="I20" s="687"/>
      <c r="J20" s="687"/>
      <c r="K20" s="687"/>
      <c r="L20" s="690">
        <f>ROUND(L19*0.3,0)</f>
        <v>6070741</v>
      </c>
      <c r="M20" s="690"/>
      <c r="N20" s="691"/>
    </row>
    <row r="21" spans="1:21" ht="12.75">
      <c r="A21" s="202" t="s">
        <v>222</v>
      </c>
      <c r="B21" s="204"/>
      <c r="C21" s="687" t="s">
        <v>311</v>
      </c>
      <c r="D21" s="687"/>
      <c r="E21" s="687"/>
      <c r="F21" s="687"/>
      <c r="G21" s="687"/>
      <c r="H21" s="687"/>
      <c r="I21" s="687"/>
      <c r="J21" s="687"/>
      <c r="K21" s="687"/>
      <c r="L21" s="690">
        <f>IF(L20-L18&gt;0,0,L20-L18)</f>
        <v>-1159247</v>
      </c>
      <c r="M21" s="690"/>
      <c r="N21" s="691"/>
      <c r="S21" s="694"/>
      <c r="T21" s="694"/>
      <c r="U21" s="694"/>
    </row>
    <row r="22" spans="1:14" ht="12.75">
      <c r="A22" s="202" t="s">
        <v>224</v>
      </c>
      <c r="B22" s="204"/>
      <c r="C22" s="687" t="s">
        <v>312</v>
      </c>
      <c r="D22" s="687"/>
      <c r="E22" s="687"/>
      <c r="F22" s="687"/>
      <c r="G22" s="687"/>
      <c r="H22" s="687"/>
      <c r="I22" s="687"/>
      <c r="J22" s="687"/>
      <c r="K22" s="687"/>
      <c r="L22" s="690">
        <f>L18+L21</f>
        <v>6070741</v>
      </c>
      <c r="M22" s="690"/>
      <c r="N22" s="691"/>
    </row>
    <row r="23" spans="1:14" ht="12.75">
      <c r="A23" s="202" t="s">
        <v>313</v>
      </c>
      <c r="B23" s="204"/>
      <c r="C23" s="687" t="s">
        <v>314</v>
      </c>
      <c r="D23" s="687"/>
      <c r="E23" s="687"/>
      <c r="F23" s="687"/>
      <c r="G23" s="687"/>
      <c r="H23" s="687"/>
      <c r="I23" s="687"/>
      <c r="J23" s="687"/>
      <c r="K23" s="687"/>
      <c r="L23" s="695"/>
      <c r="M23" s="695"/>
      <c r="N23" s="696"/>
    </row>
    <row r="24" spans="1:14" ht="12.75">
      <c r="A24" s="202"/>
      <c r="B24" s="203"/>
      <c r="C24" s="390" t="s">
        <v>7</v>
      </c>
      <c r="D24" s="687" t="s">
        <v>315</v>
      </c>
      <c r="E24" s="687"/>
      <c r="F24" s="687"/>
      <c r="G24" s="687"/>
      <c r="H24" s="687"/>
      <c r="I24" s="687"/>
      <c r="J24" s="687"/>
      <c r="K24" s="204"/>
      <c r="L24" s="690">
        <f>+'P3 Form A-1 Health Care'!J52</f>
        <v>10100807.8532</v>
      </c>
      <c r="M24" s="690"/>
      <c r="N24" s="691"/>
    </row>
    <row r="25" spans="1:14" ht="12.75">
      <c r="A25" s="391"/>
      <c r="B25" s="203"/>
      <c r="C25" s="390" t="s">
        <v>19</v>
      </c>
      <c r="D25" s="687" t="s">
        <v>316</v>
      </c>
      <c r="E25" s="687"/>
      <c r="F25" s="687"/>
      <c r="G25" s="687"/>
      <c r="H25" s="687"/>
      <c r="I25" s="687"/>
      <c r="J25" s="687"/>
      <c r="K25" s="392"/>
      <c r="L25" s="690">
        <f>+'P4 Form A-2 Dental'!J49</f>
        <v>589385.92308</v>
      </c>
      <c r="M25" s="690"/>
      <c r="N25" s="691"/>
    </row>
    <row r="26" spans="1:14" ht="12.75">
      <c r="A26" s="206"/>
      <c r="B26" s="203"/>
      <c r="C26" s="390" t="s">
        <v>152</v>
      </c>
      <c r="D26" s="687" t="s">
        <v>317</v>
      </c>
      <c r="E26" s="687"/>
      <c r="F26" s="687"/>
      <c r="G26" s="687"/>
      <c r="H26" s="687"/>
      <c r="I26" s="687"/>
      <c r="J26" s="687"/>
      <c r="K26" s="1"/>
      <c r="L26" s="690">
        <f>+'P5 Form A-3- Mental Health'!J44</f>
        <v>2315620.54244</v>
      </c>
      <c r="M26" s="690"/>
      <c r="N26" s="691"/>
    </row>
    <row r="27" spans="1:14" ht="12.75">
      <c r="A27" s="393"/>
      <c r="B27" s="203"/>
      <c r="C27" s="390" t="s">
        <v>28</v>
      </c>
      <c r="D27" s="687" t="s">
        <v>318</v>
      </c>
      <c r="E27" s="687"/>
      <c r="F27" s="687"/>
      <c r="G27" s="687"/>
      <c r="H27" s="687"/>
      <c r="I27" s="687"/>
      <c r="J27" s="687"/>
      <c r="K27" s="394"/>
      <c r="L27" s="690">
        <f>SUM(L24:N26)</f>
        <v>13005814.318719998</v>
      </c>
      <c r="M27" s="690"/>
      <c r="N27" s="691"/>
    </row>
    <row r="28" spans="1:30" s="395" customFormat="1" ht="12.75">
      <c r="A28" s="202" t="s">
        <v>319</v>
      </c>
      <c r="B28" s="204"/>
      <c r="C28" s="687" t="s">
        <v>320</v>
      </c>
      <c r="D28" s="687"/>
      <c r="E28" s="687"/>
      <c r="F28" s="687"/>
      <c r="G28" s="687"/>
      <c r="H28" s="687"/>
      <c r="I28" s="687"/>
      <c r="J28" s="687"/>
      <c r="K28" s="687"/>
      <c r="L28" s="697"/>
      <c r="M28" s="697"/>
      <c r="N28" s="69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396" customFormat="1" ht="12.75">
      <c r="A29" s="202"/>
      <c r="B29" s="203"/>
      <c r="C29" s="390" t="s">
        <v>7</v>
      </c>
      <c r="D29" s="687" t="s">
        <v>321</v>
      </c>
      <c r="E29" s="687"/>
      <c r="F29" s="687"/>
      <c r="G29" s="687"/>
      <c r="H29" s="687"/>
      <c r="I29" s="687"/>
      <c r="J29" s="687"/>
      <c r="K29" s="204"/>
      <c r="L29" s="692">
        <f>ROUND(L24/L27,4)</f>
        <v>0.7766</v>
      </c>
      <c r="M29" s="692"/>
      <c r="N29" s="69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396" customFormat="1" ht="12.75">
      <c r="A30" s="391"/>
      <c r="B30" s="203"/>
      <c r="C30" s="390" t="s">
        <v>19</v>
      </c>
      <c r="D30" s="687" t="s">
        <v>322</v>
      </c>
      <c r="E30" s="687"/>
      <c r="F30" s="687"/>
      <c r="G30" s="687"/>
      <c r="H30" s="687"/>
      <c r="I30" s="687"/>
      <c r="J30" s="687"/>
      <c r="K30" s="392"/>
      <c r="L30" s="692">
        <f>ROUND(L25/L27,4)</f>
        <v>0.0453</v>
      </c>
      <c r="M30" s="692"/>
      <c r="N30" s="69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396" customFormat="1" ht="12.75">
      <c r="A31" s="206"/>
      <c r="B31" s="203"/>
      <c r="C31" s="390" t="s">
        <v>152</v>
      </c>
      <c r="D31" s="687" t="s">
        <v>323</v>
      </c>
      <c r="E31" s="687"/>
      <c r="F31" s="687"/>
      <c r="G31" s="687"/>
      <c r="H31" s="687"/>
      <c r="I31" s="687"/>
      <c r="J31" s="687"/>
      <c r="K31" s="1"/>
      <c r="L31" s="692">
        <f>ROUND(L26/L27,4)</f>
        <v>0.178</v>
      </c>
      <c r="M31" s="692"/>
      <c r="N31" s="69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396" customFormat="1" ht="12.75">
      <c r="A32" s="202" t="s">
        <v>324</v>
      </c>
      <c r="B32" s="204"/>
      <c r="C32" s="687" t="s">
        <v>325</v>
      </c>
      <c r="D32" s="687"/>
      <c r="E32" s="687"/>
      <c r="F32" s="687"/>
      <c r="G32" s="687"/>
      <c r="H32" s="687"/>
      <c r="I32" s="687"/>
      <c r="J32" s="687"/>
      <c r="K32" s="687"/>
      <c r="L32" s="697"/>
      <c r="M32" s="697"/>
      <c r="N32" s="69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396" customFormat="1" ht="12.75">
      <c r="A33" s="202"/>
      <c r="B33" s="203"/>
      <c r="C33" s="390" t="s">
        <v>7</v>
      </c>
      <c r="D33" s="687" t="s">
        <v>326</v>
      </c>
      <c r="E33" s="687"/>
      <c r="F33" s="687"/>
      <c r="G33" s="687"/>
      <c r="H33" s="687"/>
      <c r="I33" s="687"/>
      <c r="J33" s="687"/>
      <c r="K33" s="204"/>
      <c r="L33" s="690">
        <f>ROUND(L22*L29,0)</f>
        <v>4714537</v>
      </c>
      <c r="M33" s="690"/>
      <c r="N33" s="69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396" customFormat="1" ht="12.75">
      <c r="A34" s="391"/>
      <c r="B34" s="203"/>
      <c r="C34" s="390" t="s">
        <v>19</v>
      </c>
      <c r="D34" s="687" t="s">
        <v>327</v>
      </c>
      <c r="E34" s="687"/>
      <c r="F34" s="687"/>
      <c r="G34" s="687"/>
      <c r="H34" s="687"/>
      <c r="I34" s="687"/>
      <c r="J34" s="687"/>
      <c r="K34" s="392"/>
      <c r="L34" s="690">
        <f>ROUND(L22*L30,0)</f>
        <v>275005</v>
      </c>
      <c r="M34" s="690"/>
      <c r="N34" s="69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396" customFormat="1" ht="12.75">
      <c r="A35" s="206"/>
      <c r="B35" s="203"/>
      <c r="C35" s="390" t="s">
        <v>152</v>
      </c>
      <c r="D35" s="687" t="s">
        <v>328</v>
      </c>
      <c r="E35" s="687"/>
      <c r="F35" s="687"/>
      <c r="G35" s="687"/>
      <c r="H35" s="687"/>
      <c r="I35" s="687"/>
      <c r="J35" s="687"/>
      <c r="K35" s="1"/>
      <c r="L35" s="690">
        <f>ROUND(L22*L31,0)</f>
        <v>1080592</v>
      </c>
      <c r="M35" s="690"/>
      <c r="N35" s="69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396" customFormat="1" ht="13.5" thickBot="1">
      <c r="A36" s="206"/>
      <c r="B36" s="397"/>
      <c r="C36" s="390" t="s">
        <v>28</v>
      </c>
      <c r="D36" s="699" t="s">
        <v>329</v>
      </c>
      <c r="E36" s="699"/>
      <c r="F36" s="699"/>
      <c r="G36" s="699"/>
      <c r="H36" s="699"/>
      <c r="I36" s="699"/>
      <c r="J36" s="699"/>
      <c r="K36" s="397"/>
      <c r="L36" s="700">
        <f>SUM(L33:N35)</f>
        <v>6070134</v>
      </c>
      <c r="M36" s="700"/>
      <c r="N36" s="70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396" customFormat="1" ht="13.5" thickBot="1" thickTop="1">
      <c r="A37" s="398"/>
      <c r="B37" s="399"/>
      <c r="C37" s="399"/>
      <c r="D37" s="399"/>
      <c r="E37" s="399"/>
      <c r="F37" s="399"/>
      <c r="G37" s="399"/>
      <c r="H37" s="400"/>
      <c r="I37" s="399"/>
      <c r="J37" s="399"/>
      <c r="K37" s="399"/>
      <c r="L37" s="401"/>
      <c r="M37" s="401"/>
      <c r="N37" s="40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396" customFormat="1" ht="12.75">
      <c r="A38" s="397"/>
      <c r="B38" s="397"/>
      <c r="C38" s="397"/>
      <c r="D38" s="397"/>
      <c r="E38" s="397"/>
      <c r="F38" s="397"/>
      <c r="G38" s="397"/>
      <c r="H38" s="403"/>
      <c r="I38" s="397"/>
      <c r="J38" s="397"/>
      <c r="K38" s="397"/>
      <c r="L38" s="397"/>
      <c r="M38" s="397"/>
      <c r="N38" s="39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396" customFormat="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</sheetData>
  <sheetProtection/>
  <mergeCells count="58">
    <mergeCell ref="D36:J36"/>
    <mergeCell ref="L36:N36"/>
    <mergeCell ref="D33:J33"/>
    <mergeCell ref="L33:N33"/>
    <mergeCell ref="D34:J34"/>
    <mergeCell ref="L34:N34"/>
    <mergeCell ref="D35:J35"/>
    <mergeCell ref="L35:N35"/>
    <mergeCell ref="D30:J30"/>
    <mergeCell ref="L30:N30"/>
    <mergeCell ref="D31:J31"/>
    <mergeCell ref="L31:N31"/>
    <mergeCell ref="C32:K32"/>
    <mergeCell ref="L32:N32"/>
    <mergeCell ref="D27:J27"/>
    <mergeCell ref="L27:N27"/>
    <mergeCell ref="C28:K28"/>
    <mergeCell ref="L28:N28"/>
    <mergeCell ref="D29:J29"/>
    <mergeCell ref="L29:N29"/>
    <mergeCell ref="D24:J24"/>
    <mergeCell ref="L24:N24"/>
    <mergeCell ref="D25:J25"/>
    <mergeCell ref="L25:N25"/>
    <mergeCell ref="D26:J26"/>
    <mergeCell ref="L26:N26"/>
    <mergeCell ref="C21:K21"/>
    <mergeCell ref="L21:N21"/>
    <mergeCell ref="S21:U21"/>
    <mergeCell ref="C22:K22"/>
    <mergeCell ref="L22:N22"/>
    <mergeCell ref="C23:K23"/>
    <mergeCell ref="L23:N23"/>
    <mergeCell ref="C18:K18"/>
    <mergeCell ref="L18:N18"/>
    <mergeCell ref="C19:K19"/>
    <mergeCell ref="L19:N19"/>
    <mergeCell ref="C20:K20"/>
    <mergeCell ref="L20:N20"/>
    <mergeCell ref="C15:K15"/>
    <mergeCell ref="L15:N15"/>
    <mergeCell ref="C16:K16"/>
    <mergeCell ref="L16:N16"/>
    <mergeCell ref="C17:K17"/>
    <mergeCell ref="L17:N17"/>
    <mergeCell ref="D8:N8"/>
    <mergeCell ref="A9:N9"/>
    <mergeCell ref="A12:N12"/>
    <mergeCell ref="C13:K13"/>
    <mergeCell ref="L13:N13"/>
    <mergeCell ref="C14:K14"/>
    <mergeCell ref="L14:N14"/>
    <mergeCell ref="A1:N1"/>
    <mergeCell ref="A2:N2"/>
    <mergeCell ref="A3:N3"/>
    <mergeCell ref="A4:N4"/>
    <mergeCell ref="E6:G6"/>
    <mergeCell ref="L6:M6"/>
  </mergeCells>
  <printOptions horizontalCentered="1"/>
  <pageMargins left="0.7" right="0.7" top="0.75" bottom="0.75" header="0.3" footer="0.3"/>
  <pageSetup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R36" sqref="R36"/>
    </sheetView>
  </sheetViews>
  <sheetFormatPr defaultColWidth="9.7109375" defaultRowHeight="15"/>
  <cols>
    <col min="1" max="1" width="6.7109375" style="2" customWidth="1"/>
    <col min="2" max="2" width="5.57421875" style="2" customWidth="1"/>
    <col min="3" max="3" width="9.7109375" style="2" customWidth="1"/>
    <col min="4" max="4" width="15.421875" style="2" customWidth="1"/>
    <col min="5" max="5" width="20.28125" style="2" customWidth="1"/>
    <col min="6" max="6" width="1.7109375" style="2" customWidth="1"/>
    <col min="7" max="7" width="11.28125" style="2" customWidth="1"/>
    <col min="8" max="8" width="0.85546875" style="2" customWidth="1"/>
    <col min="9" max="9" width="14.421875" style="2" customWidth="1"/>
    <col min="10" max="10" width="8.140625" style="2" customWidth="1"/>
    <col min="11" max="11" width="1.7109375" style="2" customWidth="1"/>
    <col min="12" max="12" width="10.140625" style="2" bestFit="1" customWidth="1"/>
    <col min="13" max="13" width="3.140625" style="2" customWidth="1"/>
    <col min="14" max="14" width="6.57421875" style="2" customWidth="1"/>
    <col min="15" max="16384" width="9.7109375" style="2" customWidth="1"/>
  </cols>
  <sheetData>
    <row r="1" spans="1:15" ht="13.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2"/>
    </row>
    <row r="2" spans="1:15" ht="13.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2"/>
    </row>
    <row r="3" spans="1:15" ht="13.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2"/>
    </row>
    <row r="4" spans="1:15" ht="13.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2"/>
    </row>
    <row r="5" spans="3:15" ht="13.5" thickBot="1"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05"/>
    </row>
    <row r="6" spans="1:15" ht="12.75">
      <c r="A6" s="73" t="s">
        <v>49</v>
      </c>
      <c r="B6" s="58"/>
      <c r="C6" s="56"/>
      <c r="D6" s="56" t="s">
        <v>23</v>
      </c>
      <c r="E6" s="404">
        <f>'[1]P1 Info &amp; Certification'!L20</f>
        <v>43831</v>
      </c>
      <c r="F6" s="74"/>
      <c r="G6" s="58"/>
      <c r="H6" s="58"/>
      <c r="I6" s="56" t="s">
        <v>24</v>
      </c>
      <c r="J6" s="576">
        <f>'[1]P1 Info &amp; Certification'!N20</f>
        <v>44196</v>
      </c>
      <c r="K6" s="576"/>
      <c r="L6" s="576"/>
      <c r="M6" s="74"/>
      <c r="N6" s="59"/>
      <c r="O6" s="509"/>
    </row>
    <row r="7" spans="1:14" ht="12.75">
      <c r="A7" s="61"/>
      <c r="B7" s="60"/>
      <c r="N7" s="62"/>
    </row>
    <row r="8" spans="1:14" ht="13.5" thickBot="1">
      <c r="A8" s="78" t="s">
        <v>50</v>
      </c>
      <c r="B8" s="208"/>
      <c r="C8" s="405"/>
      <c r="D8" s="702" t="str">
        <f>'[1]P1 Info &amp; Certification'!E12</f>
        <v>CIFC Inc./ Greater Danbury Community Health Center</v>
      </c>
      <c r="E8" s="702"/>
      <c r="F8" s="702"/>
      <c r="G8" s="702"/>
      <c r="H8" s="702"/>
      <c r="I8" s="702"/>
      <c r="J8" s="702"/>
      <c r="K8" s="702"/>
      <c r="L8" s="702"/>
      <c r="M8" s="405"/>
      <c r="N8" s="406"/>
    </row>
    <row r="9" spans="2:14" ht="12.75"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  <c r="N9" s="703"/>
    </row>
    <row r="10" spans="2:14" ht="15">
      <c r="B10" s="32"/>
      <c r="N10" s="76" t="s">
        <v>330</v>
      </c>
    </row>
    <row r="11" ht="14.25" thickBot="1">
      <c r="B11" s="198"/>
    </row>
    <row r="12" spans="1:14" s="504" customFormat="1" ht="13.5" thickBot="1">
      <c r="A12" s="684" t="s">
        <v>331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6"/>
    </row>
    <row r="13" spans="1:14" s="504" customFormat="1" ht="12.75">
      <c r="A13" s="407" t="s">
        <v>222</v>
      </c>
      <c r="B13" s="704" t="s">
        <v>332</v>
      </c>
      <c r="C13" s="704"/>
      <c r="D13" s="704"/>
      <c r="E13" s="704"/>
      <c r="F13" s="704"/>
      <c r="G13" s="704"/>
      <c r="H13" s="704"/>
      <c r="I13" s="704"/>
      <c r="J13" s="704"/>
      <c r="K13" s="704"/>
      <c r="L13" s="266"/>
      <c r="M13" s="266"/>
      <c r="N13" s="408"/>
    </row>
    <row r="14" spans="1:14" ht="12.75">
      <c r="A14" s="61"/>
      <c r="B14" s="204" t="s">
        <v>109</v>
      </c>
      <c r="C14" s="687" t="s">
        <v>333</v>
      </c>
      <c r="D14" s="687"/>
      <c r="E14" s="687"/>
      <c r="F14" s="687"/>
      <c r="G14" s="687"/>
      <c r="H14" s="687"/>
      <c r="I14" s="687"/>
      <c r="J14" s="687"/>
      <c r="K14" s="687"/>
      <c r="L14" s="705">
        <f>+'P3 Form A-1 Health Care'!J52</f>
        <v>10100807.8532</v>
      </c>
      <c r="M14" s="705"/>
      <c r="N14" s="706"/>
    </row>
    <row r="15" spans="1:14" ht="12.75">
      <c r="A15" s="61"/>
      <c r="B15" s="204" t="s">
        <v>155</v>
      </c>
      <c r="C15" s="687" t="s">
        <v>334</v>
      </c>
      <c r="D15" s="687"/>
      <c r="E15" s="687"/>
      <c r="F15" s="687"/>
      <c r="G15" s="687"/>
      <c r="H15" s="687"/>
      <c r="I15" s="687"/>
      <c r="J15" s="687"/>
      <c r="K15" s="687"/>
      <c r="L15" s="690">
        <f>'P13 Form C - Adj &amp; Alloc'!L33:N33</f>
        <v>4714537</v>
      </c>
      <c r="M15" s="690"/>
      <c r="N15" s="691"/>
    </row>
    <row r="16" spans="1:14" ht="12.75">
      <c r="A16" s="61"/>
      <c r="B16" s="204" t="s">
        <v>174</v>
      </c>
      <c r="C16" s="687" t="s">
        <v>335</v>
      </c>
      <c r="D16" s="687"/>
      <c r="E16" s="687"/>
      <c r="F16" s="687"/>
      <c r="G16" s="687"/>
      <c r="H16" s="687"/>
      <c r="I16" s="687"/>
      <c r="J16" s="687"/>
      <c r="K16" s="687"/>
      <c r="L16" s="690">
        <f>SUM(L14:N15)</f>
        <v>14815344.8532</v>
      </c>
      <c r="M16" s="690"/>
      <c r="N16" s="691"/>
    </row>
    <row r="17" spans="1:14" ht="12.75">
      <c r="A17" s="61"/>
      <c r="B17" s="204" t="s">
        <v>183</v>
      </c>
      <c r="C17" s="687" t="s">
        <v>336</v>
      </c>
      <c r="D17" s="687"/>
      <c r="E17" s="687"/>
      <c r="F17" s="687"/>
      <c r="G17" s="687"/>
      <c r="H17" s="687"/>
      <c r="I17" s="687"/>
      <c r="J17" s="687"/>
      <c r="K17" s="687"/>
      <c r="L17" s="690">
        <f>+'P12 Form B-4 Summary Personnel'!K27</f>
        <v>43714.292</v>
      </c>
      <c r="M17" s="690"/>
      <c r="N17" s="691"/>
    </row>
    <row r="18" spans="1:14" ht="13.5" thickBot="1">
      <c r="A18" s="61"/>
      <c r="B18" s="204" t="s">
        <v>186</v>
      </c>
      <c r="C18" s="687" t="s">
        <v>337</v>
      </c>
      <c r="D18" s="687"/>
      <c r="E18" s="687"/>
      <c r="F18" s="687"/>
      <c r="G18" s="687"/>
      <c r="H18" s="687"/>
      <c r="I18" s="687"/>
      <c r="J18" s="687"/>
      <c r="K18" s="687"/>
      <c r="L18" s="707">
        <f>ROUND(L16/L17,2)</f>
        <v>338.91</v>
      </c>
      <c r="M18" s="707"/>
      <c r="N18" s="708"/>
    </row>
    <row r="19" spans="1:14" ht="13.5" thickTop="1">
      <c r="A19" s="61"/>
      <c r="B19" s="204"/>
      <c r="C19" s="409"/>
      <c r="D19" s="409"/>
      <c r="E19" s="409"/>
      <c r="F19" s="409"/>
      <c r="G19" s="409"/>
      <c r="H19" s="409"/>
      <c r="I19" s="409"/>
      <c r="J19" s="409"/>
      <c r="K19" s="409"/>
      <c r="L19" s="175"/>
      <c r="M19" s="175"/>
      <c r="N19" s="410"/>
    </row>
    <row r="20" spans="1:14" ht="12.75">
      <c r="A20" s="407" t="s">
        <v>338</v>
      </c>
      <c r="B20" s="687" t="s">
        <v>25</v>
      </c>
      <c r="C20" s="687"/>
      <c r="D20" s="687"/>
      <c r="E20" s="687"/>
      <c r="F20" s="687"/>
      <c r="G20" s="687"/>
      <c r="H20" s="687"/>
      <c r="I20" s="687"/>
      <c r="J20" s="687"/>
      <c r="K20" s="409"/>
      <c r="L20" s="709"/>
      <c r="M20" s="709"/>
      <c r="N20" s="710"/>
    </row>
    <row r="21" spans="1:14" ht="12.75">
      <c r="A21" s="61"/>
      <c r="B21" s="204" t="s">
        <v>109</v>
      </c>
      <c r="C21" s="687" t="s">
        <v>339</v>
      </c>
      <c r="D21" s="687"/>
      <c r="E21" s="687"/>
      <c r="F21" s="687"/>
      <c r="G21" s="687"/>
      <c r="H21" s="687"/>
      <c r="I21" s="687"/>
      <c r="J21" s="687"/>
      <c r="K21" s="687"/>
      <c r="L21" s="690">
        <f>+'P4 Form A-2 Dental'!J49</f>
        <v>589385.92308</v>
      </c>
      <c r="M21" s="690"/>
      <c r="N21" s="691"/>
    </row>
    <row r="22" spans="1:14" ht="12.75">
      <c r="A22" s="61"/>
      <c r="B22" s="204" t="s">
        <v>155</v>
      </c>
      <c r="C22" s="687" t="s">
        <v>340</v>
      </c>
      <c r="D22" s="687"/>
      <c r="E22" s="687"/>
      <c r="F22" s="687"/>
      <c r="G22" s="687"/>
      <c r="H22" s="687"/>
      <c r="I22" s="687"/>
      <c r="J22" s="687"/>
      <c r="K22" s="687"/>
      <c r="L22" s="690">
        <f>'P13 Form C - Adj &amp; Alloc'!L34:N34</f>
        <v>275005</v>
      </c>
      <c r="M22" s="690"/>
      <c r="N22" s="691"/>
    </row>
    <row r="23" spans="1:21" ht="12.75">
      <c r="A23" s="61"/>
      <c r="B23" s="204" t="s">
        <v>174</v>
      </c>
      <c r="C23" s="687" t="s">
        <v>341</v>
      </c>
      <c r="D23" s="687"/>
      <c r="E23" s="687"/>
      <c r="F23" s="687"/>
      <c r="G23" s="687"/>
      <c r="H23" s="687"/>
      <c r="I23" s="687"/>
      <c r="J23" s="687"/>
      <c r="K23" s="687"/>
      <c r="L23" s="690">
        <f>SUM(L21:N22)</f>
        <v>864390.92308</v>
      </c>
      <c r="M23" s="690"/>
      <c r="N23" s="691"/>
      <c r="S23" s="694"/>
      <c r="T23" s="694"/>
      <c r="U23" s="694"/>
    </row>
    <row r="24" spans="1:14" ht="12.75">
      <c r="A24" s="61"/>
      <c r="B24" s="204" t="s">
        <v>183</v>
      </c>
      <c r="C24" s="687" t="s">
        <v>342</v>
      </c>
      <c r="D24" s="687"/>
      <c r="E24" s="687"/>
      <c r="F24" s="687"/>
      <c r="G24" s="687"/>
      <c r="H24" s="687"/>
      <c r="I24" s="687"/>
      <c r="J24" s="687"/>
      <c r="K24" s="687"/>
      <c r="L24" s="690">
        <f>'P12 Form B-4 Summary Personnel'!K33</f>
        <v>2110</v>
      </c>
      <c r="M24" s="690"/>
      <c r="N24" s="691"/>
    </row>
    <row r="25" spans="1:14" ht="13.5" thickBot="1">
      <c r="A25" s="61"/>
      <c r="B25" s="204" t="s">
        <v>186</v>
      </c>
      <c r="C25" s="687" t="s">
        <v>343</v>
      </c>
      <c r="D25" s="687"/>
      <c r="E25" s="687"/>
      <c r="F25" s="687"/>
      <c r="G25" s="687"/>
      <c r="H25" s="687"/>
      <c r="I25" s="687"/>
      <c r="J25" s="687"/>
      <c r="K25" s="687"/>
      <c r="L25" s="707">
        <f>ROUND(L23/L24,2)</f>
        <v>409.66</v>
      </c>
      <c r="M25" s="707"/>
      <c r="N25" s="708"/>
    </row>
    <row r="26" spans="1:14" ht="13.5" thickTop="1">
      <c r="A26" s="61"/>
      <c r="B26" s="204"/>
      <c r="C26" s="409"/>
      <c r="D26" s="409"/>
      <c r="E26" s="409"/>
      <c r="F26" s="409"/>
      <c r="G26" s="409"/>
      <c r="H26" s="409"/>
      <c r="I26" s="409"/>
      <c r="J26" s="409"/>
      <c r="K26" s="409"/>
      <c r="L26" s="175"/>
      <c r="M26" s="175"/>
      <c r="N26" s="410"/>
    </row>
    <row r="27" spans="1:14" ht="12.75">
      <c r="A27" s="407" t="s">
        <v>344</v>
      </c>
      <c r="B27" s="687" t="s">
        <v>26</v>
      </c>
      <c r="C27" s="687"/>
      <c r="D27" s="687"/>
      <c r="E27" s="687"/>
      <c r="F27" s="687"/>
      <c r="G27" s="687"/>
      <c r="H27" s="687"/>
      <c r="I27" s="687"/>
      <c r="J27" s="687"/>
      <c r="K27" s="687"/>
      <c r="L27" s="709"/>
      <c r="M27" s="709"/>
      <c r="N27" s="710"/>
    </row>
    <row r="28" spans="1:14" ht="12.75">
      <c r="A28" s="61"/>
      <c r="B28" s="204" t="s">
        <v>109</v>
      </c>
      <c r="C28" s="687" t="s">
        <v>345</v>
      </c>
      <c r="D28" s="687"/>
      <c r="E28" s="687"/>
      <c r="F28" s="687"/>
      <c r="G28" s="687"/>
      <c r="H28" s="687"/>
      <c r="I28" s="687"/>
      <c r="J28" s="687"/>
      <c r="K28" s="687"/>
      <c r="L28" s="690">
        <f>+'P5 Form A-3- Mental Health'!J44</f>
        <v>2315620.54244</v>
      </c>
      <c r="M28" s="690"/>
      <c r="N28" s="691"/>
    </row>
    <row r="29" spans="1:14" ht="12.75">
      <c r="A29" s="61"/>
      <c r="B29" s="204" t="s">
        <v>155</v>
      </c>
      <c r="C29" s="687" t="s">
        <v>346</v>
      </c>
      <c r="D29" s="687"/>
      <c r="E29" s="687"/>
      <c r="F29" s="687"/>
      <c r="G29" s="687"/>
      <c r="H29" s="687"/>
      <c r="I29" s="687"/>
      <c r="J29" s="687"/>
      <c r="K29" s="687"/>
      <c r="L29" s="690">
        <f>'P13 Form C - Adj &amp; Alloc'!L35:N35</f>
        <v>1080592</v>
      </c>
      <c r="M29" s="690"/>
      <c r="N29" s="691"/>
    </row>
    <row r="30" spans="1:14" ht="12.75">
      <c r="A30" s="61"/>
      <c r="B30" s="204" t="s">
        <v>174</v>
      </c>
      <c r="C30" s="687" t="s">
        <v>347</v>
      </c>
      <c r="D30" s="687"/>
      <c r="E30" s="687"/>
      <c r="F30" s="687"/>
      <c r="G30" s="687"/>
      <c r="H30" s="687"/>
      <c r="I30" s="687"/>
      <c r="J30" s="687"/>
      <c r="K30" s="687"/>
      <c r="L30" s="690">
        <f>SUM(L28:N29)</f>
        <v>3396212.54244</v>
      </c>
      <c r="M30" s="690"/>
      <c r="N30" s="691"/>
    </row>
    <row r="31" spans="1:14" s="504" customFormat="1" ht="12.75">
      <c r="A31" s="61"/>
      <c r="B31" s="204" t="s">
        <v>183</v>
      </c>
      <c r="C31" s="687" t="s">
        <v>348</v>
      </c>
      <c r="D31" s="687"/>
      <c r="E31" s="687"/>
      <c r="F31" s="687"/>
      <c r="G31" s="687"/>
      <c r="H31" s="687"/>
      <c r="I31" s="687"/>
      <c r="J31" s="687"/>
      <c r="K31" s="687"/>
      <c r="L31" s="690">
        <f>+'P12 Form B-4 Summary Personnel'!K41</f>
        <v>17263</v>
      </c>
      <c r="M31" s="690"/>
      <c r="N31" s="691"/>
    </row>
    <row r="32" spans="1:14" ht="13.5" thickBot="1">
      <c r="A32" s="61"/>
      <c r="B32" s="204" t="s">
        <v>186</v>
      </c>
      <c r="C32" s="687" t="s">
        <v>349</v>
      </c>
      <c r="D32" s="687"/>
      <c r="E32" s="687"/>
      <c r="F32" s="687"/>
      <c r="G32" s="687"/>
      <c r="H32" s="687"/>
      <c r="I32" s="687"/>
      <c r="J32" s="687"/>
      <c r="K32" s="687"/>
      <c r="L32" s="707">
        <f>ROUND(L30/L31,2)</f>
        <v>196.73</v>
      </c>
      <c r="M32" s="707"/>
      <c r="N32" s="708"/>
    </row>
    <row r="33" spans="1:14" ht="13.5" thickBot="1" thickTop="1">
      <c r="A33" s="63"/>
      <c r="B33" s="411"/>
      <c r="C33" s="412"/>
      <c r="D33" s="413"/>
      <c r="E33" s="413"/>
      <c r="F33" s="413"/>
      <c r="G33" s="413"/>
      <c r="H33" s="413"/>
      <c r="I33" s="413"/>
      <c r="J33" s="413"/>
      <c r="K33" s="411"/>
      <c r="L33" s="414"/>
      <c r="M33" s="414"/>
      <c r="N33" s="415"/>
    </row>
  </sheetData>
  <sheetProtection/>
  <mergeCells count="44">
    <mergeCell ref="C30:K30"/>
    <mergeCell ref="L30:N30"/>
    <mergeCell ref="C31:K31"/>
    <mergeCell ref="L31:N31"/>
    <mergeCell ref="C32:K32"/>
    <mergeCell ref="L32:N32"/>
    <mergeCell ref="B27:K27"/>
    <mergeCell ref="L27:N27"/>
    <mergeCell ref="C28:K28"/>
    <mergeCell ref="L28:N28"/>
    <mergeCell ref="C29:K29"/>
    <mergeCell ref="L29:N29"/>
    <mergeCell ref="C23:K23"/>
    <mergeCell ref="L23:N23"/>
    <mergeCell ref="S23:U23"/>
    <mergeCell ref="C24:K24"/>
    <mergeCell ref="L24:N24"/>
    <mergeCell ref="C25:K25"/>
    <mergeCell ref="L25:N25"/>
    <mergeCell ref="B20:J20"/>
    <mergeCell ref="L20:N20"/>
    <mergeCell ref="C21:K21"/>
    <mergeCell ref="L21:N21"/>
    <mergeCell ref="C22:K22"/>
    <mergeCell ref="L22:N22"/>
    <mergeCell ref="C16:K16"/>
    <mergeCell ref="L16:N16"/>
    <mergeCell ref="C17:K17"/>
    <mergeCell ref="L17:N17"/>
    <mergeCell ref="C18:K18"/>
    <mergeCell ref="L18:N18"/>
    <mergeCell ref="B9:N9"/>
    <mergeCell ref="A12:N12"/>
    <mergeCell ref="B13:K13"/>
    <mergeCell ref="C14:K14"/>
    <mergeCell ref="L14:N14"/>
    <mergeCell ref="C15:K15"/>
    <mergeCell ref="L15:N15"/>
    <mergeCell ref="A1:N1"/>
    <mergeCell ref="A2:N2"/>
    <mergeCell ref="A3:N3"/>
    <mergeCell ref="A4:N4"/>
    <mergeCell ref="J6:L6"/>
    <mergeCell ref="D8:L8"/>
  </mergeCells>
  <printOptions horizontalCentered="1"/>
  <pageMargins left="0.7" right="0.7" top="0.75" bottom="0.75" header="0.3" footer="0.3"/>
  <pageSetup horizontalDpi="600" verticalDpi="600" orientation="landscape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3.57421875" style="272" customWidth="1"/>
    <col min="2" max="2" width="16.421875" style="260" customWidth="1"/>
    <col min="3" max="3" width="28.421875" style="260" customWidth="1"/>
    <col min="4" max="4" width="17.00390625" style="260" customWidth="1"/>
    <col min="5" max="5" width="16.421875" style="260" customWidth="1"/>
    <col min="6" max="6" width="17.421875" style="260" customWidth="1"/>
    <col min="7" max="7" width="17.7109375" style="260" customWidth="1"/>
    <col min="8" max="8" width="16.28125" style="260" customWidth="1"/>
    <col min="9" max="16384" width="9.140625" style="260" customWidth="1"/>
  </cols>
  <sheetData>
    <row r="1" spans="1:17" ht="14.25">
      <c r="A1" s="575" t="s">
        <v>0</v>
      </c>
      <c r="B1" s="575"/>
      <c r="C1" s="575"/>
      <c r="D1" s="575"/>
      <c r="E1" s="575"/>
      <c r="F1" s="575"/>
      <c r="G1" s="575"/>
      <c r="H1" s="575"/>
      <c r="I1" s="52"/>
      <c r="J1" s="52"/>
      <c r="K1" s="52"/>
      <c r="L1" s="52"/>
      <c r="M1" s="52"/>
      <c r="N1" s="52"/>
      <c r="O1" s="52"/>
      <c r="P1" s="52"/>
      <c r="Q1" s="52"/>
    </row>
    <row r="2" spans="1:17" ht="14.25">
      <c r="A2" s="575" t="s">
        <v>1</v>
      </c>
      <c r="B2" s="575"/>
      <c r="C2" s="575"/>
      <c r="D2" s="575"/>
      <c r="E2" s="575"/>
      <c r="F2" s="575"/>
      <c r="G2" s="575"/>
      <c r="H2" s="575"/>
      <c r="I2" s="52"/>
      <c r="J2" s="52"/>
      <c r="K2" s="52"/>
      <c r="L2" s="52"/>
      <c r="M2" s="52"/>
      <c r="N2" s="52"/>
      <c r="O2" s="52"/>
      <c r="P2" s="52"/>
      <c r="Q2" s="52"/>
    </row>
    <row r="3" spans="1:17" ht="14.25">
      <c r="A3" s="575" t="s">
        <v>3</v>
      </c>
      <c r="B3" s="575"/>
      <c r="C3" s="575"/>
      <c r="D3" s="575"/>
      <c r="E3" s="575"/>
      <c r="F3" s="575"/>
      <c r="G3" s="575"/>
      <c r="H3" s="575"/>
      <c r="I3" s="52"/>
      <c r="J3" s="52"/>
      <c r="K3" s="52"/>
      <c r="L3" s="52"/>
      <c r="M3" s="52"/>
      <c r="N3" s="52"/>
      <c r="O3" s="52"/>
      <c r="P3" s="52"/>
      <c r="Q3" s="52"/>
    </row>
    <row r="4" spans="1:17" ht="14.25">
      <c r="A4" s="575" t="s">
        <v>4</v>
      </c>
      <c r="B4" s="575"/>
      <c r="C4" s="575"/>
      <c r="D4" s="575"/>
      <c r="E4" s="575"/>
      <c r="F4" s="575"/>
      <c r="G4" s="575"/>
      <c r="H4" s="575"/>
      <c r="I4" s="52"/>
      <c r="J4" s="52"/>
      <c r="K4" s="52"/>
      <c r="L4" s="52"/>
      <c r="M4" s="52"/>
      <c r="N4" s="52"/>
      <c r="O4" s="52"/>
      <c r="P4" s="52"/>
      <c r="Q4" s="52"/>
    </row>
    <row r="5" spans="1:17" ht="15" thickBot="1">
      <c r="A5" s="175"/>
      <c r="B5" s="2"/>
      <c r="C5" s="2"/>
      <c r="D5" s="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6" ht="14.25">
      <c r="A6" s="176"/>
      <c r="B6" s="55" t="s">
        <v>49</v>
      </c>
      <c r="C6" s="55"/>
      <c r="D6" s="56" t="s">
        <v>23</v>
      </c>
      <c r="E6" s="262">
        <f>'[1]P1 Info &amp; Certification'!L20</f>
        <v>43831</v>
      </c>
      <c r="F6" s="263"/>
      <c r="G6" s="75" t="str">
        <f>'[1]P1 Info &amp; Certification'!M20</f>
        <v>To</v>
      </c>
      <c r="H6" s="264">
        <f>'[1]P1 Info &amp; Certification'!N20</f>
        <v>44196</v>
      </c>
      <c r="I6" s="265"/>
      <c r="J6" s="266"/>
      <c r="K6" s="2"/>
      <c r="L6" s="76"/>
      <c r="M6" s="60"/>
      <c r="N6" s="265"/>
      <c r="O6" s="265"/>
      <c r="P6" s="60"/>
    </row>
    <row r="7" spans="1:16" ht="14.25">
      <c r="A7" s="267"/>
      <c r="B7" s="60"/>
      <c r="C7" s="60"/>
      <c r="D7" s="60"/>
      <c r="E7" s="2"/>
      <c r="F7" s="2"/>
      <c r="G7" s="2"/>
      <c r="H7" s="62"/>
      <c r="I7" s="2"/>
      <c r="J7" s="2"/>
      <c r="K7" s="2"/>
      <c r="L7" s="2"/>
      <c r="M7" s="2"/>
      <c r="N7" s="2"/>
      <c r="O7" s="2"/>
      <c r="P7" s="2"/>
    </row>
    <row r="8" spans="1:16" ht="16.5" customHeight="1" thickBot="1">
      <c r="A8" s="178"/>
      <c r="B8" s="64" t="s">
        <v>50</v>
      </c>
      <c r="C8" s="416" t="str">
        <f>'[1]P1 Info &amp; Certification'!E12</f>
        <v>CIFC Inc./ Greater Danbury Community Health Center</v>
      </c>
      <c r="D8" s="417"/>
      <c r="E8" s="418"/>
      <c r="F8" s="418"/>
      <c r="G8" s="418"/>
      <c r="H8" s="419"/>
      <c r="I8" s="268"/>
      <c r="J8" s="268"/>
      <c r="K8" s="268"/>
      <c r="L8" s="268"/>
      <c r="M8" s="268"/>
      <c r="N8" s="268"/>
      <c r="O8" s="268"/>
      <c r="P8" s="268"/>
    </row>
    <row r="9" spans="1:16" ht="14.25">
      <c r="A9" s="269"/>
      <c r="B9" s="270"/>
      <c r="C9" s="270"/>
      <c r="D9" s="270"/>
      <c r="E9" s="270"/>
      <c r="F9" s="270"/>
      <c r="G9" s="270"/>
      <c r="H9" s="270"/>
      <c r="I9" s="271"/>
      <c r="J9" s="271"/>
      <c r="K9" s="271"/>
      <c r="L9" s="271"/>
      <c r="M9" s="271"/>
      <c r="N9" s="271"/>
      <c r="O9" s="271"/>
      <c r="P9" s="271"/>
    </row>
    <row r="10" spans="7:8" ht="15" thickBot="1">
      <c r="G10" s="711" t="s">
        <v>350</v>
      </c>
      <c r="H10" s="711"/>
    </row>
    <row r="11" spans="1:8" ht="14.25">
      <c r="A11" s="420"/>
      <c r="B11" s="261"/>
      <c r="C11" s="261"/>
      <c r="D11" s="261"/>
      <c r="E11" s="261"/>
      <c r="F11" s="261"/>
      <c r="G11" s="261"/>
      <c r="H11" s="421"/>
    </row>
    <row r="12" spans="1:8" ht="14.25">
      <c r="A12" s="712" t="s">
        <v>351</v>
      </c>
      <c r="B12" s="664"/>
      <c r="C12" s="668"/>
      <c r="D12" s="422" t="s">
        <v>111</v>
      </c>
      <c r="E12" s="422" t="s">
        <v>112</v>
      </c>
      <c r="F12" s="422" t="s">
        <v>113</v>
      </c>
      <c r="G12" s="423" t="s">
        <v>114</v>
      </c>
      <c r="H12" s="424" t="s">
        <v>115</v>
      </c>
    </row>
    <row r="13" spans="1:8" ht="52.5">
      <c r="A13" s="299" t="s">
        <v>109</v>
      </c>
      <c r="B13" s="664" t="s">
        <v>352</v>
      </c>
      <c r="C13" s="664"/>
      <c r="D13" s="318" t="s">
        <v>353</v>
      </c>
      <c r="E13" s="425" t="s">
        <v>25</v>
      </c>
      <c r="F13" s="425" t="s">
        <v>26</v>
      </c>
      <c r="G13" s="425" t="s">
        <v>97</v>
      </c>
      <c r="H13" s="426" t="s">
        <v>354</v>
      </c>
    </row>
    <row r="14" spans="1:8" ht="14.25">
      <c r="A14" s="427" t="s">
        <v>7</v>
      </c>
      <c r="B14" s="713" t="s">
        <v>355</v>
      </c>
      <c r="C14" s="713"/>
      <c r="D14" s="429">
        <f>+'[2]2020 TB Fund 02'!$N$274</f>
        <v>4713633.48</v>
      </c>
      <c r="E14" s="429">
        <f>+'[2]2020 TB Fund 02'!$N$273</f>
        <v>92040.97</v>
      </c>
      <c r="F14" s="429">
        <f>+'[2]2020 TB Fund 02'!$N$272</f>
        <v>1673714.69</v>
      </c>
      <c r="G14" s="429"/>
      <c r="H14" s="430">
        <f>SUM(D14:G14)</f>
        <v>6479389.140000001</v>
      </c>
    </row>
    <row r="15" spans="1:8" ht="14.25">
      <c r="A15" s="427" t="s">
        <v>19</v>
      </c>
      <c r="B15" s="713" t="s">
        <v>356</v>
      </c>
      <c r="C15" s="713"/>
      <c r="D15" s="429">
        <f>+'[2]2020 TB Fund 02'!$L$274</f>
        <v>554585.72</v>
      </c>
      <c r="E15" s="429">
        <f>+'[2]2020 TB Fund 02'!$L$273</f>
        <v>-2379.96</v>
      </c>
      <c r="F15" s="429">
        <f>+'[2]2020 TB Fund 02'!$L$272</f>
        <v>118739.52999999997</v>
      </c>
      <c r="G15" s="429"/>
      <c r="H15" s="430">
        <f>SUM(D15:G15)</f>
        <v>670945.29</v>
      </c>
    </row>
    <row r="16" spans="1:8" ht="14.25">
      <c r="A16" s="427" t="s">
        <v>152</v>
      </c>
      <c r="B16" s="713" t="s">
        <v>357</v>
      </c>
      <c r="C16" s="713"/>
      <c r="D16" s="429">
        <f>+'[2]2020 TB Fund 02'!$M$274</f>
        <v>375848.60999999987</v>
      </c>
      <c r="E16" s="429">
        <f>+'[2]2020 TB Fund 02'!$M$273</f>
        <v>0</v>
      </c>
      <c r="F16" s="429">
        <f>+'[2]2020 TB Fund 02'!$M$272</f>
        <v>470152</v>
      </c>
      <c r="G16" s="429"/>
      <c r="H16" s="430">
        <f>SUM(D16:G16)</f>
        <v>846000.6099999999</v>
      </c>
    </row>
    <row r="17" spans="1:8" ht="14.25">
      <c r="A17" s="427" t="s">
        <v>28</v>
      </c>
      <c r="B17" s="428" t="s">
        <v>358</v>
      </c>
      <c r="C17" s="428"/>
      <c r="D17" s="429">
        <f>+'[2]2020 TB Fund 02'!$O$274</f>
        <v>469592.70999999996</v>
      </c>
      <c r="E17" s="429">
        <f>+'[2]2020 TB Fund 02'!$O$273</f>
        <v>53291.61</v>
      </c>
      <c r="F17" s="429">
        <f>+'[2]2020 TB Fund 02'!$O$272</f>
        <v>53291.61</v>
      </c>
      <c r="G17" s="429"/>
      <c r="H17" s="430">
        <f>SUM(D17:G17)</f>
        <v>576175.9299999999</v>
      </c>
    </row>
    <row r="18" spans="1:8" ht="14.25">
      <c r="A18" s="427" t="s">
        <v>38</v>
      </c>
      <c r="B18" s="431" t="s">
        <v>170</v>
      </c>
      <c r="C18" s="428"/>
      <c r="D18" s="429"/>
      <c r="E18" s="429"/>
      <c r="F18" s="432"/>
      <c r="G18" s="429"/>
      <c r="H18" s="430">
        <f>SUM(D18:G18)</f>
        <v>0</v>
      </c>
    </row>
    <row r="19" spans="1:8" ht="15" thickBot="1">
      <c r="A19" s="433" t="s">
        <v>44</v>
      </c>
      <c r="B19" s="382" t="s">
        <v>359</v>
      </c>
      <c r="C19" s="384"/>
      <c r="D19" s="361">
        <f>SUM(D14:D18)</f>
        <v>6113660.5200000005</v>
      </c>
      <c r="E19" s="361">
        <f>SUM(E14:E18)</f>
        <v>142952.62</v>
      </c>
      <c r="F19" s="361">
        <f>SUM(F14:F18)</f>
        <v>2315897.8299999996</v>
      </c>
      <c r="G19" s="361">
        <f>SUM(G14:G18)</f>
        <v>0</v>
      </c>
      <c r="H19" s="434">
        <f>SUM(H14:H18)</f>
        <v>8572510.97</v>
      </c>
    </row>
    <row r="20" spans="1:8" ht="15" thickTop="1">
      <c r="A20" s="309"/>
      <c r="B20" s="435"/>
      <c r="C20" s="435"/>
      <c r="D20" s="436"/>
      <c r="E20" s="436"/>
      <c r="F20" s="436"/>
      <c r="G20" s="436"/>
      <c r="H20" s="430"/>
    </row>
    <row r="21" spans="1:8" s="437" customFormat="1" ht="14.25">
      <c r="A21" s="299" t="s">
        <v>155</v>
      </c>
      <c r="B21" s="664" t="s">
        <v>360</v>
      </c>
      <c r="C21" s="668"/>
      <c r="D21" s="436"/>
      <c r="E21" s="436"/>
      <c r="F21" s="436"/>
      <c r="G21" s="436"/>
      <c r="H21" s="430"/>
    </row>
    <row r="22" spans="1:8" ht="14.25">
      <c r="A22" s="427" t="s">
        <v>7</v>
      </c>
      <c r="B22" s="713" t="s">
        <v>167</v>
      </c>
      <c r="C22" s="713"/>
      <c r="D22" s="429">
        <f>+'[2]2020 TB Fund 02'!$L$283+'[2]2020 TB Fund 02'!$L$287+'[2]2020 TB Fund 02'!$L$289</f>
        <v>1307492.7</v>
      </c>
      <c r="E22" s="429"/>
      <c r="F22" s="429"/>
      <c r="G22" s="429"/>
      <c r="H22" s="430">
        <f aca="true" t="shared" si="0" ref="H22:H32">SUM(D22:G22)</f>
        <v>1307492.7</v>
      </c>
    </row>
    <row r="23" spans="1:8" ht="14.25">
      <c r="A23" s="427" t="s">
        <v>19</v>
      </c>
      <c r="B23" s="713" t="s">
        <v>361</v>
      </c>
      <c r="C23" s="713"/>
      <c r="D23" s="429">
        <f>+'[2]2020 TB Fund 02'!$N$280</f>
        <v>5082946.26</v>
      </c>
      <c r="E23" s="429"/>
      <c r="F23" s="429"/>
      <c r="G23" s="429"/>
      <c r="H23" s="430">
        <f t="shared" si="0"/>
        <v>5082946.26</v>
      </c>
    </row>
    <row r="24" spans="1:8" ht="14.25">
      <c r="A24" s="427" t="s">
        <v>152</v>
      </c>
      <c r="B24" s="438" t="s">
        <v>362</v>
      </c>
      <c r="C24" s="428"/>
      <c r="D24" s="429">
        <f>+'[2]2020 TB Fund 02'!$L$292</f>
        <v>1657.86</v>
      </c>
      <c r="E24" s="429"/>
      <c r="F24" s="429"/>
      <c r="G24" s="429"/>
      <c r="H24" s="430">
        <f t="shared" si="0"/>
        <v>1657.86</v>
      </c>
    </row>
    <row r="25" spans="1:8" ht="14.25">
      <c r="A25" s="427" t="s">
        <v>28</v>
      </c>
      <c r="B25" s="438" t="s">
        <v>363</v>
      </c>
      <c r="C25" s="439"/>
      <c r="D25" s="432">
        <f>+'[2]2020 TB Fund 02'!$L$282</f>
        <v>30000</v>
      </c>
      <c r="E25" s="429"/>
      <c r="F25" s="429"/>
      <c r="G25" s="429"/>
      <c r="H25" s="430">
        <f t="shared" si="0"/>
        <v>30000</v>
      </c>
    </row>
    <row r="26" spans="1:8" ht="14.25">
      <c r="A26" s="427" t="s">
        <v>38</v>
      </c>
      <c r="B26" s="438" t="s">
        <v>170</v>
      </c>
      <c r="C26" s="440" t="s">
        <v>580</v>
      </c>
      <c r="D26" s="429">
        <f>+'[2]2020 TB Fund 02'!$L$293</f>
        <v>1136900.27</v>
      </c>
      <c r="E26" s="429"/>
      <c r="F26" s="429"/>
      <c r="G26" s="429"/>
      <c r="H26" s="430">
        <f t="shared" si="0"/>
        <v>1136900.27</v>
      </c>
    </row>
    <row r="27" spans="1:8" ht="14.25">
      <c r="A27" s="427" t="s">
        <v>44</v>
      </c>
      <c r="B27" s="438" t="s">
        <v>170</v>
      </c>
      <c r="C27" s="441" t="s">
        <v>581</v>
      </c>
      <c r="D27" s="429">
        <f>+'[2]2020 TB Fund 02'!$L$284</f>
        <v>430657.75000000006</v>
      </c>
      <c r="E27" s="429"/>
      <c r="F27" s="429"/>
      <c r="G27" s="429"/>
      <c r="H27" s="430">
        <f t="shared" si="0"/>
        <v>430657.75000000006</v>
      </c>
    </row>
    <row r="28" spans="1:8" s="437" customFormat="1" ht="14.25">
      <c r="A28" s="427" t="s">
        <v>51</v>
      </c>
      <c r="B28" s="438" t="s">
        <v>170</v>
      </c>
      <c r="C28" s="441" t="s">
        <v>502</v>
      </c>
      <c r="D28" s="429">
        <f>+'[2]2020 TB Fund 02'!$L$285</f>
        <v>626992.02</v>
      </c>
      <c r="E28" s="429"/>
      <c r="F28" s="429"/>
      <c r="G28" s="429"/>
      <c r="H28" s="430">
        <f t="shared" si="0"/>
        <v>626992.02</v>
      </c>
    </row>
    <row r="29" spans="1:8" s="437" customFormat="1" ht="14.25">
      <c r="A29" s="427" t="s">
        <v>81</v>
      </c>
      <c r="B29" s="438" t="s">
        <v>170</v>
      </c>
      <c r="C29" s="441" t="s">
        <v>503</v>
      </c>
      <c r="D29" s="429">
        <f>+'[2]2020 TB Fund 02'!$L$286</f>
        <v>19875</v>
      </c>
      <c r="E29" s="429"/>
      <c r="F29" s="429"/>
      <c r="G29" s="429"/>
      <c r="H29" s="430">
        <f t="shared" si="0"/>
        <v>19875</v>
      </c>
    </row>
    <row r="30" spans="1:8" s="437" customFormat="1" ht="14.25">
      <c r="A30" s="427" t="s">
        <v>241</v>
      </c>
      <c r="B30" s="438" t="s">
        <v>170</v>
      </c>
      <c r="C30" s="441" t="s">
        <v>615</v>
      </c>
      <c r="D30" s="429">
        <f>+'[2]2020 TB Fund 02'!$L$290</f>
        <v>2462071.87</v>
      </c>
      <c r="E30" s="429"/>
      <c r="F30" s="429"/>
      <c r="G30" s="429"/>
      <c r="H30" s="430">
        <f t="shared" si="0"/>
        <v>2462071.87</v>
      </c>
    </row>
    <row r="31" spans="1:8" s="437" customFormat="1" ht="14.25">
      <c r="A31" s="427" t="s">
        <v>242</v>
      </c>
      <c r="B31" s="438" t="s">
        <v>170</v>
      </c>
      <c r="C31" s="441" t="s">
        <v>360</v>
      </c>
      <c r="D31" s="429">
        <f>+'[2]2020 TB Fund 02'!$L$294</f>
        <v>932347.36</v>
      </c>
      <c r="E31" s="429"/>
      <c r="F31" s="429"/>
      <c r="G31" s="429"/>
      <c r="H31" s="430">
        <f t="shared" si="0"/>
        <v>932347.36</v>
      </c>
    </row>
    <row r="32" spans="1:8" s="437" customFormat="1" ht="14.25">
      <c r="A32" s="427"/>
      <c r="B32" s="438" t="s">
        <v>170</v>
      </c>
      <c r="C32" s="441" t="s">
        <v>193</v>
      </c>
      <c r="D32" s="429">
        <f>+'[2]2020 TB Fund 02'!$L$281</f>
        <v>346029.57</v>
      </c>
      <c r="E32" s="429"/>
      <c r="F32" s="429"/>
      <c r="G32" s="429"/>
      <c r="H32" s="430">
        <f t="shared" si="0"/>
        <v>346029.57</v>
      </c>
    </row>
    <row r="33" spans="1:8" s="437" customFormat="1" ht="15" thickBot="1">
      <c r="A33" s="433" t="s">
        <v>364</v>
      </c>
      <c r="B33" s="382" t="s">
        <v>365</v>
      </c>
      <c r="C33" s="384"/>
      <c r="D33" s="361">
        <f>SUM(D22:D32)</f>
        <v>12376970.66</v>
      </c>
      <c r="E33" s="361">
        <f>SUM(E22:E32)</f>
        <v>0</v>
      </c>
      <c r="F33" s="361">
        <f>SUM(F22:F32)</f>
        <v>0</v>
      </c>
      <c r="G33" s="361">
        <f>SUM(G22:G32)</f>
        <v>0</v>
      </c>
      <c r="H33" s="361">
        <f>SUM(H22:H32)</f>
        <v>12376970.66</v>
      </c>
    </row>
    <row r="34" spans="1:8" s="437" customFormat="1" ht="15" thickTop="1">
      <c r="A34" s="309"/>
      <c r="B34" s="714"/>
      <c r="C34" s="714"/>
      <c r="D34" s="436"/>
      <c r="E34" s="436"/>
      <c r="F34" s="436"/>
      <c r="G34" s="436"/>
      <c r="H34" s="430"/>
    </row>
    <row r="35" spans="1:8" ht="14.25">
      <c r="A35" s="299" t="s">
        <v>174</v>
      </c>
      <c r="B35" s="664" t="s">
        <v>366</v>
      </c>
      <c r="C35" s="668"/>
      <c r="D35" s="436"/>
      <c r="E35" s="436"/>
      <c r="F35" s="436"/>
      <c r="G35" s="436"/>
      <c r="H35" s="430"/>
    </row>
    <row r="36" spans="1:8" ht="14.25">
      <c r="A36" s="427" t="s">
        <v>7</v>
      </c>
      <c r="B36" s="438" t="s">
        <v>170</v>
      </c>
      <c r="C36" s="441"/>
      <c r="D36" s="429"/>
      <c r="E36" s="429"/>
      <c r="F36" s="429"/>
      <c r="G36" s="429"/>
      <c r="H36" s="430">
        <f aca="true" t="shared" si="1" ref="H36:H41">SUM(D36:G36)</f>
        <v>0</v>
      </c>
    </row>
    <row r="37" spans="1:8" ht="14.25">
      <c r="A37" s="427" t="s">
        <v>19</v>
      </c>
      <c r="B37" s="438" t="s">
        <v>170</v>
      </c>
      <c r="C37" s="441"/>
      <c r="D37" s="429"/>
      <c r="E37" s="429"/>
      <c r="F37" s="429"/>
      <c r="G37" s="429"/>
      <c r="H37" s="430">
        <f t="shared" si="1"/>
        <v>0</v>
      </c>
    </row>
    <row r="38" spans="1:8" ht="14.25">
      <c r="A38" s="427" t="s">
        <v>152</v>
      </c>
      <c r="B38" s="438" t="s">
        <v>170</v>
      </c>
      <c r="C38" s="441"/>
      <c r="D38" s="429"/>
      <c r="E38" s="429"/>
      <c r="F38" s="429"/>
      <c r="G38" s="429"/>
      <c r="H38" s="430">
        <f t="shared" si="1"/>
        <v>0</v>
      </c>
    </row>
    <row r="39" spans="1:8" ht="14.25">
      <c r="A39" s="427" t="s">
        <v>28</v>
      </c>
      <c r="B39" s="438" t="s">
        <v>170</v>
      </c>
      <c r="C39" s="441"/>
      <c r="D39" s="429"/>
      <c r="E39" s="429"/>
      <c r="F39" s="429"/>
      <c r="G39" s="429"/>
      <c r="H39" s="430">
        <f t="shared" si="1"/>
        <v>0</v>
      </c>
    </row>
    <row r="40" spans="1:8" ht="14.25">
      <c r="A40" s="427" t="s">
        <v>38</v>
      </c>
      <c r="B40" s="438" t="s">
        <v>170</v>
      </c>
      <c r="C40" s="441"/>
      <c r="D40" s="429"/>
      <c r="E40" s="429"/>
      <c r="F40" s="429"/>
      <c r="G40" s="429"/>
      <c r="H40" s="430">
        <f t="shared" si="1"/>
        <v>0</v>
      </c>
    </row>
    <row r="41" spans="1:8" ht="14.25">
      <c r="A41" s="427" t="s">
        <v>44</v>
      </c>
      <c r="B41" s="438" t="s">
        <v>170</v>
      </c>
      <c r="C41" s="441"/>
      <c r="D41" s="429"/>
      <c r="E41" s="429"/>
      <c r="F41" s="429"/>
      <c r="G41" s="429"/>
      <c r="H41" s="430">
        <f t="shared" si="1"/>
        <v>0</v>
      </c>
    </row>
    <row r="42" spans="1:8" ht="15" thickBot="1">
      <c r="A42" s="433" t="s">
        <v>51</v>
      </c>
      <c r="B42" s="382" t="s">
        <v>367</v>
      </c>
      <c r="C42" s="384"/>
      <c r="D42" s="361">
        <f>SUM(D36:D41)</f>
        <v>0</v>
      </c>
      <c r="E42" s="361">
        <f>SUM(E36:E41)</f>
        <v>0</v>
      </c>
      <c r="F42" s="361">
        <f>SUM(F36:F41)</f>
        <v>0</v>
      </c>
      <c r="G42" s="361">
        <f>SUM(G36:G41)</f>
        <v>0</v>
      </c>
      <c r="H42" s="434">
        <f>SUM(H36:H41)</f>
        <v>0</v>
      </c>
    </row>
    <row r="43" spans="1:8" ht="21" customHeight="1" thickBot="1" thickTop="1">
      <c r="A43" s="442" t="s">
        <v>183</v>
      </c>
      <c r="B43" s="715" t="s">
        <v>368</v>
      </c>
      <c r="C43" s="715"/>
      <c r="D43" s="385">
        <f>D42+D33+D19</f>
        <v>18490631.18</v>
      </c>
      <c r="E43" s="385">
        <f>E42+E33+E19</f>
        <v>142952.62</v>
      </c>
      <c r="F43" s="385">
        <f>F42+F33+F19</f>
        <v>2315897.8299999996</v>
      </c>
      <c r="G43" s="385">
        <f>G42+G33+G19</f>
        <v>0</v>
      </c>
      <c r="H43" s="443">
        <f>H42+H33+H19</f>
        <v>20949481.630000003</v>
      </c>
    </row>
    <row r="44" spans="1:8" ht="15" thickBot="1" thickTop="1">
      <c r="A44" s="444"/>
      <c r="B44" s="417"/>
      <c r="C44" s="417"/>
      <c r="D44" s="417"/>
      <c r="E44" s="417"/>
      <c r="F44" s="417"/>
      <c r="G44" s="417"/>
      <c r="H44" s="445"/>
    </row>
  </sheetData>
  <sheetProtection/>
  <mergeCells count="16">
    <mergeCell ref="B23:C23"/>
    <mergeCell ref="B34:C34"/>
    <mergeCell ref="B35:C35"/>
    <mergeCell ref="B43:C43"/>
    <mergeCell ref="B13:C13"/>
    <mergeCell ref="B14:C14"/>
    <mergeCell ref="B15:C15"/>
    <mergeCell ref="B16:C16"/>
    <mergeCell ref="B21:C21"/>
    <mergeCell ref="B22:C22"/>
    <mergeCell ref="A1:H1"/>
    <mergeCell ref="A2:H2"/>
    <mergeCell ref="A3:H3"/>
    <mergeCell ref="A4:H4"/>
    <mergeCell ref="G10:H10"/>
    <mergeCell ref="A12:C12"/>
  </mergeCells>
  <printOptions horizontalCentered="1"/>
  <pageMargins left="0.7" right="0.7" top="0.75" bottom="0.75" header="0.3" footer="0.3"/>
  <pageSetup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R15" sqref="R15"/>
    </sheetView>
  </sheetViews>
  <sheetFormatPr defaultColWidth="9.7109375" defaultRowHeight="15"/>
  <cols>
    <col min="1" max="1" width="9.7109375" style="2" customWidth="1"/>
    <col min="2" max="2" width="2.7109375" style="2" customWidth="1"/>
    <col min="3" max="3" width="9.7109375" style="2" customWidth="1"/>
    <col min="4" max="4" width="7.57421875" style="2" customWidth="1"/>
    <col min="5" max="5" width="9.7109375" style="2" customWidth="1"/>
    <col min="6" max="6" width="1.7109375" style="2" customWidth="1"/>
    <col min="7" max="7" width="11.28125" style="2" customWidth="1"/>
    <col min="8" max="8" width="0.85546875" style="2" customWidth="1"/>
    <col min="9" max="9" width="5.140625" style="2" customWidth="1"/>
    <col min="10" max="10" width="9.7109375" style="2" customWidth="1"/>
    <col min="11" max="11" width="1.7109375" style="2" customWidth="1"/>
    <col min="12" max="12" width="10.140625" style="2" bestFit="1" customWidth="1"/>
    <col min="13" max="13" width="12.57421875" style="2" customWidth="1"/>
    <col min="14" max="14" width="12.140625" style="2" customWidth="1"/>
    <col min="15" max="15" width="10.8515625" style="2" customWidth="1"/>
    <col min="16" max="16384" width="9.7109375" style="2" customWidth="1"/>
  </cols>
  <sheetData>
    <row r="1" spans="1:16" ht="13.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2"/>
    </row>
    <row r="2" spans="1:16" ht="13.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2"/>
    </row>
    <row r="3" spans="1:16" ht="13.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2"/>
    </row>
    <row r="4" spans="1:16" ht="13.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2"/>
    </row>
    <row r="5" spans="2:16" ht="13.5" thickBo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.75">
      <c r="A6" s="73" t="s">
        <v>49</v>
      </c>
      <c r="B6" s="55"/>
      <c r="C6" s="55"/>
      <c r="D6" s="56" t="s">
        <v>23</v>
      </c>
      <c r="E6" s="678">
        <f>'[1]P1 Info &amp; Certification'!L20</f>
        <v>43831</v>
      </c>
      <c r="F6" s="678"/>
      <c r="G6" s="678"/>
      <c r="H6" s="57"/>
      <c r="I6" s="58"/>
      <c r="J6" s="56" t="s">
        <v>24</v>
      </c>
      <c r="K6" s="55"/>
      <c r="L6" s="678">
        <f>'[1]P1 Info &amp; Certification'!N20</f>
        <v>44196</v>
      </c>
      <c r="M6" s="678"/>
      <c r="N6" s="678"/>
      <c r="O6" s="59"/>
      <c r="P6" s="60"/>
    </row>
    <row r="7" spans="1:15" ht="12.75">
      <c r="A7" s="194"/>
      <c r="B7" s="60"/>
      <c r="O7" s="62"/>
    </row>
    <row r="8" spans="1:15" ht="12.75">
      <c r="A8" s="195" t="s">
        <v>50</v>
      </c>
      <c r="B8" s="196"/>
      <c r="C8" s="196"/>
      <c r="D8" s="716" t="str">
        <f>'[1]P1 Info &amp; Certification'!E12</f>
        <v>CIFC Inc./ Greater Danbury Community Health Center</v>
      </c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7"/>
    </row>
    <row r="9" spans="1:15" ht="13.5" thickBot="1">
      <c r="A9" s="718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20"/>
    </row>
    <row r="10" spans="1:15" ht="15">
      <c r="A10" s="32"/>
      <c r="B10" s="197"/>
      <c r="O10" s="76" t="s">
        <v>165</v>
      </c>
    </row>
    <row r="11" spans="1:2" ht="14.25" thickBot="1">
      <c r="A11" s="198"/>
      <c r="B11" s="197"/>
    </row>
    <row r="12" spans="1:15" s="1" customFormat="1" ht="13.5" thickBot="1">
      <c r="A12" s="684" t="s">
        <v>166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721"/>
      <c r="O12" s="722"/>
    </row>
    <row r="13" spans="1:15" s="1" customFormat="1" ht="13.5" thickBot="1">
      <c r="A13" s="199" t="s">
        <v>109</v>
      </c>
      <c r="B13" s="496"/>
      <c r="C13" s="723" t="s">
        <v>167</v>
      </c>
      <c r="D13" s="723"/>
      <c r="E13" s="723"/>
      <c r="F13" s="723"/>
      <c r="G13" s="723"/>
      <c r="H13" s="723"/>
      <c r="I13" s="723"/>
      <c r="J13" s="723"/>
      <c r="K13" s="724"/>
      <c r="L13" s="725" t="s">
        <v>168</v>
      </c>
      <c r="M13" s="722"/>
      <c r="N13" s="726"/>
      <c r="O13" s="727"/>
    </row>
    <row r="14" spans="1:15" ht="12.75">
      <c r="A14" s="200"/>
      <c r="B14" s="498" t="s">
        <v>7</v>
      </c>
      <c r="C14" s="728" t="s">
        <v>169</v>
      </c>
      <c r="D14" s="728"/>
      <c r="E14" s="728"/>
      <c r="F14" s="728"/>
      <c r="G14" s="728"/>
      <c r="H14" s="728"/>
      <c r="I14" s="728"/>
      <c r="J14" s="728"/>
      <c r="K14" s="728"/>
      <c r="L14" s="729"/>
      <c r="M14" s="729"/>
      <c r="N14" s="730"/>
      <c r="O14" s="731"/>
    </row>
    <row r="15" spans="1:15" ht="12.75">
      <c r="A15" s="200"/>
      <c r="B15" s="498" t="s">
        <v>19</v>
      </c>
      <c r="C15" s="728" t="s">
        <v>25</v>
      </c>
      <c r="D15" s="728"/>
      <c r="E15" s="728"/>
      <c r="F15" s="728"/>
      <c r="G15" s="728"/>
      <c r="H15" s="728"/>
      <c r="I15" s="728"/>
      <c r="J15" s="728"/>
      <c r="K15" s="728"/>
      <c r="L15" s="729"/>
      <c r="M15" s="729"/>
      <c r="N15" s="730"/>
      <c r="O15" s="731"/>
    </row>
    <row r="16" spans="1:15" ht="12.75">
      <c r="A16" s="200"/>
      <c r="B16" s="498" t="s">
        <v>152</v>
      </c>
      <c r="C16" s="728" t="s">
        <v>26</v>
      </c>
      <c r="D16" s="728"/>
      <c r="E16" s="728"/>
      <c r="F16" s="728"/>
      <c r="G16" s="728"/>
      <c r="H16" s="728"/>
      <c r="I16" s="728"/>
      <c r="J16" s="728"/>
      <c r="K16" s="728"/>
      <c r="L16" s="729"/>
      <c r="M16" s="729"/>
      <c r="N16" s="730"/>
      <c r="O16" s="731"/>
    </row>
    <row r="17" spans="1:15" ht="12.75">
      <c r="A17" s="200"/>
      <c r="B17" s="498" t="s">
        <v>28</v>
      </c>
      <c r="C17" s="728" t="s">
        <v>170</v>
      </c>
      <c r="D17" s="728"/>
      <c r="E17" s="732" t="s">
        <v>496</v>
      </c>
      <c r="F17" s="732"/>
      <c r="G17" s="732"/>
      <c r="H17" s="732"/>
      <c r="I17" s="732"/>
      <c r="J17" s="732"/>
      <c r="K17" s="201"/>
      <c r="L17" s="729"/>
      <c r="M17" s="729"/>
      <c r="N17" s="730"/>
      <c r="O17" s="731"/>
    </row>
    <row r="18" spans="1:15" ht="12.75">
      <c r="A18" s="200"/>
      <c r="B18" s="499"/>
      <c r="C18" s="728" t="s">
        <v>170</v>
      </c>
      <c r="D18" s="728"/>
      <c r="E18" s="732" t="s">
        <v>497</v>
      </c>
      <c r="F18" s="732"/>
      <c r="G18" s="732"/>
      <c r="H18" s="732"/>
      <c r="I18" s="732"/>
      <c r="J18" s="732"/>
      <c r="K18" s="201"/>
      <c r="L18" s="729">
        <f>-('[2]2020 TB Fund 02'!$G$148+'[2]2020 TB Fund 02'!$G$147)</f>
        <v>30000</v>
      </c>
      <c r="M18" s="729"/>
      <c r="N18" s="730"/>
      <c r="O18" s="731"/>
    </row>
    <row r="19" spans="1:15" ht="12.75">
      <c r="A19" s="200"/>
      <c r="B19" s="472"/>
      <c r="C19" s="728" t="s">
        <v>170</v>
      </c>
      <c r="D19" s="728"/>
      <c r="E19" s="732" t="s">
        <v>498</v>
      </c>
      <c r="F19" s="732"/>
      <c r="G19" s="732"/>
      <c r="H19" s="732"/>
      <c r="I19" s="732"/>
      <c r="J19" s="732"/>
      <c r="K19" s="201"/>
      <c r="L19" s="729">
        <f>+'[2]2020 TB Fund 02'!$L$282+'[2]2020 TB Fund 02'!$L$287</f>
        <v>110392.39</v>
      </c>
      <c r="M19" s="729"/>
      <c r="N19" s="730"/>
      <c r="O19" s="731"/>
    </row>
    <row r="20" spans="1:15" ht="12.75">
      <c r="A20" s="200"/>
      <c r="B20" s="472"/>
      <c r="C20" s="728" t="s">
        <v>170</v>
      </c>
      <c r="D20" s="728"/>
      <c r="E20" s="733"/>
      <c r="F20" s="733"/>
      <c r="G20" s="733"/>
      <c r="H20" s="733"/>
      <c r="I20" s="733"/>
      <c r="J20" s="733"/>
      <c r="K20" s="201"/>
      <c r="L20" s="734"/>
      <c r="M20" s="735"/>
      <c r="N20" s="736"/>
      <c r="O20" s="737"/>
    </row>
    <row r="21" spans="1:15" ht="12.75">
      <c r="A21" s="200"/>
      <c r="B21" s="472"/>
      <c r="C21" s="728" t="s">
        <v>170</v>
      </c>
      <c r="D21" s="728"/>
      <c r="E21" s="738"/>
      <c r="F21" s="738"/>
      <c r="G21" s="738"/>
      <c r="H21" s="738"/>
      <c r="I21" s="738"/>
      <c r="J21" s="738"/>
      <c r="K21" s="201"/>
      <c r="L21" s="729"/>
      <c r="M21" s="729"/>
      <c r="N21" s="730"/>
      <c r="O21" s="731"/>
    </row>
    <row r="22" spans="1:22" ht="13.5" thickBot="1">
      <c r="A22" s="202"/>
      <c r="B22" s="500" t="s">
        <v>38</v>
      </c>
      <c r="C22" s="739" t="s">
        <v>171</v>
      </c>
      <c r="D22" s="739"/>
      <c r="E22" s="739"/>
      <c r="F22" s="739"/>
      <c r="G22" s="739"/>
      <c r="H22" s="739"/>
      <c r="I22" s="739"/>
      <c r="J22" s="739"/>
      <c r="K22" s="739"/>
      <c r="L22" s="740">
        <f>SUM(L14:M21)</f>
        <v>140392.39</v>
      </c>
      <c r="M22" s="740"/>
      <c r="N22" s="741"/>
      <c r="O22" s="742"/>
      <c r="T22" s="694"/>
      <c r="U22" s="694"/>
      <c r="V22" s="694"/>
    </row>
    <row r="23" spans="1:15" ht="13.5" thickBot="1" thickTop="1">
      <c r="A23" s="202"/>
      <c r="B23" s="501"/>
      <c r="C23" s="739"/>
      <c r="D23" s="739"/>
      <c r="E23" s="739"/>
      <c r="F23" s="739"/>
      <c r="G23" s="739"/>
      <c r="H23" s="739"/>
      <c r="I23" s="739"/>
      <c r="J23" s="739"/>
      <c r="K23" s="739"/>
      <c r="L23" s="743"/>
      <c r="M23" s="743"/>
      <c r="N23" s="743"/>
      <c r="O23" s="744"/>
    </row>
    <row r="24" spans="1:15" ht="13.5" thickBot="1">
      <c r="A24" s="199" t="s">
        <v>155</v>
      </c>
      <c r="B24" s="496"/>
      <c r="C24" s="723" t="s">
        <v>172</v>
      </c>
      <c r="D24" s="723"/>
      <c r="E24" s="723"/>
      <c r="F24" s="723"/>
      <c r="G24" s="723"/>
      <c r="H24" s="723"/>
      <c r="I24" s="723"/>
      <c r="J24" s="723"/>
      <c r="K24" s="724"/>
      <c r="L24" s="743"/>
      <c r="M24" s="743"/>
      <c r="N24" s="743"/>
      <c r="O24" s="744"/>
    </row>
    <row r="25" spans="1:15" ht="12.75">
      <c r="A25" s="200"/>
      <c r="B25" s="498" t="s">
        <v>7</v>
      </c>
      <c r="C25" s="728" t="s">
        <v>169</v>
      </c>
      <c r="D25" s="728"/>
      <c r="E25" s="728"/>
      <c r="F25" s="728"/>
      <c r="G25" s="728"/>
      <c r="H25" s="728"/>
      <c r="I25" s="728"/>
      <c r="J25" s="728"/>
      <c r="K25" s="728"/>
      <c r="L25" s="729">
        <f>+'[2]2020 TB Fund 02'!$L$278</f>
        <v>1174295.5</v>
      </c>
      <c r="M25" s="729"/>
      <c r="N25" s="730"/>
      <c r="O25" s="731"/>
    </row>
    <row r="26" spans="1:15" ht="12.75">
      <c r="A26" s="205"/>
      <c r="B26" s="498" t="s">
        <v>19</v>
      </c>
      <c r="C26" s="728" t="s">
        <v>25</v>
      </c>
      <c r="D26" s="728"/>
      <c r="E26" s="728"/>
      <c r="F26" s="728"/>
      <c r="G26" s="728"/>
      <c r="H26" s="728"/>
      <c r="I26" s="728"/>
      <c r="J26" s="728"/>
      <c r="K26" s="728"/>
      <c r="L26" s="729"/>
      <c r="M26" s="729"/>
      <c r="N26" s="730"/>
      <c r="O26" s="731"/>
    </row>
    <row r="27" spans="1:15" ht="12.75">
      <c r="A27" s="206"/>
      <c r="B27" s="498" t="s">
        <v>152</v>
      </c>
      <c r="C27" s="728" t="s">
        <v>26</v>
      </c>
      <c r="D27" s="728"/>
      <c r="E27" s="728"/>
      <c r="F27" s="728"/>
      <c r="G27" s="728"/>
      <c r="H27" s="728"/>
      <c r="I27" s="728"/>
      <c r="J27" s="728"/>
      <c r="K27" s="728"/>
      <c r="L27" s="729"/>
      <c r="M27" s="729"/>
      <c r="N27" s="730"/>
      <c r="O27" s="731"/>
    </row>
    <row r="28" spans="1:15" ht="12.75">
      <c r="A28" s="207"/>
      <c r="B28" s="498" t="s">
        <v>28</v>
      </c>
      <c r="C28" s="728" t="s">
        <v>170</v>
      </c>
      <c r="D28" s="728"/>
      <c r="E28" s="732" t="s">
        <v>499</v>
      </c>
      <c r="F28" s="732"/>
      <c r="G28" s="732"/>
      <c r="H28" s="732"/>
      <c r="I28" s="732"/>
      <c r="J28" s="732"/>
      <c r="K28" s="201"/>
      <c r="L28" s="729">
        <f>+'[2]2020 TB Fund 02'!$L$279</f>
        <v>3872127</v>
      </c>
      <c r="M28" s="729"/>
      <c r="N28" s="730"/>
      <c r="O28" s="731"/>
    </row>
    <row r="29" spans="1:15" s="1" customFormat="1" ht="12.75">
      <c r="A29" s="200"/>
      <c r="B29" s="499"/>
      <c r="C29" s="728" t="s">
        <v>170</v>
      </c>
      <c r="D29" s="728"/>
      <c r="E29" s="732" t="s">
        <v>500</v>
      </c>
      <c r="F29" s="732"/>
      <c r="G29" s="732"/>
      <c r="H29" s="732"/>
      <c r="I29" s="732"/>
      <c r="J29" s="732"/>
      <c r="K29" s="201"/>
      <c r="L29" s="729"/>
      <c r="M29" s="729"/>
      <c r="N29" s="730"/>
      <c r="O29" s="731"/>
    </row>
    <row r="30" spans="1:15" ht="12.75">
      <c r="A30" s="200"/>
      <c r="B30" s="472"/>
      <c r="C30" s="728" t="s">
        <v>170</v>
      </c>
      <c r="D30" s="728"/>
      <c r="E30" s="732" t="s">
        <v>501</v>
      </c>
      <c r="F30" s="732"/>
      <c r="G30" s="732"/>
      <c r="H30" s="732"/>
      <c r="I30" s="732"/>
      <c r="J30" s="732"/>
      <c r="K30" s="201"/>
      <c r="L30" s="734">
        <f>+'[2]2020 TB Fund 02'!$L$284</f>
        <v>430657.75000000006</v>
      </c>
      <c r="M30" s="735"/>
      <c r="N30" s="736"/>
      <c r="O30" s="737"/>
    </row>
    <row r="31" spans="1:15" ht="12.75">
      <c r="A31" s="205"/>
      <c r="B31" s="472"/>
      <c r="C31" s="728" t="s">
        <v>170</v>
      </c>
      <c r="D31" s="728"/>
      <c r="E31" s="745" t="s">
        <v>502</v>
      </c>
      <c r="F31" s="745"/>
      <c r="G31" s="745"/>
      <c r="H31" s="745"/>
      <c r="I31" s="745"/>
      <c r="J31" s="745"/>
      <c r="K31" s="201"/>
      <c r="L31" s="729">
        <f>+'[2]2020 TB Fund 02'!$L$285</f>
        <v>626992.02</v>
      </c>
      <c r="M31" s="729"/>
      <c r="N31" s="730"/>
      <c r="O31" s="731"/>
    </row>
    <row r="32" spans="1:15" ht="12.75">
      <c r="A32" s="206"/>
      <c r="B32" s="472"/>
      <c r="C32" s="728" t="s">
        <v>170</v>
      </c>
      <c r="D32" s="728"/>
      <c r="E32" s="745" t="s">
        <v>503</v>
      </c>
      <c r="F32" s="745"/>
      <c r="G32" s="745"/>
      <c r="H32" s="745"/>
      <c r="I32" s="745"/>
      <c r="J32" s="745"/>
      <c r="K32" s="201"/>
      <c r="L32" s="729">
        <f>+'[2]2020 TB Fund 02'!$L$286</f>
        <v>19875</v>
      </c>
      <c r="M32" s="729"/>
      <c r="N32" s="730"/>
      <c r="O32" s="731"/>
    </row>
    <row r="33" spans="1:15" ht="12.75">
      <c r="A33" s="206"/>
      <c r="B33" s="472"/>
      <c r="C33" s="739" t="s">
        <v>170</v>
      </c>
      <c r="D33" s="739"/>
      <c r="E33" s="732" t="s">
        <v>193</v>
      </c>
      <c r="F33" s="732"/>
      <c r="G33" s="732"/>
      <c r="H33" s="732"/>
      <c r="I33" s="732"/>
      <c r="J33" s="732"/>
      <c r="K33" s="472"/>
      <c r="L33" s="729">
        <f>+'[2]2020 TB Fund 02'!$L$281</f>
        <v>346029.57</v>
      </c>
      <c r="M33" s="729"/>
      <c r="N33" s="495"/>
      <c r="O33" s="502"/>
    </row>
    <row r="34" spans="1:15" ht="13.5" thickBot="1">
      <c r="A34" s="202"/>
      <c r="B34" s="500" t="s">
        <v>38</v>
      </c>
      <c r="C34" s="739" t="s">
        <v>171</v>
      </c>
      <c r="D34" s="739"/>
      <c r="E34" s="739"/>
      <c r="F34" s="739"/>
      <c r="G34" s="739"/>
      <c r="H34" s="739"/>
      <c r="I34" s="739"/>
      <c r="J34" s="739"/>
      <c r="K34" s="739"/>
      <c r="L34" s="740">
        <f>SUM(L25:M33)</f>
        <v>6469976.84</v>
      </c>
      <c r="M34" s="740"/>
      <c r="N34" s="741"/>
      <c r="O34" s="742"/>
    </row>
    <row r="35" spans="1:15" ht="13.5" thickTop="1">
      <c r="A35" s="61"/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62"/>
    </row>
    <row r="36" spans="1:15" ht="13.5" thickBot="1">
      <c r="A36" s="63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9"/>
    </row>
  </sheetData>
  <sheetProtection/>
  <mergeCells count="86">
    <mergeCell ref="C32:D32"/>
    <mergeCell ref="E32:J32"/>
    <mergeCell ref="L32:M32"/>
    <mergeCell ref="N32:O32"/>
    <mergeCell ref="C34:K34"/>
    <mergeCell ref="L34:M34"/>
    <mergeCell ref="N34:O34"/>
    <mergeCell ref="L33:M33"/>
    <mergeCell ref="C33:D33"/>
    <mergeCell ref="E33:J33"/>
    <mergeCell ref="C30:D30"/>
    <mergeCell ref="E30:J30"/>
    <mergeCell ref="L30:M30"/>
    <mergeCell ref="N30:O30"/>
    <mergeCell ref="C31:D31"/>
    <mergeCell ref="E31:J31"/>
    <mergeCell ref="L31:M31"/>
    <mergeCell ref="N31:O31"/>
    <mergeCell ref="C28:D28"/>
    <mergeCell ref="E28:J28"/>
    <mergeCell ref="L28:M28"/>
    <mergeCell ref="N28:O28"/>
    <mergeCell ref="C29:D29"/>
    <mergeCell ref="E29:J29"/>
    <mergeCell ref="L29:M29"/>
    <mergeCell ref="N29:O29"/>
    <mergeCell ref="C26:K26"/>
    <mergeCell ref="L26:M26"/>
    <mergeCell ref="N26:O26"/>
    <mergeCell ref="C27:K27"/>
    <mergeCell ref="L27:M27"/>
    <mergeCell ref="N27:O27"/>
    <mergeCell ref="C24:K24"/>
    <mergeCell ref="L24:M24"/>
    <mergeCell ref="N24:O24"/>
    <mergeCell ref="C25:K25"/>
    <mergeCell ref="L25:M25"/>
    <mergeCell ref="N25:O25"/>
    <mergeCell ref="C22:K22"/>
    <mergeCell ref="L22:M22"/>
    <mergeCell ref="N22:O22"/>
    <mergeCell ref="T22:V22"/>
    <mergeCell ref="C23:K23"/>
    <mergeCell ref="L23:M23"/>
    <mergeCell ref="N23:O23"/>
    <mergeCell ref="C20:D20"/>
    <mergeCell ref="E20:J20"/>
    <mergeCell ref="L20:M20"/>
    <mergeCell ref="N20:O20"/>
    <mergeCell ref="C21:D21"/>
    <mergeCell ref="E21:J21"/>
    <mergeCell ref="L21:M21"/>
    <mergeCell ref="N21:O21"/>
    <mergeCell ref="C18:D18"/>
    <mergeCell ref="E18:J18"/>
    <mergeCell ref="L18:M18"/>
    <mergeCell ref="N18:O18"/>
    <mergeCell ref="C19:D19"/>
    <mergeCell ref="E19:J19"/>
    <mergeCell ref="L19:M19"/>
    <mergeCell ref="N19:O19"/>
    <mergeCell ref="C16:K16"/>
    <mergeCell ref="L16:M16"/>
    <mergeCell ref="N16:O16"/>
    <mergeCell ref="C17:D17"/>
    <mergeCell ref="E17:J17"/>
    <mergeCell ref="L17:M17"/>
    <mergeCell ref="N17:O17"/>
    <mergeCell ref="C14:K14"/>
    <mergeCell ref="L14:M14"/>
    <mergeCell ref="N14:O14"/>
    <mergeCell ref="C15:K15"/>
    <mergeCell ref="L15:M15"/>
    <mergeCell ref="N15:O15"/>
    <mergeCell ref="D8:O8"/>
    <mergeCell ref="A9:O9"/>
    <mergeCell ref="A12:O12"/>
    <mergeCell ref="C13:K13"/>
    <mergeCell ref="L13:M13"/>
    <mergeCell ref="N13:O13"/>
    <mergeCell ref="A1:O1"/>
    <mergeCell ref="A2:O2"/>
    <mergeCell ref="A3:O3"/>
    <mergeCell ref="A4:O4"/>
    <mergeCell ref="E6:G6"/>
    <mergeCell ref="L6:N6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P11" sqref="P1:IV16384"/>
    </sheetView>
  </sheetViews>
  <sheetFormatPr defaultColWidth="9.7109375" defaultRowHeight="15"/>
  <cols>
    <col min="1" max="1" width="7.57421875" style="2" customWidth="1"/>
    <col min="2" max="2" width="4.421875" style="2" customWidth="1"/>
    <col min="3" max="3" width="9.7109375" style="2" customWidth="1"/>
    <col min="4" max="4" width="7.57421875" style="2" customWidth="1"/>
    <col min="5" max="5" width="9.7109375" style="2" customWidth="1"/>
    <col min="6" max="6" width="1.7109375" style="2" customWidth="1"/>
    <col min="7" max="7" width="11.28125" style="2" customWidth="1"/>
    <col min="8" max="8" width="0.85546875" style="2" customWidth="1"/>
    <col min="9" max="9" width="5.140625" style="2" customWidth="1"/>
    <col min="10" max="10" width="9.7109375" style="2" customWidth="1"/>
    <col min="11" max="11" width="1.7109375" style="2" customWidth="1"/>
    <col min="12" max="12" width="10.140625" style="2" bestFit="1" customWidth="1"/>
    <col min="13" max="13" width="12.57421875" style="2" customWidth="1"/>
    <col min="14" max="14" width="12.140625" style="2" customWidth="1"/>
    <col min="15" max="15" width="10.8515625" style="2" customWidth="1"/>
    <col min="16" max="16384" width="9.7109375" style="2" customWidth="1"/>
  </cols>
  <sheetData>
    <row r="1" spans="1:16" ht="13.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2"/>
    </row>
    <row r="2" spans="1:16" ht="13.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2"/>
    </row>
    <row r="3" spans="1:16" ht="13.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2"/>
    </row>
    <row r="4" spans="1:16" ht="13.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2"/>
    </row>
    <row r="5" spans="2:16" ht="13.5" thickBo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05"/>
    </row>
    <row r="6" spans="1:16" ht="12.75">
      <c r="A6" s="73" t="s">
        <v>49</v>
      </c>
      <c r="B6" s="55"/>
      <c r="C6" s="55"/>
      <c r="D6" s="56" t="s">
        <v>23</v>
      </c>
      <c r="E6" s="678">
        <f>'[1]P1 Info &amp; Certification'!L20</f>
        <v>43831</v>
      </c>
      <c r="F6" s="678"/>
      <c r="G6" s="678"/>
      <c r="H6" s="57"/>
      <c r="I6" s="58"/>
      <c r="J6" s="56" t="s">
        <v>24</v>
      </c>
      <c r="K6" s="55"/>
      <c r="L6" s="678">
        <f>'[1]P1 Info &amp; Certification'!N20</f>
        <v>44196</v>
      </c>
      <c r="M6" s="678"/>
      <c r="N6" s="678"/>
      <c r="O6" s="59"/>
      <c r="P6" s="509"/>
    </row>
    <row r="7" spans="1:15" ht="12.75">
      <c r="A7" s="194"/>
      <c r="B7" s="60"/>
      <c r="O7" s="62"/>
    </row>
    <row r="8" spans="1:15" ht="12.75">
      <c r="A8" s="195" t="s">
        <v>50</v>
      </c>
      <c r="B8" s="196"/>
      <c r="C8" s="196"/>
      <c r="D8" s="716" t="str">
        <f>'[1]P1 Info &amp; Certification'!E12</f>
        <v>CIFC Inc./ Greater Danbury Community Health Center</v>
      </c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7"/>
    </row>
    <row r="9" spans="1:15" ht="13.5" thickBot="1">
      <c r="A9" s="718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20"/>
    </row>
    <row r="10" spans="1:15" ht="15">
      <c r="A10" s="32"/>
      <c r="B10" s="197"/>
      <c r="O10" s="76" t="s">
        <v>369</v>
      </c>
    </row>
    <row r="11" spans="1:2" ht="14.25" thickBot="1">
      <c r="A11" s="198"/>
      <c r="B11" s="197"/>
    </row>
    <row r="12" spans="1:15" s="504" customFormat="1" ht="13.5" thickBot="1">
      <c r="A12" s="684" t="s">
        <v>370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6"/>
    </row>
    <row r="13" spans="1:15" s="504" customFormat="1" ht="13.5" thickBot="1">
      <c r="A13" s="446" t="s">
        <v>109</v>
      </c>
      <c r="B13" s="746" t="s">
        <v>371</v>
      </c>
      <c r="C13" s="723"/>
      <c r="D13" s="723"/>
      <c r="E13" s="723"/>
      <c r="F13" s="723"/>
      <c r="G13" s="723"/>
      <c r="H13" s="723"/>
      <c r="I13" s="723"/>
      <c r="J13" s="723"/>
      <c r="K13" s="724"/>
      <c r="L13" s="747"/>
      <c r="M13" s="747"/>
      <c r="N13" s="748"/>
      <c r="O13" s="744"/>
    </row>
    <row r="14" spans="1:15" ht="12.75">
      <c r="A14" s="447"/>
      <c r="B14" s="203" t="s">
        <v>7</v>
      </c>
      <c r="C14" s="687" t="s">
        <v>372</v>
      </c>
      <c r="D14" s="687"/>
      <c r="E14" s="687"/>
      <c r="F14" s="687"/>
      <c r="G14" s="687"/>
      <c r="H14" s="687"/>
      <c r="I14" s="687"/>
      <c r="J14" s="687"/>
      <c r="K14" s="687"/>
      <c r="L14" s="729"/>
      <c r="M14" s="729"/>
      <c r="N14" s="749"/>
      <c r="O14" s="750"/>
    </row>
    <row r="15" spans="1:15" ht="12.75">
      <c r="A15" s="202"/>
      <c r="B15" s="203" t="s">
        <v>19</v>
      </c>
      <c r="C15" s="687" t="s">
        <v>373</v>
      </c>
      <c r="D15" s="687"/>
      <c r="E15" s="687"/>
      <c r="F15" s="687"/>
      <c r="G15" s="687"/>
      <c r="H15" s="687"/>
      <c r="I15" s="687"/>
      <c r="J15" s="687"/>
      <c r="K15" s="687"/>
      <c r="L15" s="729"/>
      <c r="M15" s="729"/>
      <c r="N15" s="749"/>
      <c r="O15" s="750"/>
    </row>
    <row r="16" spans="1:15" ht="12.75">
      <c r="A16" s="202"/>
      <c r="B16" s="203" t="s">
        <v>152</v>
      </c>
      <c r="C16" s="687" t="s">
        <v>374</v>
      </c>
      <c r="D16" s="687"/>
      <c r="E16" s="687"/>
      <c r="F16" s="687"/>
      <c r="G16" s="687"/>
      <c r="H16" s="687"/>
      <c r="I16" s="687"/>
      <c r="J16" s="687"/>
      <c r="K16" s="448"/>
      <c r="L16" s="729">
        <f>+'[2]Medicare grouping 2020'!$O$44</f>
        <v>60000</v>
      </c>
      <c r="M16" s="729"/>
      <c r="N16" s="749"/>
      <c r="O16" s="750"/>
    </row>
    <row r="17" spans="1:15" ht="12.75">
      <c r="A17" s="202"/>
      <c r="B17" s="203" t="s">
        <v>28</v>
      </c>
      <c r="C17" s="687" t="s">
        <v>375</v>
      </c>
      <c r="D17" s="687"/>
      <c r="E17" s="687"/>
      <c r="F17" s="687"/>
      <c r="G17" s="687"/>
      <c r="H17" s="687"/>
      <c r="I17" s="687"/>
      <c r="J17" s="687"/>
      <c r="K17" s="448"/>
      <c r="L17" s="729"/>
      <c r="M17" s="729"/>
      <c r="N17" s="749"/>
      <c r="O17" s="750"/>
    </row>
    <row r="18" spans="1:15" ht="12.75">
      <c r="A18" s="202"/>
      <c r="B18" s="203" t="s">
        <v>38</v>
      </c>
      <c r="C18" s="687" t="s">
        <v>376</v>
      </c>
      <c r="D18" s="687"/>
      <c r="E18" s="687"/>
      <c r="F18" s="687"/>
      <c r="G18" s="687"/>
      <c r="H18" s="687"/>
      <c r="I18" s="687"/>
      <c r="J18" s="687"/>
      <c r="K18" s="448"/>
      <c r="L18" s="729"/>
      <c r="M18" s="729"/>
      <c r="N18" s="749"/>
      <c r="O18" s="750"/>
    </row>
    <row r="19" spans="1:15" ht="12.75">
      <c r="A19" s="202"/>
      <c r="B19" s="203" t="s">
        <v>44</v>
      </c>
      <c r="C19" s="687" t="s">
        <v>377</v>
      </c>
      <c r="D19" s="687"/>
      <c r="E19" s="687"/>
      <c r="F19" s="687"/>
      <c r="G19" s="687"/>
      <c r="H19" s="687"/>
      <c r="I19" s="687"/>
      <c r="J19" s="687"/>
      <c r="K19" s="448"/>
      <c r="L19" s="729"/>
      <c r="M19" s="729"/>
      <c r="N19" s="449"/>
      <c r="O19" s="450"/>
    </row>
    <row r="20" spans="1:15" ht="12.75">
      <c r="A20" s="202"/>
      <c r="B20" s="451" t="s">
        <v>51</v>
      </c>
      <c r="C20" s="687" t="s">
        <v>378</v>
      </c>
      <c r="D20" s="687"/>
      <c r="E20" s="687"/>
      <c r="F20" s="687"/>
      <c r="G20" s="687"/>
      <c r="H20" s="687"/>
      <c r="I20" s="687"/>
      <c r="J20" s="687"/>
      <c r="K20" s="448"/>
      <c r="L20" s="729"/>
      <c r="M20" s="729"/>
      <c r="N20" s="449"/>
      <c r="O20" s="450"/>
    </row>
    <row r="21" spans="1:15" ht="12.75">
      <c r="A21" s="202"/>
      <c r="B21" s="203" t="s">
        <v>81</v>
      </c>
      <c r="C21" s="687" t="s">
        <v>379</v>
      </c>
      <c r="D21" s="687"/>
      <c r="E21" s="687"/>
      <c r="F21" s="687"/>
      <c r="G21" s="687"/>
      <c r="H21" s="687"/>
      <c r="I21" s="687"/>
      <c r="J21" s="687"/>
      <c r="K21" s="448"/>
      <c r="L21" s="729"/>
      <c r="M21" s="729"/>
      <c r="N21" s="449"/>
      <c r="O21" s="450"/>
    </row>
    <row r="22" spans="1:15" ht="12.75">
      <c r="A22" s="202"/>
      <c r="B22" s="203" t="s">
        <v>241</v>
      </c>
      <c r="C22" s="687" t="s">
        <v>380</v>
      </c>
      <c r="D22" s="687"/>
      <c r="E22" s="687"/>
      <c r="F22" s="687"/>
      <c r="G22" s="687"/>
      <c r="H22" s="687"/>
      <c r="I22" s="687"/>
      <c r="J22" s="687"/>
      <c r="K22" s="448"/>
      <c r="L22" s="729"/>
      <c r="M22" s="729"/>
      <c r="N22" s="449"/>
      <c r="O22" s="450"/>
    </row>
    <row r="23" spans="1:15" ht="12.75">
      <c r="A23" s="202"/>
      <c r="B23" s="203" t="s">
        <v>242</v>
      </c>
      <c r="C23" s="687" t="s">
        <v>381</v>
      </c>
      <c r="D23" s="687"/>
      <c r="E23" s="687"/>
      <c r="F23" s="687"/>
      <c r="G23" s="687"/>
      <c r="H23" s="687"/>
      <c r="I23" s="687"/>
      <c r="J23" s="687"/>
      <c r="K23" s="448"/>
      <c r="L23" s="729"/>
      <c r="M23" s="729"/>
      <c r="N23" s="449"/>
      <c r="O23" s="450"/>
    </row>
    <row r="24" spans="1:15" ht="12.75">
      <c r="A24" s="202"/>
      <c r="B24" s="203" t="s">
        <v>364</v>
      </c>
      <c r="C24" s="687" t="s">
        <v>167</v>
      </c>
      <c r="D24" s="687"/>
      <c r="E24" s="687"/>
      <c r="F24" s="687"/>
      <c r="G24" s="687"/>
      <c r="H24" s="687"/>
      <c r="I24" s="687"/>
      <c r="J24" s="687"/>
      <c r="K24" s="448"/>
      <c r="L24" s="729"/>
      <c r="M24" s="729"/>
      <c r="N24" s="449"/>
      <c r="O24" s="450"/>
    </row>
    <row r="25" spans="1:15" ht="12.75">
      <c r="A25" s="202"/>
      <c r="B25" s="203" t="s">
        <v>382</v>
      </c>
      <c r="C25" s="687" t="s">
        <v>383</v>
      </c>
      <c r="D25" s="687"/>
      <c r="E25" s="687"/>
      <c r="F25" s="687"/>
      <c r="G25" s="687"/>
      <c r="H25" s="687"/>
      <c r="I25" s="687"/>
      <c r="J25" s="687"/>
      <c r="K25" s="448"/>
      <c r="L25" s="729"/>
      <c r="M25" s="729"/>
      <c r="N25" s="449"/>
      <c r="O25" s="450"/>
    </row>
    <row r="26" spans="1:15" ht="12.75">
      <c r="A26" s="202"/>
      <c r="B26" s="203" t="s">
        <v>384</v>
      </c>
      <c r="C26" s="687" t="s">
        <v>385</v>
      </c>
      <c r="D26" s="687"/>
      <c r="E26" s="687"/>
      <c r="F26" s="687"/>
      <c r="G26" s="687"/>
      <c r="H26" s="687"/>
      <c r="I26" s="687"/>
      <c r="J26" s="687"/>
      <c r="K26" s="448"/>
      <c r="L26" s="729"/>
      <c r="M26" s="729"/>
      <c r="N26" s="449"/>
      <c r="O26" s="450"/>
    </row>
    <row r="27" spans="1:15" ht="12.75">
      <c r="A27" s="202"/>
      <c r="B27" s="203" t="s">
        <v>386</v>
      </c>
      <c r="C27" s="687" t="s">
        <v>362</v>
      </c>
      <c r="D27" s="687"/>
      <c r="E27" s="687"/>
      <c r="F27" s="687"/>
      <c r="G27" s="687"/>
      <c r="H27" s="687"/>
      <c r="I27" s="687"/>
      <c r="J27" s="687"/>
      <c r="K27" s="448"/>
      <c r="L27" s="729">
        <f>+'[2]Medicare grouping 2020'!$O$58</f>
        <v>165807.06</v>
      </c>
      <c r="M27" s="729"/>
      <c r="N27" s="449"/>
      <c r="O27" s="450"/>
    </row>
    <row r="28" spans="1:15" ht="12.75">
      <c r="A28" s="202"/>
      <c r="B28" s="203" t="s">
        <v>387</v>
      </c>
      <c r="C28" s="687" t="s">
        <v>388</v>
      </c>
      <c r="D28" s="687"/>
      <c r="E28" s="687"/>
      <c r="F28" s="687"/>
      <c r="G28" s="687"/>
      <c r="H28" s="687"/>
      <c r="I28" s="687"/>
      <c r="J28" s="687"/>
      <c r="K28" s="448"/>
      <c r="L28" s="729"/>
      <c r="M28" s="729"/>
      <c r="N28" s="449"/>
      <c r="O28" s="450"/>
    </row>
    <row r="29" spans="1:22" ht="12.75">
      <c r="A29" s="202"/>
      <c r="B29" s="203" t="s">
        <v>389</v>
      </c>
      <c r="C29" s="687" t="s">
        <v>390</v>
      </c>
      <c r="D29" s="687"/>
      <c r="E29" s="687"/>
      <c r="F29" s="687"/>
      <c r="G29" s="687"/>
      <c r="H29" s="687"/>
      <c r="I29" s="687"/>
      <c r="J29" s="687"/>
      <c r="K29" s="204"/>
      <c r="L29" s="748"/>
      <c r="M29" s="748"/>
      <c r="N29" s="751">
        <f>SUM(L14:M28)</f>
        <v>225807.06</v>
      </c>
      <c r="O29" s="752"/>
      <c r="T29" s="694"/>
      <c r="U29" s="694"/>
      <c r="V29" s="694"/>
    </row>
    <row r="30" spans="1:15" ht="13.5" thickBot="1">
      <c r="A30" s="202"/>
      <c r="B30" s="204"/>
      <c r="C30" s="411"/>
      <c r="D30" s="411"/>
      <c r="E30" s="411"/>
      <c r="F30" s="411"/>
      <c r="G30" s="411"/>
      <c r="H30" s="411"/>
      <c r="I30" s="411"/>
      <c r="J30" s="411"/>
      <c r="K30" s="411"/>
      <c r="L30" s="748"/>
      <c r="M30" s="748"/>
      <c r="N30" s="748"/>
      <c r="O30" s="744"/>
    </row>
    <row r="31" spans="1:15" ht="13.5" thickBot="1">
      <c r="A31" s="199" t="s">
        <v>155</v>
      </c>
      <c r="B31" s="746" t="s">
        <v>391</v>
      </c>
      <c r="C31" s="723"/>
      <c r="D31" s="723"/>
      <c r="E31" s="723"/>
      <c r="F31" s="723"/>
      <c r="G31" s="723"/>
      <c r="H31" s="723"/>
      <c r="I31" s="723"/>
      <c r="J31" s="723"/>
      <c r="K31" s="724"/>
      <c r="L31" s="748"/>
      <c r="M31" s="748"/>
      <c r="N31" s="748"/>
      <c r="O31" s="744"/>
    </row>
    <row r="32" spans="1:15" ht="12.75">
      <c r="A32" s="202"/>
      <c r="B32" s="203" t="s">
        <v>7</v>
      </c>
      <c r="C32" s="687" t="s">
        <v>392</v>
      </c>
      <c r="D32" s="687"/>
      <c r="E32" s="687"/>
      <c r="F32" s="687"/>
      <c r="G32" s="687"/>
      <c r="H32" s="687"/>
      <c r="I32" s="687"/>
      <c r="J32" s="687"/>
      <c r="K32" s="452"/>
      <c r="L32" s="729"/>
      <c r="M32" s="729"/>
      <c r="N32" s="753"/>
      <c r="O32" s="754"/>
    </row>
    <row r="33" spans="1:15" ht="12.75">
      <c r="A33" s="391"/>
      <c r="B33" s="203" t="s">
        <v>19</v>
      </c>
      <c r="C33" s="687" t="s">
        <v>393</v>
      </c>
      <c r="D33" s="687"/>
      <c r="E33" s="687"/>
      <c r="F33" s="687"/>
      <c r="G33" s="687"/>
      <c r="H33" s="687"/>
      <c r="I33" s="687"/>
      <c r="J33" s="687"/>
      <c r="K33" s="448"/>
      <c r="L33" s="729">
        <f>+'[2]2020 TB Fund 02'!$L$291</f>
        <v>20496</v>
      </c>
      <c r="M33" s="729"/>
      <c r="N33" s="755"/>
      <c r="O33" s="756"/>
    </row>
    <row r="34" spans="1:15" ht="12.75">
      <c r="A34" s="453"/>
      <c r="B34" s="203" t="s">
        <v>152</v>
      </c>
      <c r="C34" s="687" t="s">
        <v>394</v>
      </c>
      <c r="D34" s="687"/>
      <c r="E34" s="687"/>
      <c r="F34" s="687"/>
      <c r="G34" s="687"/>
      <c r="H34" s="687"/>
      <c r="I34" s="687"/>
      <c r="J34" s="687"/>
      <c r="K34" s="448"/>
      <c r="L34" s="729">
        <f>+'[2]2020 TB Fund 02'!$L$288</f>
        <v>563716.87</v>
      </c>
      <c r="M34" s="729"/>
      <c r="N34" s="755"/>
      <c r="O34" s="756"/>
    </row>
    <row r="35" spans="1:15" ht="12.75">
      <c r="A35" s="393"/>
      <c r="B35" s="203" t="s">
        <v>28</v>
      </c>
      <c r="C35" s="687" t="s">
        <v>395</v>
      </c>
      <c r="D35" s="687"/>
      <c r="E35" s="687"/>
      <c r="F35" s="687"/>
      <c r="G35" s="687"/>
      <c r="H35" s="687"/>
      <c r="I35" s="687"/>
      <c r="J35" s="687"/>
      <c r="K35" s="448"/>
      <c r="L35" s="729"/>
      <c r="M35" s="729"/>
      <c r="N35" s="755"/>
      <c r="O35" s="756"/>
    </row>
    <row r="36" spans="1:15" s="504" customFormat="1" ht="12.75">
      <c r="A36" s="202"/>
      <c r="B36" s="203" t="s">
        <v>38</v>
      </c>
      <c r="C36" s="687" t="s">
        <v>396</v>
      </c>
      <c r="D36" s="687"/>
      <c r="E36" s="687"/>
      <c r="F36" s="687"/>
      <c r="G36" s="687"/>
      <c r="H36" s="687"/>
      <c r="I36" s="687"/>
      <c r="J36" s="687"/>
      <c r="K36" s="448"/>
      <c r="L36" s="729"/>
      <c r="M36" s="729"/>
      <c r="N36" s="755"/>
      <c r="O36" s="756"/>
    </row>
    <row r="37" spans="1:15" ht="12.75">
      <c r="A37" s="202"/>
      <c r="B37" s="203" t="s">
        <v>44</v>
      </c>
      <c r="C37" s="687" t="s">
        <v>397</v>
      </c>
      <c r="D37" s="687"/>
      <c r="E37" s="687"/>
      <c r="F37" s="687"/>
      <c r="G37" s="687"/>
      <c r="H37" s="687"/>
      <c r="I37" s="687"/>
      <c r="J37" s="687"/>
      <c r="K37" s="448"/>
      <c r="L37" s="734"/>
      <c r="M37" s="735"/>
      <c r="N37" s="757"/>
      <c r="O37" s="758"/>
    </row>
    <row r="38" spans="1:15" ht="12.75">
      <c r="A38" s="202"/>
      <c r="B38" s="203" t="s">
        <v>51</v>
      </c>
      <c r="C38" s="687" t="s">
        <v>398</v>
      </c>
      <c r="D38" s="687"/>
      <c r="E38" s="687"/>
      <c r="F38" s="687"/>
      <c r="G38" s="687"/>
      <c r="H38" s="687"/>
      <c r="I38" s="687"/>
      <c r="J38" s="687"/>
      <c r="K38" s="204"/>
      <c r="L38" s="748"/>
      <c r="M38" s="748"/>
      <c r="N38" s="759">
        <f>SUM(L32:M37)</f>
        <v>584212.87</v>
      </c>
      <c r="O38" s="760"/>
    </row>
    <row r="39" spans="1:15" ht="13.5" thickBot="1">
      <c r="A39" s="61"/>
      <c r="N39" s="454"/>
      <c r="O39" s="455"/>
    </row>
    <row r="40" spans="1:15" ht="13.5" thickBot="1">
      <c r="A40" s="199" t="s">
        <v>174</v>
      </c>
      <c r="B40" s="761" t="s">
        <v>399</v>
      </c>
      <c r="C40" s="762"/>
      <c r="D40" s="762"/>
      <c r="E40" s="762"/>
      <c r="F40" s="762"/>
      <c r="G40" s="762"/>
      <c r="H40" s="762"/>
      <c r="I40" s="762"/>
      <c r="J40" s="762"/>
      <c r="K40" s="763"/>
      <c r="L40" s="208"/>
      <c r="M40" s="208"/>
      <c r="N40" s="740">
        <f>N29+N38</f>
        <v>810019.9299999999</v>
      </c>
      <c r="O40" s="764"/>
    </row>
    <row r="41" spans="1:15" ht="13.5" thickBot="1">
      <c r="A41" s="63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9"/>
    </row>
    <row r="42" spans="1:15" ht="13.5" thickBot="1">
      <c r="A42" s="63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9"/>
    </row>
  </sheetData>
  <sheetProtection/>
  <mergeCells count="79">
    <mergeCell ref="C38:J38"/>
    <mergeCell ref="L38:M38"/>
    <mergeCell ref="N38:O38"/>
    <mergeCell ref="B40:K40"/>
    <mergeCell ref="N40:O40"/>
    <mergeCell ref="C36:J36"/>
    <mergeCell ref="L36:M36"/>
    <mergeCell ref="N36:O36"/>
    <mergeCell ref="C37:J37"/>
    <mergeCell ref="L37:M37"/>
    <mergeCell ref="N37:O37"/>
    <mergeCell ref="C34:J34"/>
    <mergeCell ref="L34:M34"/>
    <mergeCell ref="N34:O34"/>
    <mergeCell ref="C35:J35"/>
    <mergeCell ref="L35:M35"/>
    <mergeCell ref="N35:O35"/>
    <mergeCell ref="C32:J32"/>
    <mergeCell ref="L32:M32"/>
    <mergeCell ref="N32:O32"/>
    <mergeCell ref="C33:J33"/>
    <mergeCell ref="L33:M33"/>
    <mergeCell ref="N33:O33"/>
    <mergeCell ref="N29:O29"/>
    <mergeCell ref="T29:V29"/>
    <mergeCell ref="L30:M30"/>
    <mergeCell ref="N30:O30"/>
    <mergeCell ref="B31:K31"/>
    <mergeCell ref="L31:M31"/>
    <mergeCell ref="N31:O31"/>
    <mergeCell ref="C27:J27"/>
    <mergeCell ref="L27:M27"/>
    <mergeCell ref="C28:J28"/>
    <mergeCell ref="L28:M28"/>
    <mergeCell ref="C29:J29"/>
    <mergeCell ref="L29:M29"/>
    <mergeCell ref="C24:J24"/>
    <mergeCell ref="L24:M24"/>
    <mergeCell ref="C25:J25"/>
    <mergeCell ref="L25:M25"/>
    <mergeCell ref="C26:J26"/>
    <mergeCell ref="L26:M26"/>
    <mergeCell ref="C21:J21"/>
    <mergeCell ref="L21:M21"/>
    <mergeCell ref="C22:J22"/>
    <mergeCell ref="L22:M22"/>
    <mergeCell ref="C23:J23"/>
    <mergeCell ref="L23:M23"/>
    <mergeCell ref="C18:J18"/>
    <mergeCell ref="L18:M18"/>
    <mergeCell ref="N18:O18"/>
    <mergeCell ref="C19:J19"/>
    <mergeCell ref="L19:M19"/>
    <mergeCell ref="C20:J20"/>
    <mergeCell ref="L20:M20"/>
    <mergeCell ref="C16:J16"/>
    <mergeCell ref="L16:M16"/>
    <mergeCell ref="N16:O16"/>
    <mergeCell ref="C17:J17"/>
    <mergeCell ref="L17:M17"/>
    <mergeCell ref="N17:O17"/>
    <mergeCell ref="C14:K14"/>
    <mergeCell ref="L14:M14"/>
    <mergeCell ref="N14:O14"/>
    <mergeCell ref="C15:K15"/>
    <mergeCell ref="L15:M15"/>
    <mergeCell ref="N15:O15"/>
    <mergeCell ref="D8:O8"/>
    <mergeCell ref="A9:O9"/>
    <mergeCell ref="A12:O12"/>
    <mergeCell ref="B13:K13"/>
    <mergeCell ref="L13:M13"/>
    <mergeCell ref="N13:O13"/>
    <mergeCell ref="A1:O1"/>
    <mergeCell ref="A2:O2"/>
    <mergeCell ref="A3:O3"/>
    <mergeCell ref="A4:O4"/>
    <mergeCell ref="E6:G6"/>
    <mergeCell ref="L6:N6"/>
  </mergeCells>
  <printOptions horizontalCentered="1"/>
  <pageMargins left="0.7" right="0.7" top="0.75" bottom="0.75" header="0.3" footer="0.3"/>
  <pageSetup horizontalDpi="600" verticalDpi="600" orientation="portrait" scale="7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9">
      <selection activeCell="K29" sqref="K29:M29"/>
    </sheetView>
  </sheetViews>
  <sheetFormatPr defaultColWidth="9.7109375" defaultRowHeight="15"/>
  <cols>
    <col min="1" max="1" width="4.28125" style="2" customWidth="1"/>
    <col min="2" max="2" width="9.7109375" style="2" customWidth="1"/>
    <col min="3" max="3" width="1.7109375" style="2" customWidth="1"/>
    <col min="4" max="4" width="9.7109375" style="2" customWidth="1"/>
    <col min="5" max="5" width="8.00390625" style="2" customWidth="1"/>
    <col min="6" max="6" width="9.7109375" style="2" customWidth="1"/>
    <col min="7" max="7" width="1.7109375" style="2" customWidth="1"/>
    <col min="8" max="8" width="11.28125" style="2" customWidth="1"/>
    <col min="9" max="9" width="0.85546875" style="2" customWidth="1"/>
    <col min="10" max="10" width="10.8515625" style="2" customWidth="1"/>
    <col min="11" max="11" width="9.7109375" style="2" customWidth="1"/>
    <col min="12" max="12" width="1.7109375" style="2" customWidth="1"/>
    <col min="13" max="13" width="10.140625" style="2" bestFit="1" customWidth="1"/>
    <col min="14" max="14" width="12.140625" style="2" customWidth="1"/>
    <col min="15" max="15" width="12.00390625" style="2" customWidth="1"/>
    <col min="16" max="16384" width="9.7109375" style="2" customWidth="1"/>
  </cols>
  <sheetData>
    <row r="1" spans="1:16" ht="13.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2"/>
    </row>
    <row r="2" spans="1:16" ht="13.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2"/>
    </row>
    <row r="3" spans="1:16" ht="13.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2"/>
    </row>
    <row r="4" spans="1:16" ht="13.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2"/>
    </row>
    <row r="5" spans="3:16" ht="13.5" thickBot="1"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27.75" customHeight="1">
      <c r="A6" s="54"/>
      <c r="B6" s="55" t="s">
        <v>49</v>
      </c>
      <c r="C6" s="55"/>
      <c r="D6" s="55"/>
      <c r="E6" s="56" t="s">
        <v>23</v>
      </c>
      <c r="F6" s="576">
        <f>'[1]P1 Info &amp; Certification'!L20</f>
        <v>43831</v>
      </c>
      <c r="G6" s="576"/>
      <c r="H6" s="576"/>
      <c r="I6" s="57"/>
      <c r="J6" s="58"/>
      <c r="K6" s="56" t="s">
        <v>24</v>
      </c>
      <c r="L6" s="55"/>
      <c r="M6" s="576">
        <f>'[1]P1 Info &amp; Certification'!N20</f>
        <v>44196</v>
      </c>
      <c r="N6" s="576"/>
      <c r="O6" s="59"/>
      <c r="P6" s="60"/>
    </row>
    <row r="7" spans="1:15" ht="12.75">
      <c r="A7" s="61"/>
      <c r="B7" s="60"/>
      <c r="C7" s="60"/>
      <c r="O7" s="62"/>
    </row>
    <row r="8" spans="1:15" ht="26.25" customHeight="1" thickBot="1">
      <c r="A8" s="63"/>
      <c r="B8" s="64" t="s">
        <v>50</v>
      </c>
      <c r="C8" s="65"/>
      <c r="D8" s="65"/>
      <c r="E8" s="577" t="str">
        <f>'[1]P1 Info &amp; Certification'!E12</f>
        <v>CIFC Inc./ Greater Danbury Community Health Center</v>
      </c>
      <c r="F8" s="577"/>
      <c r="G8" s="577"/>
      <c r="H8" s="577"/>
      <c r="I8" s="577"/>
      <c r="J8" s="577"/>
      <c r="K8" s="577"/>
      <c r="L8" s="577"/>
      <c r="M8" s="577"/>
      <c r="N8" s="577"/>
      <c r="O8" s="578"/>
    </row>
    <row r="9" spans="2:15" ht="15.75" customHeight="1" thickBot="1"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</row>
    <row r="10" spans="1:15" ht="42" customHeight="1" thickBot="1">
      <c r="A10" s="66" t="s">
        <v>51</v>
      </c>
      <c r="B10" s="580" t="s">
        <v>52</v>
      </c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1"/>
    </row>
    <row r="11" spans="1:15" s="1" customFormat="1" ht="30.75" customHeight="1">
      <c r="A11" s="582" t="s">
        <v>53</v>
      </c>
      <c r="B11" s="583"/>
      <c r="C11" s="583"/>
      <c r="D11" s="583"/>
      <c r="E11" s="584"/>
      <c r="F11" s="585" t="s">
        <v>54</v>
      </c>
      <c r="G11" s="583"/>
      <c r="H11" s="583"/>
      <c r="I11" s="583"/>
      <c r="J11" s="584"/>
      <c r="K11" s="586" t="s">
        <v>55</v>
      </c>
      <c r="L11" s="587"/>
      <c r="M11" s="588"/>
      <c r="N11" s="589" t="s">
        <v>56</v>
      </c>
      <c r="O11" s="590"/>
    </row>
    <row r="12" spans="1:15" ht="28.5" customHeight="1">
      <c r="A12" s="591" t="s">
        <v>57</v>
      </c>
      <c r="B12" s="592"/>
      <c r="C12" s="592"/>
      <c r="D12" s="592"/>
      <c r="E12" s="592"/>
      <c r="F12" s="593" t="s">
        <v>58</v>
      </c>
      <c r="G12" s="593"/>
      <c r="H12" s="593"/>
      <c r="I12" s="593"/>
      <c r="J12" s="593"/>
      <c r="K12" s="593" t="s">
        <v>59</v>
      </c>
      <c r="L12" s="593"/>
      <c r="M12" s="593"/>
      <c r="N12" s="593">
        <v>8004668</v>
      </c>
      <c r="O12" s="594"/>
    </row>
    <row r="13" spans="1:15" ht="28.5" customHeight="1">
      <c r="A13" s="595" t="s">
        <v>60</v>
      </c>
      <c r="B13" s="596"/>
      <c r="C13" s="596"/>
      <c r="D13" s="596"/>
      <c r="E13" s="596"/>
      <c r="F13" s="593" t="s">
        <v>61</v>
      </c>
      <c r="G13" s="593"/>
      <c r="H13" s="593"/>
      <c r="I13" s="593"/>
      <c r="J13" s="593"/>
      <c r="K13" s="593" t="s">
        <v>62</v>
      </c>
      <c r="L13" s="593"/>
      <c r="M13" s="593"/>
      <c r="N13" s="593">
        <v>8004668</v>
      </c>
      <c r="O13" s="594"/>
    </row>
    <row r="14" spans="1:15" ht="28.5" customHeight="1">
      <c r="A14" s="595" t="s">
        <v>63</v>
      </c>
      <c r="B14" s="596"/>
      <c r="C14" s="596"/>
      <c r="D14" s="596"/>
      <c r="E14" s="596"/>
      <c r="F14" s="593" t="s">
        <v>64</v>
      </c>
      <c r="G14" s="593"/>
      <c r="H14" s="593"/>
      <c r="I14" s="593"/>
      <c r="J14" s="593"/>
      <c r="K14" s="593" t="s">
        <v>62</v>
      </c>
      <c r="L14" s="593"/>
      <c r="M14" s="593"/>
      <c r="N14" s="593">
        <v>8004668</v>
      </c>
      <c r="O14" s="594"/>
    </row>
    <row r="15" spans="1:15" ht="28.5" customHeight="1">
      <c r="A15" s="595" t="s">
        <v>65</v>
      </c>
      <c r="B15" s="596"/>
      <c r="C15" s="596"/>
      <c r="D15" s="596"/>
      <c r="E15" s="596"/>
      <c r="F15" s="593" t="s">
        <v>66</v>
      </c>
      <c r="G15" s="593"/>
      <c r="H15" s="593"/>
      <c r="I15" s="593"/>
      <c r="J15" s="593"/>
      <c r="K15" s="593" t="s">
        <v>67</v>
      </c>
      <c r="L15" s="593"/>
      <c r="M15" s="593"/>
      <c r="N15" s="593">
        <v>8004668</v>
      </c>
      <c r="O15" s="594"/>
    </row>
    <row r="16" spans="1:15" ht="28.5" customHeight="1">
      <c r="A16" s="595" t="s">
        <v>68</v>
      </c>
      <c r="B16" s="596"/>
      <c r="C16" s="596"/>
      <c r="D16" s="596"/>
      <c r="E16" s="596"/>
      <c r="F16" s="593" t="s">
        <v>69</v>
      </c>
      <c r="G16" s="593"/>
      <c r="H16" s="593"/>
      <c r="I16" s="593"/>
      <c r="J16" s="593"/>
      <c r="K16" s="593" t="s">
        <v>67</v>
      </c>
      <c r="L16" s="593"/>
      <c r="M16" s="593"/>
      <c r="N16" s="593">
        <v>8004668</v>
      </c>
      <c r="O16" s="594"/>
    </row>
    <row r="17" spans="1:15" ht="28.5" customHeight="1">
      <c r="A17" s="595" t="s">
        <v>70</v>
      </c>
      <c r="B17" s="596"/>
      <c r="C17" s="596"/>
      <c r="D17" s="596"/>
      <c r="E17" s="596"/>
      <c r="F17" s="593" t="s">
        <v>71</v>
      </c>
      <c r="G17" s="593"/>
      <c r="H17" s="593"/>
      <c r="I17" s="593"/>
      <c r="J17" s="593"/>
      <c r="K17" s="593" t="s">
        <v>67</v>
      </c>
      <c r="L17" s="593"/>
      <c r="M17" s="593"/>
      <c r="N17" s="593">
        <v>8004668</v>
      </c>
      <c r="O17" s="594"/>
    </row>
    <row r="18" spans="1:15" ht="28.5" customHeight="1">
      <c r="A18" s="595" t="s">
        <v>72</v>
      </c>
      <c r="B18" s="596"/>
      <c r="C18" s="596"/>
      <c r="D18" s="596"/>
      <c r="E18" s="596"/>
      <c r="F18" s="593" t="s">
        <v>73</v>
      </c>
      <c r="G18" s="593"/>
      <c r="H18" s="593"/>
      <c r="I18" s="593"/>
      <c r="J18" s="593"/>
      <c r="K18" s="593" t="s">
        <v>67</v>
      </c>
      <c r="L18" s="593"/>
      <c r="M18" s="593"/>
      <c r="N18" s="593">
        <v>8004668</v>
      </c>
      <c r="O18" s="594"/>
    </row>
    <row r="19" spans="1:15" ht="28.5" customHeight="1">
      <c r="A19" s="595" t="s">
        <v>74</v>
      </c>
      <c r="B19" s="596"/>
      <c r="C19" s="596"/>
      <c r="D19" s="596"/>
      <c r="E19" s="596"/>
      <c r="F19" s="593" t="s">
        <v>75</v>
      </c>
      <c r="G19" s="593"/>
      <c r="H19" s="593"/>
      <c r="I19" s="593"/>
      <c r="J19" s="593"/>
      <c r="K19" s="593" t="s">
        <v>59</v>
      </c>
      <c r="L19" s="593"/>
      <c r="M19" s="593"/>
      <c r="N19" s="593">
        <v>8004668</v>
      </c>
      <c r="O19" s="594"/>
    </row>
    <row r="20" spans="1:15" ht="28.5" customHeight="1">
      <c r="A20" s="591" t="s">
        <v>57</v>
      </c>
      <c r="B20" s="592"/>
      <c r="C20" s="592"/>
      <c r="D20" s="592"/>
      <c r="E20" s="592"/>
      <c r="F20" s="593" t="s">
        <v>71</v>
      </c>
      <c r="G20" s="593"/>
      <c r="H20" s="593"/>
      <c r="I20" s="593"/>
      <c r="J20" s="593"/>
      <c r="K20" s="593" t="s">
        <v>59</v>
      </c>
      <c r="L20" s="593"/>
      <c r="M20" s="593"/>
      <c r="N20" s="593">
        <v>8004668</v>
      </c>
      <c r="O20" s="594"/>
    </row>
    <row r="21" spans="1:15" ht="28.5" customHeight="1">
      <c r="A21" s="591" t="s">
        <v>76</v>
      </c>
      <c r="B21" s="592"/>
      <c r="C21" s="592"/>
      <c r="D21" s="592"/>
      <c r="E21" s="592"/>
      <c r="F21" s="593" t="s">
        <v>77</v>
      </c>
      <c r="G21" s="593"/>
      <c r="H21" s="593"/>
      <c r="I21" s="593"/>
      <c r="J21" s="593"/>
      <c r="K21" s="593" t="s">
        <v>78</v>
      </c>
      <c r="L21" s="593"/>
      <c r="M21" s="593"/>
      <c r="N21" s="593">
        <v>8004668</v>
      </c>
      <c r="O21" s="594"/>
    </row>
    <row r="22" spans="1:15" ht="28.5" customHeight="1">
      <c r="A22" s="591" t="s">
        <v>79</v>
      </c>
      <c r="B22" s="592"/>
      <c r="C22" s="592"/>
      <c r="D22" s="592"/>
      <c r="E22" s="592"/>
      <c r="F22" s="593" t="s">
        <v>80</v>
      </c>
      <c r="G22" s="593"/>
      <c r="H22" s="593"/>
      <c r="I22" s="593"/>
      <c r="J22" s="593"/>
      <c r="K22" s="593" t="s">
        <v>59</v>
      </c>
      <c r="L22" s="593"/>
      <c r="M22" s="593"/>
      <c r="N22" s="593">
        <v>8004668</v>
      </c>
      <c r="O22" s="594"/>
    </row>
    <row r="23" spans="1:15" ht="28.5" customHeight="1">
      <c r="A23" s="597"/>
      <c r="B23" s="598"/>
      <c r="C23" s="598"/>
      <c r="D23" s="598"/>
      <c r="E23" s="598"/>
      <c r="F23" s="593"/>
      <c r="G23" s="593"/>
      <c r="H23" s="593"/>
      <c r="I23" s="593"/>
      <c r="J23" s="593"/>
      <c r="K23" s="593"/>
      <c r="L23" s="593"/>
      <c r="M23" s="593"/>
      <c r="N23" s="593"/>
      <c r="O23" s="594"/>
    </row>
    <row r="24" spans="1:15" ht="28.5" customHeight="1">
      <c r="A24" s="597"/>
      <c r="B24" s="598"/>
      <c r="C24" s="598"/>
      <c r="D24" s="598"/>
      <c r="E24" s="598"/>
      <c r="F24" s="593"/>
      <c r="G24" s="593"/>
      <c r="H24" s="593"/>
      <c r="I24" s="593"/>
      <c r="J24" s="593"/>
      <c r="K24" s="593"/>
      <c r="L24" s="593"/>
      <c r="M24" s="593"/>
      <c r="N24" s="593"/>
      <c r="O24" s="594"/>
    </row>
    <row r="25" spans="1:15" ht="28.5" customHeight="1">
      <c r="A25" s="597" t="s">
        <v>596</v>
      </c>
      <c r="B25" s="598"/>
      <c r="C25" s="598"/>
      <c r="D25" s="598"/>
      <c r="E25" s="598"/>
      <c r="F25" s="593"/>
      <c r="G25" s="593"/>
      <c r="H25" s="593"/>
      <c r="I25" s="593"/>
      <c r="J25" s="593"/>
      <c r="K25" s="593"/>
      <c r="L25" s="593"/>
      <c r="M25" s="593"/>
      <c r="N25" s="593"/>
      <c r="O25" s="594"/>
    </row>
    <row r="26" spans="1:15" ht="28.5" customHeight="1">
      <c r="A26" s="597"/>
      <c r="B26" s="598"/>
      <c r="C26" s="598"/>
      <c r="D26" s="598"/>
      <c r="E26" s="598"/>
      <c r="F26" s="593"/>
      <c r="G26" s="593"/>
      <c r="H26" s="593"/>
      <c r="I26" s="593"/>
      <c r="J26" s="593"/>
      <c r="K26" s="593"/>
      <c r="L26" s="593"/>
      <c r="M26" s="593"/>
      <c r="N26" s="593"/>
      <c r="O26" s="594"/>
    </row>
    <row r="27" spans="1:15" ht="28.5" customHeight="1">
      <c r="A27" s="597"/>
      <c r="B27" s="598"/>
      <c r="C27" s="598"/>
      <c r="D27" s="598"/>
      <c r="E27" s="598"/>
      <c r="F27" s="593"/>
      <c r="G27" s="593"/>
      <c r="H27" s="593"/>
      <c r="I27" s="593"/>
      <c r="J27" s="593"/>
      <c r="K27" s="593"/>
      <c r="L27" s="593"/>
      <c r="M27" s="593"/>
      <c r="N27" s="593"/>
      <c r="O27" s="594"/>
    </row>
    <row r="28" spans="1:15" ht="28.5" customHeight="1">
      <c r="A28" s="597"/>
      <c r="B28" s="598"/>
      <c r="C28" s="598"/>
      <c r="D28" s="598"/>
      <c r="E28" s="598"/>
      <c r="F28" s="593"/>
      <c r="G28" s="593"/>
      <c r="H28" s="593"/>
      <c r="I28" s="593"/>
      <c r="J28" s="593"/>
      <c r="K28" s="593"/>
      <c r="L28" s="593"/>
      <c r="M28" s="593"/>
      <c r="N28" s="593"/>
      <c r="O28" s="594"/>
    </row>
    <row r="29" spans="1:15" ht="28.5" customHeight="1">
      <c r="A29" s="597"/>
      <c r="B29" s="598"/>
      <c r="C29" s="598"/>
      <c r="D29" s="598"/>
      <c r="E29" s="598"/>
      <c r="F29" s="593"/>
      <c r="G29" s="593"/>
      <c r="H29" s="593"/>
      <c r="I29" s="593"/>
      <c r="J29" s="593"/>
      <c r="K29" s="593"/>
      <c r="L29" s="593"/>
      <c r="M29" s="593"/>
      <c r="N29" s="593"/>
      <c r="O29" s="594"/>
    </row>
    <row r="30" spans="1:15" ht="28.5" customHeight="1">
      <c r="A30" s="597"/>
      <c r="B30" s="598"/>
      <c r="C30" s="598"/>
      <c r="D30" s="598"/>
      <c r="E30" s="598"/>
      <c r="F30" s="593"/>
      <c r="G30" s="593"/>
      <c r="H30" s="593"/>
      <c r="I30" s="593"/>
      <c r="J30" s="593"/>
      <c r="K30" s="593"/>
      <c r="L30" s="593"/>
      <c r="M30" s="593"/>
      <c r="N30" s="593"/>
      <c r="O30" s="594"/>
    </row>
    <row r="31" spans="1:15" ht="28.5" customHeight="1" thickBot="1">
      <c r="A31" s="597"/>
      <c r="B31" s="598"/>
      <c r="C31" s="598"/>
      <c r="D31" s="598"/>
      <c r="E31" s="598"/>
      <c r="F31" s="593"/>
      <c r="G31" s="593"/>
      <c r="H31" s="593"/>
      <c r="I31" s="593"/>
      <c r="J31" s="593"/>
      <c r="K31" s="593"/>
      <c r="L31" s="593"/>
      <c r="M31" s="593"/>
      <c r="N31" s="593"/>
      <c r="O31" s="594"/>
    </row>
    <row r="32" spans="1:15" ht="30" customHeight="1" thickBot="1">
      <c r="A32" s="67" t="s">
        <v>81</v>
      </c>
      <c r="B32" s="599" t="s">
        <v>82</v>
      </c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600"/>
    </row>
    <row r="33" spans="1:15" ht="14.25" customHeight="1">
      <c r="A33" s="68" t="s">
        <v>83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/>
    </row>
    <row r="34" spans="1:15" ht="36" customHeight="1" thickBot="1">
      <c r="A34" s="601" t="s">
        <v>84</v>
      </c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3"/>
      <c r="O34" s="604"/>
    </row>
    <row r="60" ht="12.75">
      <c r="A60" s="71" t="s">
        <v>84</v>
      </c>
    </row>
    <row r="61" ht="12.75">
      <c r="A61" s="71" t="s">
        <v>85</v>
      </c>
    </row>
    <row r="62" ht="12.75">
      <c r="A62" s="71" t="s">
        <v>86</v>
      </c>
    </row>
    <row r="63" ht="12.75">
      <c r="A63" s="71" t="s">
        <v>87</v>
      </c>
    </row>
  </sheetData>
  <sheetProtection/>
  <mergeCells count="96">
    <mergeCell ref="B32:O32"/>
    <mergeCell ref="A34:M34"/>
    <mergeCell ref="N34:O34"/>
    <mergeCell ref="A30:E30"/>
    <mergeCell ref="F30:J30"/>
    <mergeCell ref="K30:M30"/>
    <mergeCell ref="N30:O30"/>
    <mergeCell ref="A31:E31"/>
    <mergeCell ref="F31:J31"/>
    <mergeCell ref="K31:M31"/>
    <mergeCell ref="N31:O31"/>
    <mergeCell ref="A28:E28"/>
    <mergeCell ref="F28:J28"/>
    <mergeCell ref="K28:M28"/>
    <mergeCell ref="N28:O28"/>
    <mergeCell ref="A29:E29"/>
    <mergeCell ref="F29:J29"/>
    <mergeCell ref="K29:M29"/>
    <mergeCell ref="N29:O29"/>
    <mergeCell ref="A26:E26"/>
    <mergeCell ref="F26:J26"/>
    <mergeCell ref="K26:M26"/>
    <mergeCell ref="N26:O26"/>
    <mergeCell ref="A27:E27"/>
    <mergeCell ref="F27:J27"/>
    <mergeCell ref="K27:M27"/>
    <mergeCell ref="N27:O27"/>
    <mergeCell ref="A24:E24"/>
    <mergeCell ref="F24:J24"/>
    <mergeCell ref="K24:M24"/>
    <mergeCell ref="N24:O24"/>
    <mergeCell ref="A25:E25"/>
    <mergeCell ref="F25:J25"/>
    <mergeCell ref="K25:M25"/>
    <mergeCell ref="N25:O25"/>
    <mergeCell ref="A22:E22"/>
    <mergeCell ref="F22:J22"/>
    <mergeCell ref="K22:M22"/>
    <mergeCell ref="N22:O22"/>
    <mergeCell ref="A23:E23"/>
    <mergeCell ref="F23:J23"/>
    <mergeCell ref="K23:M23"/>
    <mergeCell ref="N23:O23"/>
    <mergeCell ref="A20:E20"/>
    <mergeCell ref="F20:J20"/>
    <mergeCell ref="K20:M20"/>
    <mergeCell ref="N20:O20"/>
    <mergeCell ref="A21:E21"/>
    <mergeCell ref="F21:J21"/>
    <mergeCell ref="K21:M21"/>
    <mergeCell ref="N21:O21"/>
    <mergeCell ref="A18:E18"/>
    <mergeCell ref="F18:J18"/>
    <mergeCell ref="K18:M18"/>
    <mergeCell ref="N18:O18"/>
    <mergeCell ref="A19:E19"/>
    <mergeCell ref="F19:J19"/>
    <mergeCell ref="K19:M19"/>
    <mergeCell ref="N19:O19"/>
    <mergeCell ref="A16:E16"/>
    <mergeCell ref="F16:J16"/>
    <mergeCell ref="K16:M16"/>
    <mergeCell ref="N16:O16"/>
    <mergeCell ref="A17:E17"/>
    <mergeCell ref="F17:J17"/>
    <mergeCell ref="K17:M17"/>
    <mergeCell ref="N17:O17"/>
    <mergeCell ref="A14:E14"/>
    <mergeCell ref="F14:J14"/>
    <mergeCell ref="K14:M14"/>
    <mergeCell ref="N14:O14"/>
    <mergeCell ref="A15:E15"/>
    <mergeCell ref="F15:J15"/>
    <mergeCell ref="K15:M15"/>
    <mergeCell ref="N15:O15"/>
    <mergeCell ref="A12:E12"/>
    <mergeCell ref="F12:J12"/>
    <mergeCell ref="K12:M12"/>
    <mergeCell ref="N12:O12"/>
    <mergeCell ref="A13:E13"/>
    <mergeCell ref="F13:J13"/>
    <mergeCell ref="K13:M13"/>
    <mergeCell ref="N13:O13"/>
    <mergeCell ref="E8:O8"/>
    <mergeCell ref="B9:O9"/>
    <mergeCell ref="B10:O10"/>
    <mergeCell ref="A11:E11"/>
    <mergeCell ref="F11:J11"/>
    <mergeCell ref="K11:M11"/>
    <mergeCell ref="N11:O11"/>
    <mergeCell ref="A1:O1"/>
    <mergeCell ref="A2:O2"/>
    <mergeCell ref="A3:O3"/>
    <mergeCell ref="A4:O4"/>
    <mergeCell ref="F6:H6"/>
    <mergeCell ref="M6:N6"/>
  </mergeCells>
  <dataValidations count="1">
    <dataValidation type="list" allowBlank="1" showInputMessage="1" showErrorMessage="1" prompt="Select One:" sqref="A34:M34">
      <formula1>$A$60:$A$63</formula1>
    </dataValidation>
  </dataValidations>
  <printOptions/>
  <pageMargins left="0.7" right="0.7" top="0.75" bottom="0.75" header="0.3" footer="0.3"/>
  <pageSetup horizontalDpi="600" verticalDpi="600" orientation="portrait" scale="7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3">
      <selection activeCell="F46" sqref="F46"/>
    </sheetView>
  </sheetViews>
  <sheetFormatPr defaultColWidth="9.7109375" defaultRowHeight="15"/>
  <cols>
    <col min="1" max="1" width="4.7109375" style="99" customWidth="1"/>
    <col min="2" max="2" width="14.28125" style="99" customWidth="1"/>
    <col min="3" max="3" width="35.140625" style="99" customWidth="1"/>
    <col min="4" max="4" width="13.00390625" style="99" customWidth="1"/>
    <col min="5" max="5" width="12.421875" style="173" customWidth="1"/>
    <col min="6" max="6" width="12.140625" style="99" customWidth="1"/>
    <col min="7" max="7" width="11.7109375" style="99" customWidth="1"/>
    <col min="8" max="8" width="13.421875" style="99" customWidth="1"/>
    <col min="9" max="9" width="11.28125" style="99" customWidth="1"/>
    <col min="10" max="10" width="14.140625" style="99" customWidth="1"/>
    <col min="11" max="15" width="9.7109375" style="99" customWidth="1"/>
    <col min="16" max="16" width="13.00390625" style="99" bestFit="1" customWidth="1"/>
    <col min="17" max="16384" width="9.7109375" style="99" customWidth="1"/>
  </cols>
  <sheetData>
    <row r="1" spans="1:15" s="72" customFormat="1" ht="13.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2"/>
      <c r="L1" s="52"/>
      <c r="M1" s="52"/>
      <c r="N1" s="52"/>
      <c r="O1" s="52"/>
    </row>
    <row r="2" spans="1:15" s="72" customFormat="1" ht="13.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2"/>
      <c r="L2" s="52"/>
      <c r="M2" s="52"/>
      <c r="N2" s="52"/>
      <c r="O2" s="52"/>
    </row>
    <row r="3" spans="1:15" s="72" customFormat="1" ht="13.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2"/>
      <c r="L3" s="52"/>
      <c r="M3" s="52"/>
      <c r="N3" s="52"/>
      <c r="O3" s="52"/>
    </row>
    <row r="4" spans="1:15" s="72" customFormat="1" ht="13.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2"/>
      <c r="L4" s="52"/>
      <c r="M4" s="52"/>
      <c r="N4" s="52"/>
      <c r="O4" s="52"/>
    </row>
    <row r="5" spans="1:15" s="72" customFormat="1" ht="13.5" thickBot="1">
      <c r="A5" s="2"/>
      <c r="B5" s="2"/>
      <c r="C5" s="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72" customFormat="1" ht="20.25" customHeight="1">
      <c r="A6" s="73"/>
      <c r="B6" s="55" t="s">
        <v>49</v>
      </c>
      <c r="C6" s="56"/>
      <c r="D6" s="56" t="s">
        <v>23</v>
      </c>
      <c r="E6" s="576">
        <f>'[1]P1 Info &amp; Certification'!L20</f>
        <v>43831</v>
      </c>
      <c r="F6" s="576"/>
      <c r="G6" s="74"/>
      <c r="H6" s="75" t="s">
        <v>24</v>
      </c>
      <c r="I6" s="576">
        <f>'[1]P1 Info &amp; Certification'!N20</f>
        <v>44196</v>
      </c>
      <c r="J6" s="605"/>
      <c r="K6" s="76"/>
      <c r="L6" s="60"/>
      <c r="M6" s="77"/>
      <c r="N6" s="77"/>
      <c r="O6" s="60"/>
    </row>
    <row r="7" spans="1:15" s="72" customFormat="1" ht="12.75">
      <c r="A7" s="61"/>
      <c r="B7" s="60"/>
      <c r="C7" s="60"/>
      <c r="D7" s="60"/>
      <c r="E7" s="2"/>
      <c r="F7" s="2"/>
      <c r="G7" s="2"/>
      <c r="H7" s="2"/>
      <c r="I7" s="2"/>
      <c r="J7" s="62"/>
      <c r="K7" s="2"/>
      <c r="L7" s="2"/>
      <c r="M7" s="2"/>
      <c r="N7" s="2"/>
      <c r="O7" s="2"/>
    </row>
    <row r="8" spans="1:15" s="72" customFormat="1" ht="21.75" customHeight="1" thickBot="1">
      <c r="A8" s="78"/>
      <c r="B8" s="79" t="s">
        <v>50</v>
      </c>
      <c r="C8" s="577" t="str">
        <f>'[1]P1 Info &amp; Certification'!E12</f>
        <v>CIFC Inc./ Greater Danbury Community Health Center</v>
      </c>
      <c r="D8" s="577"/>
      <c r="E8" s="577"/>
      <c r="F8" s="577"/>
      <c r="G8" s="577"/>
      <c r="H8" s="577"/>
      <c r="I8" s="80"/>
      <c r="J8" s="81"/>
      <c r="K8" s="82"/>
      <c r="L8" s="82"/>
      <c r="M8" s="82"/>
      <c r="N8" s="82"/>
      <c r="O8" s="82"/>
    </row>
    <row r="9" spans="1:10" s="72" customFormat="1" ht="12.75">
      <c r="A9" s="83"/>
      <c r="B9" s="84"/>
      <c r="C9" s="84"/>
      <c r="D9" s="84"/>
      <c r="E9" s="85"/>
      <c r="F9" s="84"/>
      <c r="G9" s="86"/>
      <c r="H9" s="84"/>
      <c r="I9" s="84"/>
      <c r="J9" s="84"/>
    </row>
    <row r="10" spans="1:10" s="72" customFormat="1" ht="15.75" thickBot="1">
      <c r="A10" s="83"/>
      <c r="B10" s="84"/>
      <c r="C10" s="84"/>
      <c r="D10" s="84"/>
      <c r="E10" s="85"/>
      <c r="F10" s="84"/>
      <c r="G10" s="86"/>
      <c r="H10" s="84"/>
      <c r="I10" s="84"/>
      <c r="J10" s="87" t="s">
        <v>88</v>
      </c>
    </row>
    <row r="11" spans="1:10" s="72" customFormat="1" ht="19.5" customHeight="1">
      <c r="A11" s="606" t="s">
        <v>89</v>
      </c>
      <c r="B11" s="607"/>
      <c r="C11" s="607"/>
      <c r="D11" s="607"/>
      <c r="E11" s="607"/>
      <c r="F11" s="607"/>
      <c r="G11" s="607"/>
      <c r="H11" s="607"/>
      <c r="I11" s="607"/>
      <c r="J11" s="608"/>
    </row>
    <row r="12" spans="1:10" s="72" customFormat="1" ht="13.5" thickBot="1">
      <c r="A12" s="88"/>
      <c r="B12" s="89"/>
      <c r="C12" s="89"/>
      <c r="D12" s="89"/>
      <c r="E12" s="90"/>
      <c r="F12" s="89"/>
      <c r="G12" s="89"/>
      <c r="H12" s="89"/>
      <c r="I12" s="89"/>
      <c r="J12" s="91"/>
    </row>
    <row r="13" spans="1:10" s="98" customFormat="1" ht="10.5" customHeight="1">
      <c r="A13" s="92"/>
      <c r="B13" s="93"/>
      <c r="C13" s="94"/>
      <c r="D13" s="95"/>
      <c r="E13" s="96" t="s">
        <v>90</v>
      </c>
      <c r="F13" s="95"/>
      <c r="G13" s="95" t="s">
        <v>91</v>
      </c>
      <c r="H13" s="95" t="s">
        <v>92</v>
      </c>
      <c r="I13" s="95" t="s">
        <v>93</v>
      </c>
      <c r="J13" s="97" t="s">
        <v>94</v>
      </c>
    </row>
    <row r="14" spans="1:10" s="98" customFormat="1" ht="10.5" customHeight="1">
      <c r="A14" s="609" t="s">
        <v>95</v>
      </c>
      <c r="B14" s="610"/>
      <c r="C14" s="611"/>
      <c r="D14" s="95" t="s">
        <v>96</v>
      </c>
      <c r="E14" s="96" t="s">
        <v>97</v>
      </c>
      <c r="F14" s="95"/>
      <c r="G14" s="95" t="s">
        <v>98</v>
      </c>
      <c r="H14" s="95" t="s">
        <v>99</v>
      </c>
      <c r="I14" s="95" t="s">
        <v>100</v>
      </c>
      <c r="J14" s="97" t="s">
        <v>101</v>
      </c>
    </row>
    <row r="15" spans="1:10" ht="10.5" customHeight="1" thickBot="1">
      <c r="A15" s="612"/>
      <c r="B15" s="613"/>
      <c r="C15" s="614"/>
      <c r="D15" s="95" t="s">
        <v>102</v>
      </c>
      <c r="E15" s="96" t="s">
        <v>103</v>
      </c>
      <c r="F15" s="95" t="s">
        <v>104</v>
      </c>
      <c r="G15" s="95" t="s">
        <v>105</v>
      </c>
      <c r="H15" s="95" t="s">
        <v>106</v>
      </c>
      <c r="I15" s="95" t="s">
        <v>107</v>
      </c>
      <c r="J15" s="97" t="s">
        <v>108</v>
      </c>
    </row>
    <row r="16" spans="1:10" ht="18.75" customHeight="1">
      <c r="A16" s="100" t="s">
        <v>109</v>
      </c>
      <c r="B16" s="615" t="s">
        <v>110</v>
      </c>
      <c r="C16" s="615"/>
      <c r="D16" s="101" t="s">
        <v>111</v>
      </c>
      <c r="E16" s="102" t="s">
        <v>112</v>
      </c>
      <c r="F16" s="103" t="s">
        <v>113</v>
      </c>
      <c r="G16" s="104" t="s">
        <v>114</v>
      </c>
      <c r="H16" s="104" t="s">
        <v>115</v>
      </c>
      <c r="I16" s="104" t="s">
        <v>116</v>
      </c>
      <c r="J16" s="104" t="s">
        <v>117</v>
      </c>
    </row>
    <row r="17" spans="1:10" ht="12" customHeight="1">
      <c r="A17" s="105"/>
      <c r="B17" s="616" t="s">
        <v>118</v>
      </c>
      <c r="C17" s="616"/>
      <c r="D17" s="106"/>
      <c r="E17" s="107"/>
      <c r="F17" s="106"/>
      <c r="G17" s="106"/>
      <c r="H17" s="106"/>
      <c r="I17" s="106"/>
      <c r="J17" s="108"/>
    </row>
    <row r="18" spans="1:10" ht="12" customHeight="1">
      <c r="A18" s="109" t="s">
        <v>7</v>
      </c>
      <c r="B18" s="617" t="s">
        <v>119</v>
      </c>
      <c r="C18" s="618"/>
      <c r="D18" s="111"/>
      <c r="E18" s="112"/>
      <c r="F18" s="111"/>
      <c r="G18" s="111"/>
      <c r="H18" s="106"/>
      <c r="I18" s="111"/>
      <c r="J18" s="113"/>
    </row>
    <row r="19" spans="1:10" ht="12.75">
      <c r="A19" s="114" t="s">
        <v>120</v>
      </c>
      <c r="B19" s="621" t="s">
        <v>121</v>
      </c>
      <c r="C19" s="622"/>
      <c r="D19" s="115">
        <f>+'[2]wages and fte calc'!$K$8</f>
        <v>4144079.14</v>
      </c>
      <c r="E19" s="115"/>
      <c r="F19" s="116">
        <f>SUM(D19:E19)</f>
        <v>4144079.14</v>
      </c>
      <c r="G19" s="116">
        <f>+F19*14.2%</f>
        <v>588459.2378799999</v>
      </c>
      <c r="H19" s="117">
        <f aca="true" t="shared" si="0" ref="H19:H34">F19+G19</f>
        <v>4732538.37788</v>
      </c>
      <c r="I19" s="118"/>
      <c r="J19" s="119">
        <f aca="true" t="shared" si="1" ref="J19:J34">H19+I19</f>
        <v>4732538.37788</v>
      </c>
    </row>
    <row r="20" spans="1:10" ht="12.75">
      <c r="A20" s="120" t="s">
        <v>122</v>
      </c>
      <c r="B20" s="619" t="s">
        <v>123</v>
      </c>
      <c r="C20" s="620"/>
      <c r="D20" s="121">
        <f>+'[2]wages and fte calc'!$K$10</f>
        <v>0</v>
      </c>
      <c r="E20" s="121"/>
      <c r="F20" s="122">
        <f aca="true" t="shared" si="2" ref="F20:F34">SUM(D20:E20)</f>
        <v>0</v>
      </c>
      <c r="G20" s="122">
        <f aca="true" t="shared" si="3" ref="G20:G27">+F20*14.2%</f>
        <v>0</v>
      </c>
      <c r="H20" s="117">
        <f t="shared" si="0"/>
        <v>0</v>
      </c>
      <c r="I20" s="124"/>
      <c r="J20" s="125">
        <f t="shared" si="1"/>
        <v>0</v>
      </c>
    </row>
    <row r="21" spans="1:10" ht="12.75">
      <c r="A21" s="120" t="s">
        <v>124</v>
      </c>
      <c r="B21" s="619" t="s">
        <v>125</v>
      </c>
      <c r="C21" s="620"/>
      <c r="D21" s="121">
        <f>+'P9 Form B-1 Visits-FTE Hlth2'!F35</f>
        <v>988752.5499999999</v>
      </c>
      <c r="E21" s="121"/>
      <c r="F21" s="122">
        <f>SUM(D21:E21)</f>
        <v>988752.5499999999</v>
      </c>
      <c r="G21" s="122">
        <f t="shared" si="3"/>
        <v>140402.86209999997</v>
      </c>
      <c r="H21" s="117">
        <f t="shared" si="0"/>
        <v>1129155.4120999998</v>
      </c>
      <c r="I21" s="124"/>
      <c r="J21" s="125">
        <f t="shared" si="1"/>
        <v>1129155.4120999998</v>
      </c>
    </row>
    <row r="22" spans="1:10" ht="12.75">
      <c r="A22" s="120" t="s">
        <v>126</v>
      </c>
      <c r="B22" s="619" t="s">
        <v>127</v>
      </c>
      <c r="C22" s="620"/>
      <c r="D22" s="121"/>
      <c r="E22" s="121"/>
      <c r="F22" s="122"/>
      <c r="G22" s="122">
        <f t="shared" si="3"/>
        <v>0</v>
      </c>
      <c r="H22" s="117"/>
      <c r="I22" s="124"/>
      <c r="J22" s="125"/>
    </row>
    <row r="23" spans="1:10" ht="12.75">
      <c r="A23" s="120"/>
      <c r="B23" s="126"/>
      <c r="C23" s="127" t="s">
        <v>128</v>
      </c>
      <c r="D23" s="121">
        <f>+'[2]wages and fte calc'!$K$13</f>
        <v>296132.99</v>
      </c>
      <c r="E23" s="121"/>
      <c r="F23" s="122">
        <f t="shared" si="2"/>
        <v>296132.99</v>
      </c>
      <c r="G23" s="122">
        <f t="shared" si="3"/>
        <v>42050.88458</v>
      </c>
      <c r="H23" s="117">
        <f t="shared" si="0"/>
        <v>338183.87458</v>
      </c>
      <c r="I23" s="124"/>
      <c r="J23" s="125">
        <f t="shared" si="1"/>
        <v>338183.87458</v>
      </c>
    </row>
    <row r="24" spans="1:10" ht="12.75">
      <c r="A24" s="120"/>
      <c r="B24" s="128"/>
      <c r="C24" s="129" t="s">
        <v>129</v>
      </c>
      <c r="D24" s="121">
        <f>+'[2]wages and fte calc'!$K$19</f>
        <v>977424.3899999999</v>
      </c>
      <c r="E24" s="121"/>
      <c r="F24" s="122">
        <f t="shared" si="2"/>
        <v>977424.3899999999</v>
      </c>
      <c r="G24" s="122">
        <f t="shared" si="3"/>
        <v>138794.26337999996</v>
      </c>
      <c r="H24" s="117">
        <f t="shared" si="0"/>
        <v>1116218.6533799998</v>
      </c>
      <c r="I24" s="124"/>
      <c r="J24" s="125">
        <f t="shared" si="1"/>
        <v>1116218.6533799998</v>
      </c>
    </row>
    <row r="25" spans="1:10" ht="12.75">
      <c r="A25" s="120"/>
      <c r="B25" s="126"/>
      <c r="C25" s="129" t="s">
        <v>130</v>
      </c>
      <c r="D25" s="121">
        <f>+'[2]Medicare grouping 2020'!$D$27</f>
        <v>923768</v>
      </c>
      <c r="E25" s="121"/>
      <c r="F25" s="122">
        <f t="shared" si="2"/>
        <v>923768</v>
      </c>
      <c r="G25" s="122">
        <f t="shared" si="3"/>
        <v>131175.05599999998</v>
      </c>
      <c r="H25" s="117">
        <f t="shared" si="0"/>
        <v>1054943.0559999999</v>
      </c>
      <c r="I25" s="124"/>
      <c r="J25" s="125">
        <f t="shared" si="1"/>
        <v>1054943.0559999999</v>
      </c>
    </row>
    <row r="26" spans="1:10" ht="12.75">
      <c r="A26" s="120"/>
      <c r="B26" s="126"/>
      <c r="C26" s="127" t="s">
        <v>131</v>
      </c>
      <c r="D26" s="121">
        <v>0</v>
      </c>
      <c r="E26" s="121"/>
      <c r="F26" s="122">
        <f t="shared" si="2"/>
        <v>0</v>
      </c>
      <c r="G26" s="122">
        <f t="shared" si="3"/>
        <v>0</v>
      </c>
      <c r="H26" s="117">
        <f t="shared" si="0"/>
        <v>0</v>
      </c>
      <c r="I26" s="124"/>
      <c r="J26" s="125">
        <f t="shared" si="1"/>
        <v>0</v>
      </c>
    </row>
    <row r="27" spans="1:10" ht="12.75">
      <c r="A27" s="120"/>
      <c r="B27" s="126"/>
      <c r="C27" s="130" t="s">
        <v>132</v>
      </c>
      <c r="D27" s="121">
        <f>+'[2]wages and fte calc'!$K$15</f>
        <v>73761.28</v>
      </c>
      <c r="E27" s="121"/>
      <c r="F27" s="122">
        <f t="shared" si="2"/>
        <v>73761.28</v>
      </c>
      <c r="G27" s="122">
        <f t="shared" si="3"/>
        <v>10474.10176</v>
      </c>
      <c r="H27" s="117">
        <f t="shared" si="0"/>
        <v>84235.38176</v>
      </c>
      <c r="I27" s="124"/>
      <c r="J27" s="125">
        <f t="shared" si="1"/>
        <v>84235.38176</v>
      </c>
    </row>
    <row r="28" spans="1:10" ht="12.75">
      <c r="A28" s="120"/>
      <c r="B28" s="126"/>
      <c r="C28" s="130"/>
      <c r="D28" s="121"/>
      <c r="E28" s="121"/>
      <c r="F28" s="122">
        <f t="shared" si="2"/>
        <v>0</v>
      </c>
      <c r="G28" s="123"/>
      <c r="H28" s="117">
        <f t="shared" si="0"/>
        <v>0</v>
      </c>
      <c r="I28" s="124"/>
      <c r="J28" s="125">
        <f t="shared" si="1"/>
        <v>0</v>
      </c>
    </row>
    <row r="29" spans="1:10" ht="12.75">
      <c r="A29" s="120"/>
      <c r="B29" s="126"/>
      <c r="C29" s="130"/>
      <c r="D29" s="121"/>
      <c r="E29" s="121"/>
      <c r="F29" s="122">
        <f t="shared" si="2"/>
        <v>0</v>
      </c>
      <c r="G29" s="123"/>
      <c r="H29" s="117">
        <f t="shared" si="0"/>
        <v>0</v>
      </c>
      <c r="I29" s="124"/>
      <c r="J29" s="125">
        <f t="shared" si="1"/>
        <v>0</v>
      </c>
    </row>
    <row r="30" spans="1:10" ht="12.75">
      <c r="A30" s="120"/>
      <c r="B30" s="131"/>
      <c r="C30" s="130"/>
      <c r="D30" s="121"/>
      <c r="E30" s="121"/>
      <c r="F30" s="122">
        <f t="shared" si="2"/>
        <v>0</v>
      </c>
      <c r="G30" s="123"/>
      <c r="H30" s="117">
        <f t="shared" si="0"/>
        <v>0</v>
      </c>
      <c r="I30" s="124"/>
      <c r="J30" s="125">
        <f t="shared" si="1"/>
        <v>0</v>
      </c>
    </row>
    <row r="31" spans="1:10" ht="12.75">
      <c r="A31" s="120"/>
      <c r="B31" s="126"/>
      <c r="C31" s="130"/>
      <c r="D31" s="121"/>
      <c r="E31" s="121"/>
      <c r="F31" s="122">
        <f t="shared" si="2"/>
        <v>0</v>
      </c>
      <c r="G31" s="123"/>
      <c r="H31" s="122">
        <f t="shared" si="0"/>
        <v>0</v>
      </c>
      <c r="I31" s="121"/>
      <c r="J31" s="132">
        <f t="shared" si="1"/>
        <v>0</v>
      </c>
    </row>
    <row r="32" spans="1:10" ht="12.75">
      <c r="A32" s="120"/>
      <c r="B32" s="126"/>
      <c r="C32" s="130"/>
      <c r="D32" s="121"/>
      <c r="E32" s="121"/>
      <c r="F32" s="122">
        <f t="shared" si="2"/>
        <v>0</v>
      </c>
      <c r="G32" s="123"/>
      <c r="H32" s="122">
        <f t="shared" si="0"/>
        <v>0</v>
      </c>
      <c r="I32" s="121"/>
      <c r="J32" s="132">
        <f t="shared" si="1"/>
        <v>0</v>
      </c>
    </row>
    <row r="33" spans="1:10" ht="12.75" customHeight="1">
      <c r="A33" s="133"/>
      <c r="B33" s="134"/>
      <c r="C33" s="130"/>
      <c r="D33" s="121"/>
      <c r="E33" s="121"/>
      <c r="F33" s="122">
        <f t="shared" si="2"/>
        <v>0</v>
      </c>
      <c r="G33" s="123"/>
      <c r="H33" s="122">
        <f t="shared" si="0"/>
        <v>0</v>
      </c>
      <c r="I33" s="121"/>
      <c r="J33" s="132">
        <f t="shared" si="1"/>
        <v>0</v>
      </c>
    </row>
    <row r="34" spans="1:10" ht="12.75" customHeight="1">
      <c r="A34" s="133"/>
      <c r="B34" s="135"/>
      <c r="C34" s="127"/>
      <c r="D34" s="136"/>
      <c r="E34" s="137"/>
      <c r="F34" s="138">
        <f t="shared" si="2"/>
        <v>0</v>
      </c>
      <c r="G34" s="139"/>
      <c r="H34" s="122">
        <f t="shared" si="0"/>
        <v>0</v>
      </c>
      <c r="I34" s="140"/>
      <c r="J34" s="132">
        <f t="shared" si="1"/>
        <v>0</v>
      </c>
    </row>
    <row r="35" spans="1:10" s="145" customFormat="1" ht="12.75">
      <c r="A35" s="141" t="s">
        <v>133</v>
      </c>
      <c r="B35" s="623" t="s">
        <v>134</v>
      </c>
      <c r="C35" s="624"/>
      <c r="D35" s="142">
        <f>SUM(D19:D34)</f>
        <v>7403918.350000001</v>
      </c>
      <c r="E35" s="142">
        <f aca="true" t="shared" si="4" ref="E35:J35">SUM(E19:E34)</f>
        <v>0</v>
      </c>
      <c r="F35" s="143">
        <f t="shared" si="4"/>
        <v>7403918.350000001</v>
      </c>
      <c r="G35" s="142">
        <f t="shared" si="4"/>
        <v>1051356.4057</v>
      </c>
      <c r="H35" s="142">
        <f t="shared" si="4"/>
        <v>8455274.7557</v>
      </c>
      <c r="I35" s="142">
        <f t="shared" si="4"/>
        <v>0</v>
      </c>
      <c r="J35" s="144">
        <f t="shared" si="4"/>
        <v>8455274.7557</v>
      </c>
    </row>
    <row r="36" spans="1:10" ht="12" customHeight="1">
      <c r="A36" s="146" t="s">
        <v>19</v>
      </c>
      <c r="B36" s="110" t="s">
        <v>135</v>
      </c>
      <c r="C36" s="110"/>
      <c r="D36" s="106"/>
      <c r="E36" s="107"/>
      <c r="F36" s="106"/>
      <c r="G36" s="106"/>
      <c r="H36" s="106"/>
      <c r="I36" s="106"/>
      <c r="J36" s="108"/>
    </row>
    <row r="37" spans="1:10" ht="12.75">
      <c r="A37" s="114" t="s">
        <v>120</v>
      </c>
      <c r="B37" s="147" t="s">
        <v>136</v>
      </c>
      <c r="C37" s="126"/>
      <c r="D37" s="148"/>
      <c r="E37" s="149">
        <f>+SUM('[2]Medicare grouping 2020'!$D$29:$D$31)-'P4 Form A-2 Dental'!E37-'P5 Form A-3- Mental Health'!E32</f>
        <v>1308680.4874999998</v>
      </c>
      <c r="F37" s="116">
        <f>SUM(D37:E37)</f>
        <v>1308680.4874999998</v>
      </c>
      <c r="G37" s="149"/>
      <c r="H37" s="150">
        <f aca="true" t="shared" si="5" ref="H37:H49">F37+G37</f>
        <v>1308680.4874999998</v>
      </c>
      <c r="I37" s="149"/>
      <c r="J37" s="151">
        <f aca="true" t="shared" si="6" ref="J37:J49">H37+I37</f>
        <v>1308680.4874999998</v>
      </c>
    </row>
    <row r="38" spans="1:10" ht="12.75">
      <c r="A38" s="120" t="s">
        <v>122</v>
      </c>
      <c r="B38" s="147" t="s">
        <v>137</v>
      </c>
      <c r="C38" s="126"/>
      <c r="D38" s="149"/>
      <c r="E38" s="149"/>
      <c r="F38" s="122">
        <f aca="true" t="shared" si="7" ref="F38:F48">SUM(D38:E38)</f>
        <v>0</v>
      </c>
      <c r="G38" s="149"/>
      <c r="H38" s="150">
        <f t="shared" si="5"/>
        <v>0</v>
      </c>
      <c r="I38" s="149"/>
      <c r="J38" s="151">
        <f t="shared" si="6"/>
        <v>0</v>
      </c>
    </row>
    <row r="39" spans="1:10" ht="12.75">
      <c r="A39" s="120" t="s">
        <v>124</v>
      </c>
      <c r="B39" s="152" t="s">
        <v>138</v>
      </c>
      <c r="C39" s="152"/>
      <c r="D39" s="149"/>
      <c r="E39" s="149"/>
      <c r="F39" s="122">
        <f t="shared" si="7"/>
        <v>0</v>
      </c>
      <c r="G39" s="149"/>
      <c r="H39" s="150">
        <f t="shared" si="5"/>
        <v>0</v>
      </c>
      <c r="I39" s="149"/>
      <c r="J39" s="151">
        <f t="shared" si="6"/>
        <v>0</v>
      </c>
    </row>
    <row r="40" spans="1:10" ht="12.75">
      <c r="A40" s="120" t="s">
        <v>126</v>
      </c>
      <c r="B40" s="152" t="s">
        <v>139</v>
      </c>
      <c r="C40" s="152"/>
      <c r="D40" s="149"/>
      <c r="E40" s="149"/>
      <c r="F40" s="122">
        <f t="shared" si="7"/>
        <v>0</v>
      </c>
      <c r="G40" s="149"/>
      <c r="H40" s="150">
        <f t="shared" si="5"/>
        <v>0</v>
      </c>
      <c r="I40" s="149"/>
      <c r="J40" s="151">
        <f t="shared" si="6"/>
        <v>0</v>
      </c>
    </row>
    <row r="41" spans="1:10" ht="12.75">
      <c r="A41" s="120" t="s">
        <v>133</v>
      </c>
      <c r="B41" s="619" t="s">
        <v>140</v>
      </c>
      <c r="C41" s="620"/>
      <c r="D41" s="149"/>
      <c r="E41" s="149"/>
      <c r="F41" s="122">
        <f t="shared" si="7"/>
        <v>0</v>
      </c>
      <c r="G41" s="149"/>
      <c r="H41" s="150">
        <f t="shared" si="5"/>
        <v>0</v>
      </c>
      <c r="I41" s="149"/>
      <c r="J41" s="151">
        <f t="shared" si="6"/>
        <v>0</v>
      </c>
    </row>
    <row r="42" spans="1:17" ht="12.75">
      <c r="A42" s="120" t="s">
        <v>141</v>
      </c>
      <c r="B42" s="619" t="s">
        <v>142</v>
      </c>
      <c r="C42" s="620"/>
      <c r="D42" s="149"/>
      <c r="E42" s="149"/>
      <c r="F42" s="122">
        <f t="shared" si="7"/>
        <v>0</v>
      </c>
      <c r="G42" s="149"/>
      <c r="H42" s="150">
        <f t="shared" si="5"/>
        <v>0</v>
      </c>
      <c r="I42" s="149"/>
      <c r="J42" s="151">
        <f t="shared" si="6"/>
        <v>0</v>
      </c>
      <c r="M42" s="765"/>
      <c r="N42" s="765"/>
      <c r="O42" s="765"/>
      <c r="P42" s="765"/>
      <c r="Q42" s="765"/>
    </row>
    <row r="43" spans="1:17" ht="12.75">
      <c r="A43" s="120" t="s">
        <v>143</v>
      </c>
      <c r="B43" s="147" t="s">
        <v>144</v>
      </c>
      <c r="C43" s="153"/>
      <c r="D43" s="149"/>
      <c r="E43" s="149"/>
      <c r="F43" s="122">
        <f t="shared" si="7"/>
        <v>0</v>
      </c>
      <c r="G43" s="149"/>
      <c r="H43" s="150">
        <f t="shared" si="5"/>
        <v>0</v>
      </c>
      <c r="I43" s="149"/>
      <c r="J43" s="151">
        <f t="shared" si="6"/>
        <v>0</v>
      </c>
      <c r="M43" s="765"/>
      <c r="N43" s="765" t="s">
        <v>487</v>
      </c>
      <c r="O43" s="765"/>
      <c r="P43" s="765"/>
      <c r="Q43" s="765"/>
    </row>
    <row r="44" spans="1:17" ht="12.75">
      <c r="A44" s="120" t="s">
        <v>145</v>
      </c>
      <c r="B44" s="619" t="s">
        <v>127</v>
      </c>
      <c r="C44" s="620"/>
      <c r="D44" s="149"/>
      <c r="E44" s="149"/>
      <c r="F44" s="122"/>
      <c r="G44" s="149"/>
      <c r="H44" s="150"/>
      <c r="I44" s="149"/>
      <c r="J44" s="151"/>
      <c r="M44" s="765"/>
      <c r="N44" s="765" t="s">
        <v>488</v>
      </c>
      <c r="O44" s="765"/>
      <c r="P44" s="766">
        <v>65352.89</v>
      </c>
      <c r="Q44" s="765"/>
    </row>
    <row r="45" spans="1:17" ht="12.75">
      <c r="A45" s="120"/>
      <c r="B45" s="126"/>
      <c r="C45" s="127" t="s">
        <v>146</v>
      </c>
      <c r="D45" s="149"/>
      <c r="E45" s="149">
        <f>+'[2]Medicare grouping 2020'!$D$51+'[2]Medicare grouping 2020'!$D$52</f>
        <v>53260.64000000001</v>
      </c>
      <c r="F45" s="122">
        <f t="shared" si="7"/>
        <v>53260.64000000001</v>
      </c>
      <c r="G45" s="149"/>
      <c r="H45" s="150">
        <f t="shared" si="5"/>
        <v>53260.64000000001</v>
      </c>
      <c r="I45" s="149"/>
      <c r="J45" s="151">
        <f t="shared" si="6"/>
        <v>53260.64000000001</v>
      </c>
      <c r="M45" s="765"/>
      <c r="N45" s="765" t="s">
        <v>489</v>
      </c>
      <c r="O45" s="765"/>
      <c r="P45" s="766">
        <v>127265.96</v>
      </c>
      <c r="Q45" s="765"/>
    </row>
    <row r="46" spans="1:17" ht="12.75">
      <c r="A46" s="120"/>
      <c r="B46" s="128"/>
      <c r="C46" s="129" t="s">
        <v>147</v>
      </c>
      <c r="D46" s="149"/>
      <c r="E46" s="149">
        <f>+P49</f>
        <v>74498.01</v>
      </c>
      <c r="F46" s="122">
        <f t="shared" si="7"/>
        <v>74498.01</v>
      </c>
      <c r="G46" s="149"/>
      <c r="H46" s="150">
        <f t="shared" si="5"/>
        <v>74498.01</v>
      </c>
      <c r="I46" s="149"/>
      <c r="J46" s="151">
        <f t="shared" si="6"/>
        <v>74498.01</v>
      </c>
      <c r="M46" s="765"/>
      <c r="N46" s="765"/>
      <c r="O46" s="765"/>
      <c r="P46" s="767">
        <f>SUM(P44:P45)</f>
        <v>192618.85</v>
      </c>
      <c r="Q46" s="765"/>
    </row>
    <row r="47" spans="1:17" ht="12.75">
      <c r="A47" s="133"/>
      <c r="B47" s="126"/>
      <c r="C47" s="130" t="s">
        <v>148</v>
      </c>
      <c r="D47" s="149"/>
      <c r="E47" s="149">
        <f>+'[2]Medicare grouping 2020'!$D$64</f>
        <v>16475.11</v>
      </c>
      <c r="F47" s="122">
        <f t="shared" si="7"/>
        <v>16475.11</v>
      </c>
      <c r="G47" s="149"/>
      <c r="H47" s="150">
        <f t="shared" si="5"/>
        <v>16475.11</v>
      </c>
      <c r="I47" s="149"/>
      <c r="J47" s="151">
        <f t="shared" si="6"/>
        <v>16475.11</v>
      </c>
      <c r="M47" s="765"/>
      <c r="N47" s="765" t="s">
        <v>491</v>
      </c>
      <c r="O47" s="765"/>
      <c r="P47" s="766">
        <v>3751.91</v>
      </c>
      <c r="Q47" s="765"/>
    </row>
    <row r="48" spans="1:17" ht="12.75">
      <c r="A48" s="133"/>
      <c r="B48" s="126"/>
      <c r="C48" s="130" t="s">
        <v>149</v>
      </c>
      <c r="D48" s="149"/>
      <c r="E48" s="473">
        <f>+P46</f>
        <v>192618.85</v>
      </c>
      <c r="F48" s="122">
        <f t="shared" si="7"/>
        <v>192618.85</v>
      </c>
      <c r="G48" s="149"/>
      <c r="H48" s="150">
        <f t="shared" si="5"/>
        <v>192618.85</v>
      </c>
      <c r="I48" s="149"/>
      <c r="J48" s="151">
        <f t="shared" si="6"/>
        <v>192618.85</v>
      </c>
      <c r="M48" s="765"/>
      <c r="N48" s="768" t="s">
        <v>492</v>
      </c>
      <c r="O48" s="768"/>
      <c r="P48" s="766">
        <v>5066.92</v>
      </c>
      <c r="Q48" s="765"/>
    </row>
    <row r="49" spans="1:17" ht="12.75">
      <c r="A49" s="133"/>
      <c r="B49" s="154"/>
      <c r="C49" s="155"/>
      <c r="D49" s="156"/>
      <c r="E49" s="149"/>
      <c r="F49" s="138">
        <f>SUM(D49:E49)</f>
        <v>0</v>
      </c>
      <c r="G49" s="149"/>
      <c r="H49" s="150">
        <f t="shared" si="5"/>
        <v>0</v>
      </c>
      <c r="I49" s="149"/>
      <c r="J49" s="151">
        <f t="shared" si="6"/>
        <v>0</v>
      </c>
      <c r="M49" s="765" t="s">
        <v>490</v>
      </c>
      <c r="N49" s="765" t="s">
        <v>493</v>
      </c>
      <c r="O49" s="765"/>
      <c r="P49" s="766">
        <v>74498.01</v>
      </c>
      <c r="Q49" s="765"/>
    </row>
    <row r="50" spans="1:17" s="145" customFormat="1" ht="12.75">
      <c r="A50" s="157" t="s">
        <v>150</v>
      </c>
      <c r="B50" s="158" t="s">
        <v>151</v>
      </c>
      <c r="C50" s="159"/>
      <c r="D50" s="160">
        <f aca="true" t="shared" si="8" ref="D50:J50">SUM(D37:D49)</f>
        <v>0</v>
      </c>
      <c r="E50" s="160">
        <f t="shared" si="8"/>
        <v>1645533.0975</v>
      </c>
      <c r="F50" s="160">
        <f t="shared" si="8"/>
        <v>1645533.0975</v>
      </c>
      <c r="G50" s="160">
        <f t="shared" si="8"/>
        <v>0</v>
      </c>
      <c r="H50" s="160">
        <f t="shared" si="8"/>
        <v>1645533.0975</v>
      </c>
      <c r="I50" s="160">
        <f t="shared" si="8"/>
        <v>0</v>
      </c>
      <c r="J50" s="161">
        <f t="shared" si="8"/>
        <v>1645533.0975</v>
      </c>
      <c r="M50" s="768"/>
      <c r="N50" s="768"/>
      <c r="O50" s="768"/>
      <c r="P50" s="767">
        <f>SUM(P47:P49)</f>
        <v>83316.84</v>
      </c>
      <c r="Q50" s="768"/>
    </row>
    <row r="51" spans="1:17" ht="12.75">
      <c r="A51" s="162"/>
      <c r="B51" s="163"/>
      <c r="C51" s="164"/>
      <c r="D51" s="165"/>
      <c r="E51" s="165"/>
      <c r="F51" s="165"/>
      <c r="G51" s="165"/>
      <c r="H51" s="165"/>
      <c r="I51" s="165"/>
      <c r="J51" s="166"/>
      <c r="M51" s="765"/>
      <c r="N51" s="765"/>
      <c r="O51" s="765"/>
      <c r="P51" s="765"/>
      <c r="Q51" s="765"/>
    </row>
    <row r="52" spans="1:17" s="145" customFormat="1" ht="12.75">
      <c r="A52" s="167" t="s">
        <v>152</v>
      </c>
      <c r="B52" s="168" t="s">
        <v>153</v>
      </c>
      <c r="C52" s="168"/>
      <c r="D52" s="142">
        <f>D50+D35</f>
        <v>7403918.350000001</v>
      </c>
      <c r="E52" s="142">
        <f aca="true" t="shared" si="9" ref="E52:J52">E50+E35</f>
        <v>1645533.0975</v>
      </c>
      <c r="F52" s="142">
        <f t="shared" si="9"/>
        <v>9049451.4475</v>
      </c>
      <c r="G52" s="142">
        <f t="shared" si="9"/>
        <v>1051356.4057</v>
      </c>
      <c r="H52" s="142">
        <f t="shared" si="9"/>
        <v>10100807.8532</v>
      </c>
      <c r="I52" s="142">
        <f t="shared" si="9"/>
        <v>0</v>
      </c>
      <c r="J52" s="144">
        <f t="shared" si="9"/>
        <v>10100807.8532</v>
      </c>
      <c r="M52" s="768"/>
      <c r="N52" s="765"/>
      <c r="O52" s="765"/>
      <c r="P52" s="765"/>
      <c r="Q52" s="768"/>
    </row>
    <row r="53" spans="1:17" ht="13.5" thickBot="1">
      <c r="A53" s="169"/>
      <c r="B53" s="170"/>
      <c r="C53" s="170"/>
      <c r="D53" s="171"/>
      <c r="E53" s="171"/>
      <c r="F53" s="171"/>
      <c r="G53" s="171"/>
      <c r="H53" s="171"/>
      <c r="I53" s="171"/>
      <c r="J53" s="172"/>
      <c r="M53" s="765"/>
      <c r="N53" s="765"/>
      <c r="O53" s="765"/>
      <c r="P53" s="765"/>
      <c r="Q53" s="765"/>
    </row>
    <row r="54" spans="13:17" ht="12.75">
      <c r="M54" s="765"/>
      <c r="N54" s="765"/>
      <c r="O54" s="765"/>
      <c r="P54" s="765"/>
      <c r="Q54" s="765"/>
    </row>
    <row r="56" ht="12.75">
      <c r="M56" s="174"/>
    </row>
    <row r="59" ht="12.75">
      <c r="M59" s="174"/>
    </row>
  </sheetData>
  <sheetProtection/>
  <mergeCells count="20">
    <mergeCell ref="B42:C42"/>
    <mergeCell ref="B44:C44"/>
    <mergeCell ref="B19:C19"/>
    <mergeCell ref="B20:C20"/>
    <mergeCell ref="B21:C21"/>
    <mergeCell ref="B22:C22"/>
    <mergeCell ref="B35:C35"/>
    <mergeCell ref="B41:C41"/>
    <mergeCell ref="C8:H8"/>
    <mergeCell ref="A11:J11"/>
    <mergeCell ref="A14:C15"/>
    <mergeCell ref="B16:C16"/>
    <mergeCell ref="B17:C17"/>
    <mergeCell ref="B18:C18"/>
    <mergeCell ref="A1:J1"/>
    <mergeCell ref="A2:J2"/>
    <mergeCell ref="A3:J3"/>
    <mergeCell ref="A4:J4"/>
    <mergeCell ref="E6:F6"/>
    <mergeCell ref="I6:J6"/>
  </mergeCells>
  <printOptions/>
  <pageMargins left="0.7" right="0.7" top="0.75" bottom="0.75" header="0.3" footer="0.3"/>
  <pageSetup horizontalDpi="600" verticalDpi="600" orientation="landscape" scale="74" r:id="rId1"/>
  <rowBreaks count="1" manualBreakCount="1">
    <brk id="5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9">
      <selection activeCell="F26" sqref="F26"/>
    </sheetView>
  </sheetViews>
  <sheetFormatPr defaultColWidth="9.7109375" defaultRowHeight="15"/>
  <cols>
    <col min="1" max="1" width="4.7109375" style="193" customWidth="1"/>
    <col min="2" max="2" width="13.57421875" style="99" customWidth="1"/>
    <col min="3" max="3" width="35.140625" style="99" customWidth="1"/>
    <col min="4" max="4" width="13.00390625" style="99" customWidth="1"/>
    <col min="5" max="5" width="12.421875" style="173" customWidth="1"/>
    <col min="6" max="6" width="12.140625" style="99" customWidth="1"/>
    <col min="7" max="7" width="11.7109375" style="99" customWidth="1"/>
    <col min="8" max="8" width="13.421875" style="99" customWidth="1"/>
    <col min="9" max="9" width="11.28125" style="99" customWidth="1"/>
    <col min="10" max="10" width="14.140625" style="99" customWidth="1"/>
    <col min="11" max="16384" width="9.7109375" style="99" customWidth="1"/>
  </cols>
  <sheetData>
    <row r="1" spans="1:15" s="72" customFormat="1" ht="13.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2"/>
      <c r="L1" s="52"/>
      <c r="M1" s="52"/>
      <c r="N1" s="52"/>
      <c r="O1" s="52"/>
    </row>
    <row r="2" spans="1:15" s="72" customFormat="1" ht="13.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2"/>
      <c r="L2" s="52"/>
      <c r="M2" s="52"/>
      <c r="N2" s="52"/>
      <c r="O2" s="52"/>
    </row>
    <row r="3" spans="1:15" s="72" customFormat="1" ht="13.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2"/>
      <c r="L3" s="52"/>
      <c r="M3" s="52"/>
      <c r="N3" s="52"/>
      <c r="O3" s="52"/>
    </row>
    <row r="4" spans="1:15" s="72" customFormat="1" ht="13.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2"/>
      <c r="L4" s="52"/>
      <c r="M4" s="52"/>
      <c r="N4" s="52"/>
      <c r="O4" s="52"/>
    </row>
    <row r="5" spans="1:15" s="72" customFormat="1" ht="13.5" thickBot="1">
      <c r="A5" s="175"/>
      <c r="B5" s="2"/>
      <c r="C5" s="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72" customFormat="1" ht="20.25" customHeight="1">
      <c r="A6" s="176"/>
      <c r="B6" s="55" t="s">
        <v>49</v>
      </c>
      <c r="C6" s="56"/>
      <c r="D6" s="56" t="s">
        <v>23</v>
      </c>
      <c r="E6" s="576">
        <f>'[1]P1 Info &amp; Certification'!L20</f>
        <v>43831</v>
      </c>
      <c r="F6" s="576"/>
      <c r="G6" s="74"/>
      <c r="H6" s="75" t="s">
        <v>24</v>
      </c>
      <c r="I6" s="576">
        <f>'[1]P1 Info &amp; Certification'!N20</f>
        <v>44196</v>
      </c>
      <c r="J6" s="605"/>
      <c r="K6" s="76"/>
      <c r="L6" s="60"/>
      <c r="M6" s="77"/>
      <c r="N6" s="77"/>
      <c r="O6" s="60"/>
    </row>
    <row r="7" spans="1:15" s="72" customFormat="1" ht="12.75">
      <c r="A7" s="177"/>
      <c r="B7" s="60"/>
      <c r="C7" s="60"/>
      <c r="D7" s="60"/>
      <c r="E7" s="2"/>
      <c r="F7" s="2"/>
      <c r="G7" s="2"/>
      <c r="H7" s="2"/>
      <c r="I7" s="2"/>
      <c r="J7" s="62"/>
      <c r="K7" s="2"/>
      <c r="L7" s="2"/>
      <c r="M7" s="2"/>
      <c r="N7" s="2"/>
      <c r="O7" s="2"/>
    </row>
    <row r="8" spans="1:15" s="72" customFormat="1" ht="26.25" customHeight="1" thickBot="1">
      <c r="A8" s="178"/>
      <c r="B8" s="79" t="s">
        <v>50</v>
      </c>
      <c r="C8" s="625" t="str">
        <f>'[1]P1 Info &amp; Certification'!E12</f>
        <v>CIFC Inc./ Greater Danbury Community Health Center</v>
      </c>
      <c r="D8" s="625"/>
      <c r="E8" s="625"/>
      <c r="F8" s="625"/>
      <c r="G8" s="625"/>
      <c r="H8" s="625"/>
      <c r="I8" s="80"/>
      <c r="J8" s="81"/>
      <c r="K8" s="82"/>
      <c r="L8" s="82"/>
      <c r="M8" s="82"/>
      <c r="N8" s="82"/>
      <c r="O8" s="82"/>
    </row>
    <row r="9" spans="1:10" s="72" customFormat="1" ht="12.75">
      <c r="A9" s="179"/>
      <c r="B9" s="84"/>
      <c r="C9" s="84"/>
      <c r="D9" s="84"/>
      <c r="E9" s="85"/>
      <c r="F9" s="84"/>
      <c r="G9" s="86"/>
      <c r="H9" s="84"/>
      <c r="I9" s="84"/>
      <c r="J9" s="84"/>
    </row>
    <row r="10" spans="1:10" s="72" customFormat="1" ht="13.5" thickBot="1">
      <c r="A10" s="179"/>
      <c r="B10" s="84"/>
      <c r="C10" s="84"/>
      <c r="D10" s="84"/>
      <c r="E10" s="85"/>
      <c r="F10" s="84"/>
      <c r="G10" s="86"/>
      <c r="H10" s="84"/>
      <c r="I10" s="84"/>
      <c r="J10" s="179" t="s">
        <v>154</v>
      </c>
    </row>
    <row r="11" spans="1:10" s="72" customFormat="1" ht="19.5" customHeight="1">
      <c r="A11" s="606" t="s">
        <v>89</v>
      </c>
      <c r="B11" s="607"/>
      <c r="C11" s="607"/>
      <c r="D11" s="607"/>
      <c r="E11" s="607"/>
      <c r="F11" s="607"/>
      <c r="G11" s="607"/>
      <c r="H11" s="607"/>
      <c r="I11" s="607"/>
      <c r="J11" s="608"/>
    </row>
    <row r="12" spans="1:10" s="72" customFormat="1" ht="13.5" thickBot="1">
      <c r="A12" s="180"/>
      <c r="B12" s="89"/>
      <c r="C12" s="89"/>
      <c r="D12" s="89"/>
      <c r="E12" s="90"/>
      <c r="F12" s="89"/>
      <c r="G12" s="89"/>
      <c r="H12" s="89"/>
      <c r="I12" s="89"/>
      <c r="J12" s="91"/>
    </row>
    <row r="13" spans="1:10" s="98" customFormat="1" ht="10.5" customHeight="1">
      <c r="A13" s="181"/>
      <c r="B13" s="93"/>
      <c r="C13" s="94"/>
      <c r="D13" s="95"/>
      <c r="E13" s="96" t="s">
        <v>90</v>
      </c>
      <c r="F13" s="95"/>
      <c r="G13" s="95" t="s">
        <v>91</v>
      </c>
      <c r="H13" s="95" t="s">
        <v>92</v>
      </c>
      <c r="I13" s="95" t="s">
        <v>93</v>
      </c>
      <c r="J13" s="97" t="s">
        <v>94</v>
      </c>
    </row>
    <row r="14" spans="1:10" s="98" customFormat="1" ht="10.5" customHeight="1">
      <c r="A14" s="609" t="s">
        <v>95</v>
      </c>
      <c r="B14" s="610"/>
      <c r="C14" s="611"/>
      <c r="D14" s="95" t="s">
        <v>96</v>
      </c>
      <c r="E14" s="96" t="s">
        <v>97</v>
      </c>
      <c r="F14" s="95"/>
      <c r="G14" s="95" t="s">
        <v>98</v>
      </c>
      <c r="H14" s="95" t="s">
        <v>99</v>
      </c>
      <c r="I14" s="95" t="s">
        <v>100</v>
      </c>
      <c r="J14" s="97" t="s">
        <v>101</v>
      </c>
    </row>
    <row r="15" spans="1:10" ht="10.5" customHeight="1">
      <c r="A15" s="609"/>
      <c r="B15" s="610"/>
      <c r="C15" s="611"/>
      <c r="D15" s="95" t="s">
        <v>102</v>
      </c>
      <c r="E15" s="96" t="s">
        <v>103</v>
      </c>
      <c r="F15" s="95" t="s">
        <v>104</v>
      </c>
      <c r="G15" s="95" t="s">
        <v>105</v>
      </c>
      <c r="H15" s="95" t="s">
        <v>106</v>
      </c>
      <c r="I15" s="95" t="s">
        <v>107</v>
      </c>
      <c r="J15" s="97" t="s">
        <v>108</v>
      </c>
    </row>
    <row r="16" spans="1:10" ht="10.5" customHeight="1" thickBot="1">
      <c r="A16" s="182"/>
      <c r="B16" s="183"/>
      <c r="C16" s="184"/>
      <c r="D16" s="104" t="s">
        <v>111</v>
      </c>
      <c r="E16" s="102" t="s">
        <v>112</v>
      </c>
      <c r="F16" s="103" t="s">
        <v>113</v>
      </c>
      <c r="G16" s="104" t="s">
        <v>114</v>
      </c>
      <c r="H16" s="104" t="s">
        <v>115</v>
      </c>
      <c r="I16" s="104" t="s">
        <v>116</v>
      </c>
      <c r="J16" s="104" t="s">
        <v>117</v>
      </c>
    </row>
    <row r="17" spans="1:10" ht="12" customHeight="1">
      <c r="A17" s="100" t="s">
        <v>155</v>
      </c>
      <c r="B17" s="615" t="s">
        <v>156</v>
      </c>
      <c r="C17" s="615"/>
      <c r="D17" s="106"/>
      <c r="E17" s="107"/>
      <c r="F17" s="106"/>
      <c r="G17" s="106"/>
      <c r="H17" s="106"/>
      <c r="I17" s="106"/>
      <c r="J17" s="108"/>
    </row>
    <row r="18" spans="1:12" ht="12" customHeight="1">
      <c r="A18" s="185" t="s">
        <v>7</v>
      </c>
      <c r="B18" s="617" t="s">
        <v>119</v>
      </c>
      <c r="C18" s="618"/>
      <c r="D18" s="111"/>
      <c r="E18" s="112"/>
      <c r="F18" s="111"/>
      <c r="G18" s="111"/>
      <c r="H18" s="106"/>
      <c r="I18" s="111"/>
      <c r="J18" s="113"/>
      <c r="L18" s="99" t="s">
        <v>90</v>
      </c>
    </row>
    <row r="19" spans="1:10" ht="12.75">
      <c r="A19" s="114" t="s">
        <v>120</v>
      </c>
      <c r="B19" s="621" t="s">
        <v>157</v>
      </c>
      <c r="C19" s="622"/>
      <c r="D19" s="115">
        <f>+'P10  Form B-1 Visits-FTE Dental'!E24</f>
        <v>270190.06</v>
      </c>
      <c r="E19" s="115"/>
      <c r="F19" s="186">
        <f>SUM(D19:E19)</f>
        <v>270190.06</v>
      </c>
      <c r="G19" s="115">
        <f>F19*14.2%</f>
        <v>38366.98852</v>
      </c>
      <c r="H19" s="117">
        <f aca="true" t="shared" si="0" ref="H19:H34">F19+G19</f>
        <v>308557.04852</v>
      </c>
      <c r="I19" s="118"/>
      <c r="J19" s="119">
        <f aca="true" t="shared" si="1" ref="J19:J34">H19+I19</f>
        <v>308557.04852</v>
      </c>
    </row>
    <row r="20" spans="1:10" ht="12.75">
      <c r="A20" s="120" t="s">
        <v>122</v>
      </c>
      <c r="B20" s="619" t="s">
        <v>158</v>
      </c>
      <c r="C20" s="620"/>
      <c r="D20" s="121">
        <f>+'P10  Form B-1 Visits-FTE Dental'!E32</f>
        <v>109510.78</v>
      </c>
      <c r="E20" s="121"/>
      <c r="F20" s="122">
        <f aca="true" t="shared" si="2" ref="F20:F33">SUM(D20:E20)</f>
        <v>109510.78</v>
      </c>
      <c r="G20" s="121">
        <f>F20*14.2%</f>
        <v>15550.530759999998</v>
      </c>
      <c r="H20" s="117">
        <f t="shared" si="0"/>
        <v>125061.31076</v>
      </c>
      <c r="I20" s="124"/>
      <c r="J20" s="125">
        <f t="shared" si="1"/>
        <v>125061.31076</v>
      </c>
    </row>
    <row r="21" spans="1:10" ht="12.75">
      <c r="A21" s="120" t="s">
        <v>124</v>
      </c>
      <c r="B21" s="147" t="s">
        <v>127</v>
      </c>
      <c r="C21" s="153"/>
      <c r="D21" s="121"/>
      <c r="E21" s="121"/>
      <c r="F21" s="122"/>
      <c r="G21" s="121">
        <f>F21*14.2%</f>
        <v>0</v>
      </c>
      <c r="H21" s="117"/>
      <c r="I21" s="124"/>
      <c r="J21" s="125"/>
    </row>
    <row r="22" spans="1:10" ht="12.75">
      <c r="A22" s="120"/>
      <c r="B22" s="126"/>
      <c r="C22" s="127" t="s">
        <v>504</v>
      </c>
      <c r="D22" s="121">
        <f>+'P10  Form B-1 Visits-FTE Dental'!E40</f>
        <v>82643.90000000001</v>
      </c>
      <c r="E22" s="121"/>
      <c r="F22" s="122">
        <f t="shared" si="2"/>
        <v>82643.90000000001</v>
      </c>
      <c r="G22" s="121">
        <f>F22*14.2%</f>
        <v>11735.4338</v>
      </c>
      <c r="H22" s="117">
        <f t="shared" si="0"/>
        <v>94379.33380000001</v>
      </c>
      <c r="I22" s="124"/>
      <c r="J22" s="125">
        <f t="shared" si="1"/>
        <v>94379.33380000001</v>
      </c>
    </row>
    <row r="23" spans="1:10" ht="12.75">
      <c r="A23" s="120"/>
      <c r="B23" s="126"/>
      <c r="C23" s="127"/>
      <c r="D23" s="121"/>
      <c r="E23" s="121"/>
      <c r="F23" s="122">
        <f t="shared" si="2"/>
        <v>0</v>
      </c>
      <c r="G23" s="121">
        <f aca="true" t="shared" si="3" ref="G23:G34">F23*12.66%</f>
        <v>0</v>
      </c>
      <c r="H23" s="117">
        <f t="shared" si="0"/>
        <v>0</v>
      </c>
      <c r="I23" s="124"/>
      <c r="J23" s="125">
        <f t="shared" si="1"/>
        <v>0</v>
      </c>
    </row>
    <row r="24" spans="1:10" ht="12.75">
      <c r="A24" s="120"/>
      <c r="B24" s="128"/>
      <c r="C24" s="129"/>
      <c r="D24" s="121"/>
      <c r="E24" s="121"/>
      <c r="F24" s="122">
        <f t="shared" si="2"/>
        <v>0</v>
      </c>
      <c r="G24" s="121">
        <f t="shared" si="3"/>
        <v>0</v>
      </c>
      <c r="H24" s="117">
        <f t="shared" si="0"/>
        <v>0</v>
      </c>
      <c r="I24" s="124"/>
      <c r="J24" s="125">
        <f t="shared" si="1"/>
        <v>0</v>
      </c>
    </row>
    <row r="25" spans="1:10" ht="12.75">
      <c r="A25" s="120"/>
      <c r="B25" s="126"/>
      <c r="C25" s="130"/>
      <c r="D25" s="121"/>
      <c r="E25" s="121"/>
      <c r="F25" s="122">
        <f t="shared" si="2"/>
        <v>0</v>
      </c>
      <c r="G25" s="121">
        <f t="shared" si="3"/>
        <v>0</v>
      </c>
      <c r="H25" s="117">
        <f t="shared" si="0"/>
        <v>0</v>
      </c>
      <c r="I25" s="124"/>
      <c r="J25" s="125">
        <f t="shared" si="1"/>
        <v>0</v>
      </c>
    </row>
    <row r="26" spans="1:10" ht="12.75">
      <c r="A26" s="120"/>
      <c r="B26" s="126"/>
      <c r="C26" s="127"/>
      <c r="D26" s="121"/>
      <c r="E26" s="121"/>
      <c r="F26" s="122">
        <f t="shared" si="2"/>
        <v>0</v>
      </c>
      <c r="G26" s="121">
        <f t="shared" si="3"/>
        <v>0</v>
      </c>
      <c r="H26" s="117">
        <f t="shared" si="0"/>
        <v>0</v>
      </c>
      <c r="I26" s="124"/>
      <c r="J26" s="125">
        <f t="shared" si="1"/>
        <v>0</v>
      </c>
    </row>
    <row r="27" spans="1:10" ht="12.75">
      <c r="A27" s="120"/>
      <c r="B27" s="126"/>
      <c r="C27" s="130"/>
      <c r="D27" s="121"/>
      <c r="E27" s="121"/>
      <c r="F27" s="122">
        <f t="shared" si="2"/>
        <v>0</v>
      </c>
      <c r="G27" s="121">
        <f t="shared" si="3"/>
        <v>0</v>
      </c>
      <c r="H27" s="117">
        <f t="shared" si="0"/>
        <v>0</v>
      </c>
      <c r="I27" s="124"/>
      <c r="J27" s="125">
        <f t="shared" si="1"/>
        <v>0</v>
      </c>
    </row>
    <row r="28" spans="1:10" ht="12.75">
      <c r="A28" s="120"/>
      <c r="B28" s="126"/>
      <c r="C28" s="130"/>
      <c r="D28" s="121"/>
      <c r="E28" s="121"/>
      <c r="F28" s="122">
        <f t="shared" si="2"/>
        <v>0</v>
      </c>
      <c r="G28" s="121">
        <f t="shared" si="3"/>
        <v>0</v>
      </c>
      <c r="H28" s="117">
        <f t="shared" si="0"/>
        <v>0</v>
      </c>
      <c r="I28" s="124"/>
      <c r="J28" s="125">
        <f t="shared" si="1"/>
        <v>0</v>
      </c>
    </row>
    <row r="29" spans="1:10" ht="12.75">
      <c r="A29" s="120"/>
      <c r="B29" s="126"/>
      <c r="C29" s="130"/>
      <c r="D29" s="121"/>
      <c r="E29" s="121"/>
      <c r="F29" s="122">
        <f t="shared" si="2"/>
        <v>0</v>
      </c>
      <c r="G29" s="121">
        <f t="shared" si="3"/>
        <v>0</v>
      </c>
      <c r="H29" s="117">
        <f t="shared" si="0"/>
        <v>0</v>
      </c>
      <c r="I29" s="124"/>
      <c r="J29" s="125">
        <f t="shared" si="1"/>
        <v>0</v>
      </c>
    </row>
    <row r="30" spans="1:10" ht="12.75">
      <c r="A30" s="120"/>
      <c r="B30" s="131"/>
      <c r="C30" s="130"/>
      <c r="D30" s="121"/>
      <c r="E30" s="121"/>
      <c r="F30" s="122">
        <f t="shared" si="2"/>
        <v>0</v>
      </c>
      <c r="G30" s="121">
        <f t="shared" si="3"/>
        <v>0</v>
      </c>
      <c r="H30" s="117">
        <f t="shared" si="0"/>
        <v>0</v>
      </c>
      <c r="I30" s="124"/>
      <c r="J30" s="125">
        <f t="shared" si="1"/>
        <v>0</v>
      </c>
    </row>
    <row r="31" spans="1:10" ht="12.75">
      <c r="A31" s="120"/>
      <c r="B31" s="126"/>
      <c r="C31" s="130"/>
      <c r="D31" s="121"/>
      <c r="E31" s="121"/>
      <c r="F31" s="122">
        <f t="shared" si="2"/>
        <v>0</v>
      </c>
      <c r="G31" s="121">
        <f t="shared" si="3"/>
        <v>0</v>
      </c>
      <c r="H31" s="122">
        <f t="shared" si="0"/>
        <v>0</v>
      </c>
      <c r="I31" s="121"/>
      <c r="J31" s="132">
        <f t="shared" si="1"/>
        <v>0</v>
      </c>
    </row>
    <row r="32" spans="1:10" ht="12.75">
      <c r="A32" s="120"/>
      <c r="B32" s="126"/>
      <c r="C32" s="130"/>
      <c r="D32" s="121"/>
      <c r="E32" s="121"/>
      <c r="F32" s="122">
        <f t="shared" si="2"/>
        <v>0</v>
      </c>
      <c r="G32" s="121">
        <f t="shared" si="3"/>
        <v>0</v>
      </c>
      <c r="H32" s="122">
        <f t="shared" si="0"/>
        <v>0</v>
      </c>
      <c r="I32" s="121"/>
      <c r="J32" s="132">
        <f t="shared" si="1"/>
        <v>0</v>
      </c>
    </row>
    <row r="33" spans="1:10" ht="12.75" customHeight="1">
      <c r="A33" s="133"/>
      <c r="B33" s="134"/>
      <c r="C33" s="130"/>
      <c r="D33" s="121"/>
      <c r="E33" s="121"/>
      <c r="F33" s="122">
        <f t="shared" si="2"/>
        <v>0</v>
      </c>
      <c r="G33" s="121">
        <f t="shared" si="3"/>
        <v>0</v>
      </c>
      <c r="H33" s="122">
        <f t="shared" si="0"/>
        <v>0</v>
      </c>
      <c r="I33" s="121"/>
      <c r="J33" s="132">
        <f t="shared" si="1"/>
        <v>0</v>
      </c>
    </row>
    <row r="34" spans="1:10" ht="12.75" customHeight="1">
      <c r="A34" s="133"/>
      <c r="B34" s="135"/>
      <c r="C34" s="187"/>
      <c r="D34" s="136"/>
      <c r="E34" s="140"/>
      <c r="F34" s="122">
        <f>SUM(D34:E34)</f>
        <v>0</v>
      </c>
      <c r="G34" s="140">
        <f t="shared" si="3"/>
        <v>0</v>
      </c>
      <c r="H34" s="122">
        <f t="shared" si="0"/>
        <v>0</v>
      </c>
      <c r="I34" s="140"/>
      <c r="J34" s="132">
        <f t="shared" si="1"/>
        <v>0</v>
      </c>
    </row>
    <row r="35" spans="1:10" s="145" customFormat="1" ht="12.75">
      <c r="A35" s="141" t="s">
        <v>126</v>
      </c>
      <c r="B35" s="623" t="s">
        <v>159</v>
      </c>
      <c r="C35" s="624"/>
      <c r="D35" s="142">
        <f aca="true" t="shared" si="4" ref="D35:J35">SUM(D19:D34)</f>
        <v>462344.74</v>
      </c>
      <c r="E35" s="142">
        <f t="shared" si="4"/>
        <v>0</v>
      </c>
      <c r="F35" s="142">
        <f t="shared" si="4"/>
        <v>462344.74</v>
      </c>
      <c r="G35" s="142">
        <f t="shared" si="4"/>
        <v>65652.95307999999</v>
      </c>
      <c r="H35" s="142">
        <f t="shared" si="4"/>
        <v>527997.69308</v>
      </c>
      <c r="I35" s="142">
        <f t="shared" si="4"/>
        <v>0</v>
      </c>
      <c r="J35" s="144">
        <f t="shared" si="4"/>
        <v>527997.69308</v>
      </c>
    </row>
    <row r="36" spans="1:10" ht="12" customHeight="1">
      <c r="A36" s="188">
        <v>2</v>
      </c>
      <c r="B36" s="110" t="s">
        <v>160</v>
      </c>
      <c r="C36" s="110"/>
      <c r="D36" s="106"/>
      <c r="E36" s="107"/>
      <c r="F36" s="106"/>
      <c r="G36" s="106"/>
      <c r="H36" s="106"/>
      <c r="I36" s="106"/>
      <c r="J36" s="108"/>
    </row>
    <row r="37" spans="1:10" ht="12.75">
      <c r="A37" s="114" t="s">
        <v>120</v>
      </c>
      <c r="B37" s="189" t="s">
        <v>161</v>
      </c>
      <c r="C37" s="153"/>
      <c r="D37" s="149"/>
      <c r="E37" s="149">
        <f>+SUM('[2]Dental TB'!$H$89:$H$95)</f>
        <v>46591.61</v>
      </c>
      <c r="F37" s="186">
        <f>SUM(D37:E37)</f>
        <v>46591.61</v>
      </c>
      <c r="G37" s="149"/>
      <c r="H37" s="150">
        <f aca="true" t="shared" si="5" ref="H37:H46">F37+G37</f>
        <v>46591.61</v>
      </c>
      <c r="I37" s="149"/>
      <c r="J37" s="151">
        <f aca="true" t="shared" si="6" ref="J37:J46">H37+I37</f>
        <v>46591.61</v>
      </c>
    </row>
    <row r="38" spans="1:10" ht="12.75">
      <c r="A38" s="120" t="s">
        <v>122</v>
      </c>
      <c r="B38" s="147" t="s">
        <v>137</v>
      </c>
      <c r="C38" s="126"/>
      <c r="D38" s="149"/>
      <c r="E38" s="149"/>
      <c r="F38" s="122">
        <f aca="true" t="shared" si="7" ref="F38:F45">SUM(D38:E38)</f>
        <v>0</v>
      </c>
      <c r="G38" s="149"/>
      <c r="H38" s="150">
        <f t="shared" si="5"/>
        <v>0</v>
      </c>
      <c r="I38" s="149"/>
      <c r="J38" s="151">
        <f t="shared" si="6"/>
        <v>0</v>
      </c>
    </row>
    <row r="39" spans="1:10" ht="12.75">
      <c r="A39" s="120" t="s">
        <v>124</v>
      </c>
      <c r="B39" s="152" t="s">
        <v>162</v>
      </c>
      <c r="C39" s="152"/>
      <c r="D39" s="149"/>
      <c r="E39" s="149"/>
      <c r="F39" s="122">
        <f t="shared" si="7"/>
        <v>0</v>
      </c>
      <c r="G39" s="149"/>
      <c r="H39" s="150">
        <f t="shared" si="5"/>
        <v>0</v>
      </c>
      <c r="I39" s="149"/>
      <c r="J39" s="151">
        <f t="shared" si="6"/>
        <v>0</v>
      </c>
    </row>
    <row r="40" spans="1:10" ht="12.75">
      <c r="A40" s="120" t="s">
        <v>126</v>
      </c>
      <c r="B40" s="152" t="s">
        <v>139</v>
      </c>
      <c r="C40" s="152"/>
      <c r="D40" s="149"/>
      <c r="E40" s="149"/>
      <c r="F40" s="122">
        <f t="shared" si="7"/>
        <v>0</v>
      </c>
      <c r="G40" s="149"/>
      <c r="H40" s="150">
        <f t="shared" si="5"/>
        <v>0</v>
      </c>
      <c r="I40" s="149"/>
      <c r="J40" s="151">
        <f t="shared" si="6"/>
        <v>0</v>
      </c>
    </row>
    <row r="41" spans="1:10" ht="12.75">
      <c r="A41" s="120" t="s">
        <v>133</v>
      </c>
      <c r="B41" s="619" t="s">
        <v>127</v>
      </c>
      <c r="C41" s="620"/>
      <c r="D41" s="149"/>
      <c r="E41" s="149"/>
      <c r="F41" s="122"/>
      <c r="G41" s="149"/>
      <c r="H41" s="150"/>
      <c r="I41" s="149"/>
      <c r="J41" s="151"/>
    </row>
    <row r="42" spans="1:10" ht="12.75">
      <c r="A42" s="120"/>
      <c r="B42" s="126"/>
      <c r="C42" s="127" t="s">
        <v>482</v>
      </c>
      <c r="D42" s="149"/>
      <c r="E42" s="149">
        <f>+SUM('[2]Dental TB'!$H$56:$H$58)</f>
        <v>12833.27</v>
      </c>
      <c r="F42" s="122">
        <f t="shared" si="7"/>
        <v>12833.27</v>
      </c>
      <c r="G42" s="149"/>
      <c r="H42" s="150">
        <f t="shared" si="5"/>
        <v>12833.27</v>
      </c>
      <c r="I42" s="149"/>
      <c r="J42" s="151">
        <f t="shared" si="6"/>
        <v>12833.27</v>
      </c>
    </row>
    <row r="43" spans="1:10" ht="12.75">
      <c r="A43" s="120"/>
      <c r="B43" s="128"/>
      <c r="C43" s="129" t="s">
        <v>483</v>
      </c>
      <c r="D43" s="149"/>
      <c r="E43" s="149">
        <f>+SUM('[2]Dental TB'!$H$82:$H$86)</f>
        <v>1071.85</v>
      </c>
      <c r="F43" s="122">
        <f t="shared" si="7"/>
        <v>1071.85</v>
      </c>
      <c r="G43" s="149"/>
      <c r="H43" s="150">
        <f t="shared" si="5"/>
        <v>1071.85</v>
      </c>
      <c r="I43" s="149"/>
      <c r="J43" s="151">
        <f t="shared" si="6"/>
        <v>1071.85</v>
      </c>
    </row>
    <row r="44" spans="1:10" ht="12.75">
      <c r="A44" s="133"/>
      <c r="B44" s="126"/>
      <c r="C44" s="130" t="s">
        <v>505</v>
      </c>
      <c r="D44" s="149"/>
      <c r="E44" s="149">
        <f>+SUM('[2]Dental TB'!$H$71:$H$74,'[2]Dental TB'!$H$78:$H$79)</f>
        <v>891.5</v>
      </c>
      <c r="F44" s="122">
        <f t="shared" si="7"/>
        <v>891.5</v>
      </c>
      <c r="G44" s="149"/>
      <c r="H44" s="150">
        <f t="shared" si="5"/>
        <v>891.5</v>
      </c>
      <c r="I44" s="149"/>
      <c r="J44" s="151">
        <f t="shared" si="6"/>
        <v>891.5</v>
      </c>
    </row>
    <row r="45" spans="1:10" ht="12.75">
      <c r="A45" s="133"/>
      <c r="B45" s="126"/>
      <c r="C45" s="130"/>
      <c r="D45" s="149"/>
      <c r="E45" s="149"/>
      <c r="F45" s="122">
        <f t="shared" si="7"/>
        <v>0</v>
      </c>
      <c r="G45" s="149"/>
      <c r="H45" s="150">
        <f t="shared" si="5"/>
        <v>0</v>
      </c>
      <c r="I45" s="149"/>
      <c r="J45" s="151">
        <f t="shared" si="6"/>
        <v>0</v>
      </c>
    </row>
    <row r="46" spans="1:10" ht="12.75">
      <c r="A46" s="133"/>
      <c r="B46" s="154"/>
      <c r="C46" s="155"/>
      <c r="D46" s="156"/>
      <c r="E46" s="149"/>
      <c r="F46" s="122">
        <f>SUM(D46:E46)</f>
        <v>0</v>
      </c>
      <c r="G46" s="149"/>
      <c r="H46" s="150">
        <f t="shared" si="5"/>
        <v>0</v>
      </c>
      <c r="I46" s="149"/>
      <c r="J46" s="151">
        <f t="shared" si="6"/>
        <v>0</v>
      </c>
    </row>
    <row r="47" spans="1:10" s="145" customFormat="1" ht="12.75">
      <c r="A47" s="157" t="s">
        <v>141</v>
      </c>
      <c r="B47" s="158" t="s">
        <v>163</v>
      </c>
      <c r="C47" s="159"/>
      <c r="D47" s="160">
        <f aca="true" t="shared" si="8" ref="D47:J47">SUM(D37:D46)</f>
        <v>0</v>
      </c>
      <c r="E47" s="160">
        <f t="shared" si="8"/>
        <v>61388.23</v>
      </c>
      <c r="F47" s="160">
        <f t="shared" si="8"/>
        <v>61388.23</v>
      </c>
      <c r="G47" s="160">
        <f t="shared" si="8"/>
        <v>0</v>
      </c>
      <c r="H47" s="160">
        <f t="shared" si="8"/>
        <v>61388.23</v>
      </c>
      <c r="I47" s="160">
        <f t="shared" si="8"/>
        <v>0</v>
      </c>
      <c r="J47" s="161">
        <f t="shared" si="8"/>
        <v>61388.23</v>
      </c>
    </row>
    <row r="48" spans="1:10" ht="12.75">
      <c r="A48" s="162"/>
      <c r="B48" s="163"/>
      <c r="C48" s="164"/>
      <c r="D48" s="165"/>
      <c r="E48" s="165"/>
      <c r="F48" s="165"/>
      <c r="G48" s="165"/>
      <c r="H48" s="165"/>
      <c r="I48" s="165"/>
      <c r="J48" s="166"/>
    </row>
    <row r="49" spans="1:10" s="145" customFormat="1" ht="12.75">
      <c r="A49" s="190">
        <v>3</v>
      </c>
      <c r="B49" s="168" t="s">
        <v>164</v>
      </c>
      <c r="C49" s="168"/>
      <c r="D49" s="142">
        <f>D47+D35</f>
        <v>462344.74</v>
      </c>
      <c r="E49" s="142">
        <f aca="true" t="shared" si="9" ref="E49:J49">E47+E35</f>
        <v>61388.23</v>
      </c>
      <c r="F49" s="142">
        <f t="shared" si="9"/>
        <v>523732.97</v>
      </c>
      <c r="G49" s="142">
        <f t="shared" si="9"/>
        <v>65652.95307999999</v>
      </c>
      <c r="H49" s="142">
        <f t="shared" si="9"/>
        <v>589385.92308</v>
      </c>
      <c r="I49" s="142">
        <f t="shared" si="9"/>
        <v>0</v>
      </c>
      <c r="J49" s="144">
        <f t="shared" si="9"/>
        <v>589385.92308</v>
      </c>
    </row>
    <row r="50" spans="1:10" ht="13.5" thickBot="1">
      <c r="A50" s="191"/>
      <c r="B50" s="170"/>
      <c r="C50" s="170"/>
      <c r="D50" s="171"/>
      <c r="E50" s="171"/>
      <c r="F50" s="171"/>
      <c r="G50" s="171"/>
      <c r="H50" s="171"/>
      <c r="I50" s="171"/>
      <c r="J50" s="192"/>
    </row>
  </sheetData>
  <sheetProtection/>
  <mergeCells count="15">
    <mergeCell ref="B20:C20"/>
    <mergeCell ref="B35:C35"/>
    <mergeCell ref="B41:C41"/>
    <mergeCell ref="C8:H8"/>
    <mergeCell ref="A11:J11"/>
    <mergeCell ref="A14:C15"/>
    <mergeCell ref="B17:C17"/>
    <mergeCell ref="B18:C18"/>
    <mergeCell ref="B19:C19"/>
    <mergeCell ref="A1:J1"/>
    <mergeCell ref="A2:J2"/>
    <mergeCell ref="A3:J3"/>
    <mergeCell ref="A4:J4"/>
    <mergeCell ref="E6:F6"/>
    <mergeCell ref="I6:J6"/>
  </mergeCells>
  <printOptions/>
  <pageMargins left="0.7" right="0.7" top="0.75" bottom="0.75" header="0.3" footer="0.3"/>
  <pageSetup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0">
      <selection activeCell="Q27" sqref="Q27"/>
    </sheetView>
  </sheetViews>
  <sheetFormatPr defaultColWidth="9.7109375" defaultRowHeight="15"/>
  <cols>
    <col min="1" max="1" width="4.7109375" style="99" customWidth="1"/>
    <col min="2" max="2" width="13.57421875" style="99" customWidth="1"/>
    <col min="3" max="3" width="47.8515625" style="99" customWidth="1"/>
    <col min="4" max="4" width="13.00390625" style="99" customWidth="1"/>
    <col min="5" max="5" width="12.421875" style="173" customWidth="1"/>
    <col min="6" max="6" width="12.140625" style="99" customWidth="1"/>
    <col min="7" max="7" width="11.7109375" style="99" customWidth="1"/>
    <col min="8" max="8" width="13.421875" style="99" customWidth="1"/>
    <col min="9" max="9" width="11.28125" style="99" customWidth="1"/>
    <col min="10" max="10" width="14.140625" style="99" customWidth="1"/>
    <col min="11" max="16384" width="9.7109375" style="99" customWidth="1"/>
  </cols>
  <sheetData>
    <row r="1" spans="1:15" s="72" customFormat="1" ht="12.7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2"/>
      <c r="L1" s="52"/>
      <c r="M1" s="52"/>
      <c r="N1" s="52"/>
      <c r="O1" s="52"/>
    </row>
    <row r="2" spans="1:15" s="72" customFormat="1" ht="12.7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2"/>
      <c r="L2" s="52"/>
      <c r="M2" s="52"/>
      <c r="N2" s="52"/>
      <c r="O2" s="52"/>
    </row>
    <row r="3" spans="1:15" s="72" customFormat="1" ht="12.7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2"/>
      <c r="L3" s="52"/>
      <c r="M3" s="52"/>
      <c r="N3" s="52"/>
      <c r="O3" s="52"/>
    </row>
    <row r="4" spans="1:15" s="72" customFormat="1" ht="12.7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2"/>
      <c r="L4" s="52"/>
      <c r="M4" s="52"/>
      <c r="N4" s="52"/>
      <c r="O4" s="52"/>
    </row>
    <row r="5" spans="1:15" s="72" customFormat="1" ht="13.5" thickBot="1">
      <c r="A5" s="2"/>
      <c r="B5" s="2"/>
      <c r="C5" s="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72" customFormat="1" ht="20.25" customHeight="1">
      <c r="A6" s="73"/>
      <c r="B6" s="55" t="s">
        <v>49</v>
      </c>
      <c r="C6" s="56"/>
      <c r="D6" s="56" t="s">
        <v>23</v>
      </c>
      <c r="E6" s="576">
        <f>'[1]P1 Info &amp; Certification'!L20</f>
        <v>43831</v>
      </c>
      <c r="F6" s="576"/>
      <c r="G6" s="74"/>
      <c r="H6" s="75" t="s">
        <v>24</v>
      </c>
      <c r="I6" s="576">
        <f>'[1]P1 Info &amp; Certification'!N20</f>
        <v>44196</v>
      </c>
      <c r="J6" s="605"/>
      <c r="K6" s="76"/>
      <c r="L6" s="60"/>
      <c r="M6" s="77"/>
      <c r="N6" s="77"/>
      <c r="O6" s="60"/>
    </row>
    <row r="7" spans="1:15" s="72" customFormat="1" ht="12.75">
      <c r="A7" s="61"/>
      <c r="B7" s="60"/>
      <c r="C7" s="60"/>
      <c r="D7" s="60"/>
      <c r="E7" s="2"/>
      <c r="F7" s="2"/>
      <c r="G7" s="2"/>
      <c r="H7" s="2"/>
      <c r="I7" s="2"/>
      <c r="J7" s="62"/>
      <c r="K7" s="2"/>
      <c r="L7" s="2"/>
      <c r="M7" s="2"/>
      <c r="N7" s="2"/>
      <c r="O7" s="2"/>
    </row>
    <row r="8" spans="1:15" s="72" customFormat="1" ht="26.25" customHeight="1" thickBot="1">
      <c r="A8" s="78"/>
      <c r="B8" s="79" t="s">
        <v>50</v>
      </c>
      <c r="C8" s="625" t="str">
        <f>'[1]P1 Info &amp; Certification'!E12</f>
        <v>CIFC Inc./ Greater Danbury Community Health Center</v>
      </c>
      <c r="D8" s="625"/>
      <c r="E8" s="625"/>
      <c r="F8" s="625"/>
      <c r="G8" s="625"/>
      <c r="H8" s="625"/>
      <c r="I8" s="80"/>
      <c r="J8" s="81"/>
      <c r="K8" s="82"/>
      <c r="L8" s="82"/>
      <c r="M8" s="82"/>
      <c r="N8" s="82"/>
      <c r="O8" s="82"/>
    </row>
    <row r="9" spans="1:10" s="72" customFormat="1" ht="12.75">
      <c r="A9" s="83"/>
      <c r="B9" s="84"/>
      <c r="C9" s="84"/>
      <c r="D9" s="84"/>
      <c r="E9" s="85"/>
      <c r="F9" s="84"/>
      <c r="G9" s="86"/>
      <c r="H9" s="84"/>
      <c r="I9" s="84"/>
      <c r="J9" s="84"/>
    </row>
    <row r="10" spans="1:10" s="72" customFormat="1" ht="13.5" thickBot="1">
      <c r="A10" s="83"/>
      <c r="B10" s="84"/>
      <c r="C10" s="84"/>
      <c r="D10" s="84"/>
      <c r="E10" s="85"/>
      <c r="F10" s="84"/>
      <c r="G10" s="86"/>
      <c r="H10" s="84"/>
      <c r="I10" s="84"/>
      <c r="J10" s="179" t="s">
        <v>173</v>
      </c>
    </row>
    <row r="11" spans="1:10" s="72" customFormat="1" ht="19.5" customHeight="1">
      <c r="A11" s="606" t="s">
        <v>89</v>
      </c>
      <c r="B11" s="607"/>
      <c r="C11" s="607"/>
      <c r="D11" s="607"/>
      <c r="E11" s="607"/>
      <c r="F11" s="607"/>
      <c r="G11" s="607"/>
      <c r="H11" s="607"/>
      <c r="I11" s="607"/>
      <c r="J11" s="608"/>
    </row>
    <row r="12" spans="1:10" s="72" customFormat="1" ht="13.5" thickBot="1">
      <c r="A12" s="88"/>
      <c r="B12" s="89"/>
      <c r="C12" s="89"/>
      <c r="D12" s="89"/>
      <c r="E12" s="90"/>
      <c r="F12" s="89"/>
      <c r="G12" s="89"/>
      <c r="H12" s="89"/>
      <c r="I12" s="89"/>
      <c r="J12" s="91"/>
    </row>
    <row r="13" spans="1:10" s="98" customFormat="1" ht="10.5" customHeight="1">
      <c r="A13" s="92"/>
      <c r="B13" s="93"/>
      <c r="C13" s="94"/>
      <c r="D13" s="95"/>
      <c r="E13" s="96" t="s">
        <v>90</v>
      </c>
      <c r="F13" s="95"/>
      <c r="G13" s="95" t="s">
        <v>91</v>
      </c>
      <c r="H13" s="95" t="s">
        <v>92</v>
      </c>
      <c r="I13" s="95" t="s">
        <v>93</v>
      </c>
      <c r="J13" s="97" t="s">
        <v>94</v>
      </c>
    </row>
    <row r="14" spans="1:10" s="98" customFormat="1" ht="10.5" customHeight="1">
      <c r="A14" s="609" t="s">
        <v>95</v>
      </c>
      <c r="B14" s="610"/>
      <c r="C14" s="611"/>
      <c r="D14" s="95" t="s">
        <v>96</v>
      </c>
      <c r="E14" s="96" t="s">
        <v>97</v>
      </c>
      <c r="F14" s="95"/>
      <c r="G14" s="95" t="s">
        <v>98</v>
      </c>
      <c r="H14" s="95" t="s">
        <v>99</v>
      </c>
      <c r="I14" s="95" t="s">
        <v>100</v>
      </c>
      <c r="J14" s="97" t="s">
        <v>101</v>
      </c>
    </row>
    <row r="15" spans="1:10" ht="10.5" customHeight="1">
      <c r="A15" s="609"/>
      <c r="B15" s="610"/>
      <c r="C15" s="611"/>
      <c r="D15" s="95" t="s">
        <v>102</v>
      </c>
      <c r="E15" s="96" t="s">
        <v>103</v>
      </c>
      <c r="F15" s="95" t="s">
        <v>104</v>
      </c>
      <c r="G15" s="95" t="s">
        <v>105</v>
      </c>
      <c r="H15" s="95" t="s">
        <v>106</v>
      </c>
      <c r="I15" s="95" t="s">
        <v>107</v>
      </c>
      <c r="J15" s="97" t="s">
        <v>108</v>
      </c>
    </row>
    <row r="16" spans="1:10" ht="10.5" customHeight="1" thickBot="1">
      <c r="A16" s="210"/>
      <c r="B16" s="183"/>
      <c r="C16" s="184"/>
      <c r="D16" s="104" t="s">
        <v>111</v>
      </c>
      <c r="E16" s="102" t="s">
        <v>112</v>
      </c>
      <c r="F16" s="103" t="s">
        <v>113</v>
      </c>
      <c r="G16" s="104" t="s">
        <v>114</v>
      </c>
      <c r="H16" s="104" t="s">
        <v>115</v>
      </c>
      <c r="I16" s="104" t="s">
        <v>116</v>
      </c>
      <c r="J16" s="104" t="s">
        <v>117</v>
      </c>
    </row>
    <row r="17" spans="1:10" ht="12" customHeight="1">
      <c r="A17" s="100" t="s">
        <v>174</v>
      </c>
      <c r="B17" s="615" t="s">
        <v>175</v>
      </c>
      <c r="C17" s="615"/>
      <c r="D17" s="106"/>
      <c r="E17" s="107"/>
      <c r="F17" s="106"/>
      <c r="G17" s="106"/>
      <c r="H17" s="106"/>
      <c r="I17" s="106"/>
      <c r="J17" s="108"/>
    </row>
    <row r="18" spans="1:10" ht="12" customHeight="1">
      <c r="A18" s="185" t="s">
        <v>7</v>
      </c>
      <c r="B18" s="617" t="s">
        <v>119</v>
      </c>
      <c r="C18" s="618"/>
      <c r="D18" s="111"/>
      <c r="E18" s="112"/>
      <c r="F18" s="111"/>
      <c r="G18" s="111"/>
      <c r="H18" s="106"/>
      <c r="I18" s="111"/>
      <c r="J18" s="113"/>
    </row>
    <row r="19" spans="1:10" ht="12.75">
      <c r="A19" s="114" t="s">
        <v>120</v>
      </c>
      <c r="B19" s="621" t="s">
        <v>176</v>
      </c>
      <c r="C19" s="622"/>
      <c r="D19" s="115">
        <f>+'P11 Form B-1 Visits-FTE Mental'!E24</f>
        <v>490747.0199999999</v>
      </c>
      <c r="E19" s="115"/>
      <c r="F19" s="186">
        <f>SUM(D19:E19)</f>
        <v>490747.0199999999</v>
      </c>
      <c r="G19" s="115">
        <f>+F19*14.2%</f>
        <v>69686.07683999998</v>
      </c>
      <c r="H19" s="117">
        <f aca="true" t="shared" si="0" ref="H19:H29">F19+G19</f>
        <v>560433.0968399999</v>
      </c>
      <c r="I19" s="118"/>
      <c r="J19" s="119">
        <f aca="true" t="shared" si="1" ref="J19:J29">H19+I19</f>
        <v>560433.0968399999</v>
      </c>
    </row>
    <row r="20" spans="1:10" ht="12.75">
      <c r="A20" s="120" t="s">
        <v>122</v>
      </c>
      <c r="B20" s="619" t="s">
        <v>177</v>
      </c>
      <c r="C20" s="620"/>
      <c r="D20" s="121">
        <f>+'P11 Form B-1 Visits-FTE Mental'!E41</f>
        <v>720894.07</v>
      </c>
      <c r="E20" s="121"/>
      <c r="F20" s="117">
        <f>SUM(D20:E20)</f>
        <v>720894.07</v>
      </c>
      <c r="G20" s="121">
        <f>+F20*14.2%</f>
        <v>102366.95793999998</v>
      </c>
      <c r="H20" s="117">
        <f t="shared" si="0"/>
        <v>823261.0279399999</v>
      </c>
      <c r="I20" s="124"/>
      <c r="J20" s="125">
        <f t="shared" si="1"/>
        <v>823261.0279399999</v>
      </c>
    </row>
    <row r="21" spans="1:10" ht="12.75">
      <c r="A21" s="120" t="s">
        <v>124</v>
      </c>
      <c r="B21" s="147" t="s">
        <v>127</v>
      </c>
      <c r="C21" s="153"/>
      <c r="D21" s="121"/>
      <c r="E21" s="121"/>
      <c r="F21" s="117"/>
      <c r="G21" s="121"/>
      <c r="H21" s="117"/>
      <c r="I21" s="124"/>
      <c r="J21" s="125"/>
    </row>
    <row r="22" spans="1:10" ht="12.75">
      <c r="A22" s="120"/>
      <c r="B22" s="211"/>
      <c r="C22" s="127" t="s">
        <v>506</v>
      </c>
      <c r="D22" s="121">
        <f>+SUM('P11 Form B-1 Visits-FTE Mental'!E44:E45,'P11 Form B-1 Visits-FTE Mental'!E46)</f>
        <v>330039.97</v>
      </c>
      <c r="E22" s="121"/>
      <c r="F22" s="117">
        <f>SUM(D22:E22)</f>
        <v>330039.97</v>
      </c>
      <c r="G22" s="121">
        <f>+F22*14.2%</f>
        <v>46865.67573999999</v>
      </c>
      <c r="H22" s="117">
        <f t="shared" si="0"/>
        <v>376905.64573999995</v>
      </c>
      <c r="I22" s="124"/>
      <c r="J22" s="125">
        <f t="shared" si="1"/>
        <v>376905.64573999995</v>
      </c>
    </row>
    <row r="23" spans="1:10" ht="12.75">
      <c r="A23" s="120"/>
      <c r="B23" s="211"/>
      <c r="C23" s="130" t="s">
        <v>507</v>
      </c>
      <c r="D23" s="121">
        <f>+SUM('P11 Form B-1 Visits-FTE Mental'!E47:E48)</f>
        <v>195169.01000000004</v>
      </c>
      <c r="E23" s="121"/>
      <c r="F23" s="117">
        <f aca="true" t="shared" si="2" ref="F23:F28">SUM(D23:E23)</f>
        <v>195169.01000000004</v>
      </c>
      <c r="G23" s="121">
        <f>+F23*14.2%</f>
        <v>27713.999420000004</v>
      </c>
      <c r="H23" s="117">
        <f t="shared" si="0"/>
        <v>222883.00942000005</v>
      </c>
      <c r="I23" s="124"/>
      <c r="J23" s="125">
        <f t="shared" si="1"/>
        <v>222883.00942000005</v>
      </c>
    </row>
    <row r="24" spans="1:10" ht="12.75">
      <c r="A24" s="120"/>
      <c r="B24" s="212"/>
      <c r="C24" s="130" t="s">
        <v>508</v>
      </c>
      <c r="D24" s="121"/>
      <c r="E24" s="121"/>
      <c r="F24" s="117">
        <f t="shared" si="2"/>
        <v>0</v>
      </c>
      <c r="G24" s="121"/>
      <c r="H24" s="117">
        <f t="shared" si="0"/>
        <v>0</v>
      </c>
      <c r="I24" s="124"/>
      <c r="J24" s="125">
        <f t="shared" si="1"/>
        <v>0</v>
      </c>
    </row>
    <row r="25" spans="1:10" ht="12.75">
      <c r="A25" s="120"/>
      <c r="B25" s="211"/>
      <c r="C25" s="130" t="s">
        <v>495</v>
      </c>
      <c r="D25" s="121">
        <f>+'P11 Form B-1 Visits-FTE Mental'!E49</f>
        <v>115443.24000000003</v>
      </c>
      <c r="E25" s="121"/>
      <c r="F25" s="117">
        <f t="shared" si="2"/>
        <v>115443.24000000003</v>
      </c>
      <c r="G25" s="121"/>
      <c r="H25" s="117">
        <f t="shared" si="0"/>
        <v>115443.24000000003</v>
      </c>
      <c r="I25" s="124"/>
      <c r="J25" s="125">
        <f t="shared" si="1"/>
        <v>115443.24000000003</v>
      </c>
    </row>
    <row r="26" spans="1:10" ht="12.75">
      <c r="A26" s="120"/>
      <c r="B26" s="211"/>
      <c r="C26" s="130"/>
      <c r="D26" s="121"/>
      <c r="E26" s="121"/>
      <c r="F26" s="117">
        <f t="shared" si="2"/>
        <v>0</v>
      </c>
      <c r="G26" s="121"/>
      <c r="H26" s="122">
        <f t="shared" si="0"/>
        <v>0</v>
      </c>
      <c r="I26" s="121"/>
      <c r="J26" s="132">
        <f t="shared" si="1"/>
        <v>0</v>
      </c>
    </row>
    <row r="27" spans="1:10" ht="12.75">
      <c r="A27" s="120"/>
      <c r="B27" s="211"/>
      <c r="C27" s="130"/>
      <c r="D27" s="121"/>
      <c r="E27" s="121"/>
      <c r="F27" s="117">
        <f t="shared" si="2"/>
        <v>0</v>
      </c>
      <c r="G27" s="121"/>
      <c r="H27" s="122">
        <f t="shared" si="0"/>
        <v>0</v>
      </c>
      <c r="I27" s="121"/>
      <c r="J27" s="132">
        <f t="shared" si="1"/>
        <v>0</v>
      </c>
    </row>
    <row r="28" spans="1:10" ht="12.75" customHeight="1">
      <c r="A28" s="133"/>
      <c r="B28" s="134"/>
      <c r="C28" s="130"/>
      <c r="D28" s="121"/>
      <c r="E28" s="121"/>
      <c r="F28" s="117">
        <f t="shared" si="2"/>
        <v>0</v>
      </c>
      <c r="G28" s="121"/>
      <c r="H28" s="122">
        <f t="shared" si="0"/>
        <v>0</v>
      </c>
      <c r="I28" s="121"/>
      <c r="J28" s="132">
        <f t="shared" si="1"/>
        <v>0</v>
      </c>
    </row>
    <row r="29" spans="1:10" ht="12.75" customHeight="1">
      <c r="A29" s="133"/>
      <c r="B29" s="135"/>
      <c r="C29" s="127"/>
      <c r="D29" s="136"/>
      <c r="E29" s="140"/>
      <c r="F29" s="122">
        <f>SUM(D29:E29)</f>
        <v>0</v>
      </c>
      <c r="G29" s="140"/>
      <c r="H29" s="122">
        <f t="shared" si="0"/>
        <v>0</v>
      </c>
      <c r="I29" s="140"/>
      <c r="J29" s="132">
        <f t="shared" si="1"/>
        <v>0</v>
      </c>
    </row>
    <row r="30" spans="1:10" s="145" customFormat="1" ht="12.75">
      <c r="A30" s="141" t="s">
        <v>126</v>
      </c>
      <c r="B30" s="623" t="s">
        <v>178</v>
      </c>
      <c r="C30" s="624"/>
      <c r="D30" s="142">
        <f aca="true" t="shared" si="3" ref="D30:J30">SUM(D19:D29)</f>
        <v>1852293.3099999998</v>
      </c>
      <c r="E30" s="142">
        <f t="shared" si="3"/>
        <v>0</v>
      </c>
      <c r="F30" s="142">
        <f t="shared" si="3"/>
        <v>1852293.3099999998</v>
      </c>
      <c r="G30" s="142">
        <f t="shared" si="3"/>
        <v>246632.70993999997</v>
      </c>
      <c r="H30" s="142">
        <f t="shared" si="3"/>
        <v>2098926.01994</v>
      </c>
      <c r="I30" s="142">
        <f t="shared" si="3"/>
        <v>0</v>
      </c>
      <c r="J30" s="144">
        <f t="shared" si="3"/>
        <v>2098926.01994</v>
      </c>
    </row>
    <row r="31" spans="1:10" ht="12" customHeight="1">
      <c r="A31" s="213" t="s">
        <v>19</v>
      </c>
      <c r="B31" s="110" t="s">
        <v>179</v>
      </c>
      <c r="C31" s="110"/>
      <c r="D31" s="106"/>
      <c r="E31" s="107"/>
      <c r="F31" s="106"/>
      <c r="G31" s="106"/>
      <c r="H31" s="106"/>
      <c r="I31" s="106"/>
      <c r="J31" s="108"/>
    </row>
    <row r="32" spans="1:10" ht="12.75">
      <c r="A32" s="114" t="s">
        <v>120</v>
      </c>
      <c r="B32" s="126" t="s">
        <v>136</v>
      </c>
      <c r="C32" s="153"/>
      <c r="D32" s="149"/>
      <c r="E32" s="186">
        <f>+'[2]BH TB'!$G$81+'[2]Medicare grouping 2020'!$D$30*0.25</f>
        <v>112619.3425</v>
      </c>
      <c r="F32" s="117">
        <f aca="true" t="shared" si="4" ref="F32:F40">SUM(D32:E32)</f>
        <v>112619.3425</v>
      </c>
      <c r="G32" s="149"/>
      <c r="H32" s="150">
        <f>E32+G32</f>
        <v>112619.3425</v>
      </c>
      <c r="I32" s="149"/>
      <c r="J32" s="151">
        <f aca="true" t="shared" si="5" ref="J32:J41">H32+I32</f>
        <v>112619.3425</v>
      </c>
    </row>
    <row r="33" spans="1:10" ht="12.75">
      <c r="A33" s="120" t="s">
        <v>122</v>
      </c>
      <c r="B33" s="147" t="s">
        <v>137</v>
      </c>
      <c r="C33" s="126"/>
      <c r="D33" s="149"/>
      <c r="E33" s="149"/>
      <c r="F33" s="117">
        <f t="shared" si="4"/>
        <v>0</v>
      </c>
      <c r="G33" s="149"/>
      <c r="H33" s="150">
        <f aca="true" t="shared" si="6" ref="H33:H41">F33+G33</f>
        <v>0</v>
      </c>
      <c r="I33" s="149"/>
      <c r="J33" s="151">
        <f t="shared" si="5"/>
        <v>0</v>
      </c>
    </row>
    <row r="34" spans="1:10" ht="12.75">
      <c r="A34" s="120" t="s">
        <v>124</v>
      </c>
      <c r="B34" s="152" t="s">
        <v>180</v>
      </c>
      <c r="C34" s="152"/>
      <c r="D34" s="149"/>
      <c r="E34" s="149"/>
      <c r="F34" s="117">
        <f t="shared" si="4"/>
        <v>0</v>
      </c>
      <c r="G34" s="149"/>
      <c r="H34" s="150">
        <f t="shared" si="6"/>
        <v>0</v>
      </c>
      <c r="I34" s="149"/>
      <c r="J34" s="151">
        <f t="shared" si="5"/>
        <v>0</v>
      </c>
    </row>
    <row r="35" spans="1:10" ht="12.75">
      <c r="A35" s="120" t="s">
        <v>126</v>
      </c>
      <c r="B35" s="152" t="s">
        <v>139</v>
      </c>
      <c r="C35" s="152"/>
      <c r="D35" s="149"/>
      <c r="E35" s="149"/>
      <c r="F35" s="117">
        <f t="shared" si="4"/>
        <v>0</v>
      </c>
      <c r="G35" s="149"/>
      <c r="H35" s="150">
        <f t="shared" si="6"/>
        <v>0</v>
      </c>
      <c r="I35" s="149"/>
      <c r="J35" s="151">
        <f t="shared" si="5"/>
        <v>0</v>
      </c>
    </row>
    <row r="36" spans="1:10" ht="12.75">
      <c r="A36" s="120" t="s">
        <v>133</v>
      </c>
      <c r="B36" s="619" t="s">
        <v>127</v>
      </c>
      <c r="C36" s="620"/>
      <c r="D36" s="149"/>
      <c r="E36" s="149"/>
      <c r="F36" s="117"/>
      <c r="G36" s="149"/>
      <c r="H36" s="150"/>
      <c r="I36" s="149"/>
      <c r="J36" s="151"/>
    </row>
    <row r="37" spans="1:10" ht="12.75">
      <c r="A37" s="120"/>
      <c r="B37" s="211"/>
      <c r="C37" s="127" t="s">
        <v>482</v>
      </c>
      <c r="D37" s="149"/>
      <c r="E37" s="149">
        <f>+SUM('[2]BH TB'!$G$53:$G$54)</f>
        <v>15129.78</v>
      </c>
      <c r="F37" s="117">
        <f t="shared" si="4"/>
        <v>15129.78</v>
      </c>
      <c r="G37" s="149"/>
      <c r="H37" s="150">
        <f t="shared" si="6"/>
        <v>15129.78</v>
      </c>
      <c r="I37" s="149"/>
      <c r="J37" s="151">
        <f t="shared" si="5"/>
        <v>15129.78</v>
      </c>
    </row>
    <row r="38" spans="1:10" ht="12.75">
      <c r="A38" s="120"/>
      <c r="B38" s="212"/>
      <c r="C38" s="129" t="s">
        <v>484</v>
      </c>
      <c r="D38" s="149"/>
      <c r="E38" s="149">
        <f>+SUM('[2]BH TB'!$G$66:$G$68)</f>
        <v>4558.49</v>
      </c>
      <c r="F38" s="117">
        <f t="shared" si="4"/>
        <v>4558.49</v>
      </c>
      <c r="G38" s="149"/>
      <c r="H38" s="150">
        <f t="shared" si="6"/>
        <v>4558.49</v>
      </c>
      <c r="I38" s="149"/>
      <c r="J38" s="151">
        <f t="shared" si="5"/>
        <v>4558.49</v>
      </c>
    </row>
    <row r="39" spans="1:10" ht="12.75">
      <c r="A39" s="133"/>
      <c r="B39" s="211"/>
      <c r="C39" s="130" t="s">
        <v>485</v>
      </c>
      <c r="D39" s="149"/>
      <c r="E39" s="149">
        <f>+SUM('[2]BH TB'!$G$74:$G$76)</f>
        <v>7611.03</v>
      </c>
      <c r="F39" s="117">
        <f t="shared" si="4"/>
        <v>7611.03</v>
      </c>
      <c r="G39" s="149"/>
      <c r="H39" s="150">
        <f t="shared" si="6"/>
        <v>7611.03</v>
      </c>
      <c r="I39" s="149"/>
      <c r="J39" s="151">
        <f t="shared" si="5"/>
        <v>7611.03</v>
      </c>
    </row>
    <row r="40" spans="1:10" ht="12.75">
      <c r="A40" s="133"/>
      <c r="B40" s="211"/>
      <c r="C40" s="130" t="s">
        <v>486</v>
      </c>
      <c r="D40" s="149"/>
      <c r="E40" s="149">
        <f>+SUM('P3 Form A-1 Health Care'!P47:P48)</f>
        <v>8818.83</v>
      </c>
      <c r="F40" s="117">
        <f t="shared" si="4"/>
        <v>8818.83</v>
      </c>
      <c r="G40" s="149"/>
      <c r="H40" s="150">
        <f t="shared" si="6"/>
        <v>8818.83</v>
      </c>
      <c r="I40" s="149"/>
      <c r="J40" s="151">
        <f t="shared" si="5"/>
        <v>8818.83</v>
      </c>
    </row>
    <row r="41" spans="1:10" ht="12.75">
      <c r="A41" s="133"/>
      <c r="B41" s="154"/>
      <c r="C41" s="155" t="s">
        <v>509</v>
      </c>
      <c r="D41" s="156"/>
      <c r="E41" s="149">
        <f>+'[2]BH TB'!$G$49</f>
        <v>67957.05</v>
      </c>
      <c r="F41" s="122">
        <f>SUM(D41:E41)</f>
        <v>67957.05</v>
      </c>
      <c r="G41" s="149"/>
      <c r="H41" s="150">
        <f t="shared" si="6"/>
        <v>67957.05</v>
      </c>
      <c r="I41" s="149"/>
      <c r="J41" s="151">
        <f t="shared" si="5"/>
        <v>67957.05</v>
      </c>
    </row>
    <row r="42" spans="1:10" s="145" customFormat="1" ht="12.75">
      <c r="A42" s="157" t="s">
        <v>141</v>
      </c>
      <c r="B42" s="158" t="s">
        <v>181</v>
      </c>
      <c r="C42" s="159"/>
      <c r="D42" s="160">
        <f aca="true" t="shared" si="7" ref="D42:J42">SUM(D32:D41)</f>
        <v>0</v>
      </c>
      <c r="E42" s="160">
        <f>SUM(E32:E41)</f>
        <v>216694.52249999996</v>
      </c>
      <c r="F42" s="160">
        <f t="shared" si="7"/>
        <v>216694.52249999996</v>
      </c>
      <c r="G42" s="160">
        <f t="shared" si="7"/>
        <v>0</v>
      </c>
      <c r="H42" s="160">
        <f t="shared" si="7"/>
        <v>216694.52249999996</v>
      </c>
      <c r="I42" s="160">
        <f t="shared" si="7"/>
        <v>0</v>
      </c>
      <c r="J42" s="161">
        <f t="shared" si="7"/>
        <v>216694.52249999996</v>
      </c>
    </row>
    <row r="43" spans="1:10" ht="12.75">
      <c r="A43" s="162"/>
      <c r="B43" s="163"/>
      <c r="C43" s="164"/>
      <c r="D43" s="165"/>
      <c r="E43" s="165"/>
      <c r="F43" s="165"/>
      <c r="G43" s="165"/>
      <c r="H43" s="165"/>
      <c r="I43" s="165"/>
      <c r="J43" s="166"/>
    </row>
    <row r="44" spans="1:10" ht="12.75">
      <c r="A44" s="214" t="s">
        <v>152</v>
      </c>
      <c r="B44" s="215" t="s">
        <v>182</v>
      </c>
      <c r="C44" s="215"/>
      <c r="D44" s="216">
        <f>D42+D30</f>
        <v>1852293.3099999998</v>
      </c>
      <c r="E44" s="216">
        <f aca="true" t="shared" si="8" ref="E44:J44">E42+E30</f>
        <v>216694.52249999996</v>
      </c>
      <c r="F44" s="216">
        <f t="shared" si="8"/>
        <v>2068987.8324999998</v>
      </c>
      <c r="G44" s="216">
        <f t="shared" si="8"/>
        <v>246632.70993999997</v>
      </c>
      <c r="H44" s="216">
        <f t="shared" si="8"/>
        <v>2315620.54244</v>
      </c>
      <c r="I44" s="216">
        <f t="shared" si="8"/>
        <v>0</v>
      </c>
      <c r="J44" s="217">
        <f t="shared" si="8"/>
        <v>2315620.54244</v>
      </c>
    </row>
    <row r="45" spans="1:10" s="145" customFormat="1" ht="24" customHeight="1" thickBot="1">
      <c r="A45" s="218" t="s">
        <v>183</v>
      </c>
      <c r="B45" s="626" t="s">
        <v>184</v>
      </c>
      <c r="C45" s="626"/>
      <c r="D45" s="219">
        <f>D44+'P4 Form A-2 Dental'!D49+'P3 Form A-1 Health Care'!D52</f>
        <v>9718556.4</v>
      </c>
      <c r="E45" s="219">
        <f>E44+'P4 Form A-2 Dental'!E49+'P3 Form A-1 Health Care'!E52</f>
        <v>1923615.8499999999</v>
      </c>
      <c r="F45" s="219">
        <f>F44+'P4 Form A-2 Dental'!F49+'P3 Form A-1 Health Care'!F52</f>
        <v>11642172.25</v>
      </c>
      <c r="G45" s="219">
        <f>G44+'P4 Form A-2 Dental'!G49+'P3 Form A-1 Health Care'!G52</f>
        <v>1363642.0687199999</v>
      </c>
      <c r="H45" s="219">
        <f>H44+'P4 Form A-2 Dental'!H49+'P3 Form A-1 Health Care'!H52</f>
        <v>13005814.31872</v>
      </c>
      <c r="I45" s="219">
        <f>I44+'P4 Form A-2 Dental'!I49+'P3 Form A-1 Health Care'!I52</f>
        <v>0</v>
      </c>
      <c r="J45" s="219">
        <f>J44+'P4 Form A-2 Dental'!J49+'P3 Form A-1 Health Care'!J52</f>
        <v>13005814.31872</v>
      </c>
    </row>
    <row r="46" spans="1:10" ht="13.5" thickBot="1" thickTop="1">
      <c r="A46" s="220"/>
      <c r="B46" s="221"/>
      <c r="C46" s="221"/>
      <c r="D46" s="221"/>
      <c r="E46" s="222"/>
      <c r="F46" s="221"/>
      <c r="G46" s="221"/>
      <c r="H46" s="221"/>
      <c r="I46" s="221"/>
      <c r="J46" s="223"/>
    </row>
    <row r="47" ht="12.75">
      <c r="A47" s="193"/>
    </row>
    <row r="48" ht="12.75">
      <c r="A48" s="193"/>
    </row>
  </sheetData>
  <sheetProtection/>
  <mergeCells count="16">
    <mergeCell ref="B20:C20"/>
    <mergeCell ref="B30:C30"/>
    <mergeCell ref="B36:C36"/>
    <mergeCell ref="B45:C45"/>
    <mergeCell ref="C8:H8"/>
    <mergeCell ref="A11:J11"/>
    <mergeCell ref="A14:C15"/>
    <mergeCell ref="B17:C17"/>
    <mergeCell ref="B18:C18"/>
    <mergeCell ref="B19:C19"/>
    <mergeCell ref="A1:J1"/>
    <mergeCell ref="A2:J2"/>
    <mergeCell ref="A3:J3"/>
    <mergeCell ref="A4:J4"/>
    <mergeCell ref="E6:F6"/>
    <mergeCell ref="I6:J6"/>
  </mergeCells>
  <printOptions/>
  <pageMargins left="0.7" right="0.7" top="0.75" bottom="0.75" header="0.3" footer="0.3"/>
  <pageSetup horizontalDpi="600" verticalDpi="600" orientation="landscape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50" sqref="B50"/>
    </sheetView>
  </sheetViews>
  <sheetFormatPr defaultColWidth="9.7109375" defaultRowHeight="15"/>
  <cols>
    <col min="1" max="1" width="4.7109375" style="99" customWidth="1"/>
    <col min="2" max="2" width="13.57421875" style="99" customWidth="1"/>
    <col min="3" max="3" width="40.140625" style="99" customWidth="1"/>
    <col min="4" max="4" width="13.00390625" style="99" customWidth="1"/>
    <col min="5" max="5" width="12.421875" style="173" customWidth="1"/>
    <col min="6" max="6" width="12.140625" style="99" customWidth="1"/>
    <col min="7" max="7" width="11.7109375" style="99" customWidth="1"/>
    <col min="8" max="8" width="13.421875" style="99" customWidth="1"/>
    <col min="9" max="9" width="11.28125" style="99" customWidth="1"/>
    <col min="10" max="10" width="14.140625" style="99" customWidth="1"/>
    <col min="11" max="16384" width="9.7109375" style="99" customWidth="1"/>
  </cols>
  <sheetData>
    <row r="1" spans="1:15" s="72" customFormat="1" ht="13.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2"/>
      <c r="L1" s="52"/>
      <c r="M1" s="52"/>
      <c r="N1" s="52"/>
      <c r="O1" s="52"/>
    </row>
    <row r="2" spans="1:15" s="72" customFormat="1" ht="13.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2"/>
      <c r="L2" s="52"/>
      <c r="M2" s="52"/>
      <c r="N2" s="52"/>
      <c r="O2" s="52"/>
    </row>
    <row r="3" spans="1:15" s="72" customFormat="1" ht="13.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2"/>
      <c r="L3" s="52"/>
      <c r="M3" s="52"/>
      <c r="N3" s="52"/>
      <c r="O3" s="52"/>
    </row>
    <row r="4" spans="1:15" s="72" customFormat="1" ht="13.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2"/>
      <c r="L4" s="52"/>
      <c r="M4" s="52"/>
      <c r="N4" s="52"/>
      <c r="O4" s="52"/>
    </row>
    <row r="5" spans="1:15" s="72" customFormat="1" ht="13.5" thickBot="1">
      <c r="A5" s="2"/>
      <c r="B5" s="2"/>
      <c r="C5" s="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72" customFormat="1" ht="20.25" customHeight="1">
      <c r="A6" s="73"/>
      <c r="B6" s="55" t="s">
        <v>49</v>
      </c>
      <c r="C6" s="56"/>
      <c r="D6" s="56" t="s">
        <v>23</v>
      </c>
      <c r="E6" s="576">
        <f>'[1]P1 Info &amp; Certification'!L20</f>
        <v>43831</v>
      </c>
      <c r="F6" s="576"/>
      <c r="G6" s="74"/>
      <c r="H6" s="75" t="s">
        <v>24</v>
      </c>
      <c r="I6" s="576">
        <f>'[1]P1 Info &amp; Certification'!N20</f>
        <v>44196</v>
      </c>
      <c r="J6" s="605"/>
      <c r="K6" s="76"/>
      <c r="L6" s="60"/>
      <c r="M6" s="77"/>
      <c r="N6" s="77"/>
      <c r="O6" s="60"/>
    </row>
    <row r="7" spans="1:15" s="72" customFormat="1" ht="12.75">
      <c r="A7" s="61"/>
      <c r="B7" s="60"/>
      <c r="C7" s="60"/>
      <c r="D7" s="60"/>
      <c r="E7" s="2"/>
      <c r="F7" s="2"/>
      <c r="G7" s="2"/>
      <c r="H7" s="2"/>
      <c r="I7" s="2"/>
      <c r="J7" s="62"/>
      <c r="K7" s="2"/>
      <c r="L7" s="2"/>
      <c r="M7" s="2"/>
      <c r="N7" s="2"/>
      <c r="O7" s="2"/>
    </row>
    <row r="8" spans="1:15" s="72" customFormat="1" ht="26.25" customHeight="1" thickBot="1">
      <c r="A8" s="78"/>
      <c r="B8" s="79" t="s">
        <v>50</v>
      </c>
      <c r="C8" s="625" t="str">
        <f>'[1]P1 Info &amp; Certification'!E12</f>
        <v>CIFC Inc./ Greater Danbury Community Health Center</v>
      </c>
      <c r="D8" s="625"/>
      <c r="E8" s="625"/>
      <c r="F8" s="625"/>
      <c r="G8" s="625"/>
      <c r="H8" s="625"/>
      <c r="I8" s="80"/>
      <c r="J8" s="81"/>
      <c r="K8" s="82"/>
      <c r="L8" s="82"/>
      <c r="M8" s="82"/>
      <c r="N8" s="82"/>
      <c r="O8" s="82"/>
    </row>
    <row r="9" spans="1:10" s="72" customFormat="1" ht="12.75">
      <c r="A9" s="83"/>
      <c r="B9" s="84"/>
      <c r="C9" s="84"/>
      <c r="D9" s="84"/>
      <c r="E9" s="85"/>
      <c r="F9" s="84"/>
      <c r="G9" s="86"/>
      <c r="H9" s="84"/>
      <c r="I9" s="84"/>
      <c r="J9" s="84"/>
    </row>
    <row r="10" spans="1:10" s="72" customFormat="1" ht="13.5" thickBot="1">
      <c r="A10" s="83"/>
      <c r="B10" s="84"/>
      <c r="C10" s="84"/>
      <c r="D10" s="84"/>
      <c r="E10" s="85"/>
      <c r="F10" s="84"/>
      <c r="G10" s="86"/>
      <c r="H10" s="84"/>
      <c r="I10" s="84"/>
      <c r="J10" s="179" t="s">
        <v>185</v>
      </c>
    </row>
    <row r="11" spans="1:10" s="72" customFormat="1" ht="19.5" customHeight="1">
      <c r="A11" s="606" t="s">
        <v>89</v>
      </c>
      <c r="B11" s="607"/>
      <c r="C11" s="607"/>
      <c r="D11" s="607"/>
      <c r="E11" s="607"/>
      <c r="F11" s="607"/>
      <c r="G11" s="607"/>
      <c r="H11" s="607"/>
      <c r="I11" s="607"/>
      <c r="J11" s="608"/>
    </row>
    <row r="12" spans="1:10" s="72" customFormat="1" ht="13.5" thickBot="1">
      <c r="A12" s="88"/>
      <c r="B12" s="89"/>
      <c r="C12" s="89"/>
      <c r="D12" s="89"/>
      <c r="E12" s="90"/>
      <c r="F12" s="89"/>
      <c r="G12" s="89"/>
      <c r="H12" s="89"/>
      <c r="I12" s="89"/>
      <c r="J12" s="91"/>
    </row>
    <row r="13" spans="1:10" s="98" customFormat="1" ht="10.5" customHeight="1">
      <c r="A13" s="92"/>
      <c r="B13" s="93"/>
      <c r="C13" s="94"/>
      <c r="D13" s="95"/>
      <c r="E13" s="96" t="s">
        <v>90</v>
      </c>
      <c r="F13" s="95"/>
      <c r="G13" s="95" t="s">
        <v>91</v>
      </c>
      <c r="H13" s="95" t="s">
        <v>92</v>
      </c>
      <c r="I13" s="95" t="s">
        <v>93</v>
      </c>
      <c r="J13" s="97" t="s">
        <v>94</v>
      </c>
    </row>
    <row r="14" spans="1:10" s="98" customFormat="1" ht="10.5" customHeight="1">
      <c r="A14" s="609" t="s">
        <v>95</v>
      </c>
      <c r="B14" s="610"/>
      <c r="C14" s="611"/>
      <c r="D14" s="95" t="s">
        <v>96</v>
      </c>
      <c r="E14" s="96" t="s">
        <v>97</v>
      </c>
      <c r="F14" s="95"/>
      <c r="G14" s="95" t="s">
        <v>98</v>
      </c>
      <c r="H14" s="95" t="s">
        <v>99</v>
      </c>
      <c r="I14" s="95" t="s">
        <v>100</v>
      </c>
      <c r="J14" s="97" t="s">
        <v>101</v>
      </c>
    </row>
    <row r="15" spans="1:10" ht="10.5" customHeight="1">
      <c r="A15" s="609"/>
      <c r="B15" s="610"/>
      <c r="C15" s="611"/>
      <c r="D15" s="95" t="s">
        <v>102</v>
      </c>
      <c r="E15" s="96" t="s">
        <v>103</v>
      </c>
      <c r="F15" s="95" t="s">
        <v>104</v>
      </c>
      <c r="G15" s="95" t="s">
        <v>105</v>
      </c>
      <c r="H15" s="95" t="s">
        <v>106</v>
      </c>
      <c r="I15" s="95" t="s">
        <v>107</v>
      </c>
      <c r="J15" s="97" t="s">
        <v>108</v>
      </c>
    </row>
    <row r="16" spans="1:10" ht="10.5" customHeight="1" thickBot="1">
      <c r="A16" s="210"/>
      <c r="B16" s="183"/>
      <c r="C16" s="184"/>
      <c r="D16" s="104" t="s">
        <v>111</v>
      </c>
      <c r="E16" s="102" t="s">
        <v>112</v>
      </c>
      <c r="F16" s="103" t="s">
        <v>113</v>
      </c>
      <c r="G16" s="104" t="s">
        <v>114</v>
      </c>
      <c r="H16" s="104" t="s">
        <v>115</v>
      </c>
      <c r="I16" s="104" t="s">
        <v>116</v>
      </c>
      <c r="J16" s="224" t="s">
        <v>117</v>
      </c>
    </row>
    <row r="17" spans="1:10" ht="12" customHeight="1">
      <c r="A17" s="100" t="s">
        <v>186</v>
      </c>
      <c r="B17" s="615" t="s">
        <v>187</v>
      </c>
      <c r="C17" s="615"/>
      <c r="D17" s="106"/>
      <c r="E17" s="107"/>
      <c r="F17" s="106"/>
      <c r="G17" s="106"/>
      <c r="H17" s="106"/>
      <c r="I17" s="106"/>
      <c r="J17" s="108"/>
    </row>
    <row r="18" spans="1:10" ht="12" customHeight="1">
      <c r="A18" s="185" t="s">
        <v>7</v>
      </c>
      <c r="B18" s="617" t="s">
        <v>188</v>
      </c>
      <c r="C18" s="618"/>
      <c r="D18" s="111"/>
      <c r="E18" s="112"/>
      <c r="F18" s="111"/>
      <c r="G18" s="111"/>
      <c r="H18" s="106"/>
      <c r="I18" s="111"/>
      <c r="J18" s="113"/>
    </row>
    <row r="19" spans="1:10" ht="12.75">
      <c r="A19" s="114" t="s">
        <v>120</v>
      </c>
      <c r="B19" s="621" t="s">
        <v>189</v>
      </c>
      <c r="C19" s="622"/>
      <c r="D19" s="115"/>
      <c r="E19" s="115"/>
      <c r="F19" s="186">
        <f aca="true" t="shared" si="0" ref="F19:F25">SUM(D19:E19)</f>
        <v>0</v>
      </c>
      <c r="G19" s="115"/>
      <c r="H19" s="117">
        <f aca="true" t="shared" si="1" ref="H19:H24">F19+G19</f>
        <v>0</v>
      </c>
      <c r="I19" s="118"/>
      <c r="J19" s="119">
        <f aca="true" t="shared" si="2" ref="J19:J24">H19+I19</f>
        <v>0</v>
      </c>
    </row>
    <row r="20" spans="1:10" ht="12.75">
      <c r="A20" s="120" t="s">
        <v>122</v>
      </c>
      <c r="B20" s="619" t="s">
        <v>142</v>
      </c>
      <c r="C20" s="620"/>
      <c r="D20" s="121"/>
      <c r="E20" s="121"/>
      <c r="F20" s="117">
        <f t="shared" si="0"/>
        <v>0</v>
      </c>
      <c r="G20" s="121"/>
      <c r="H20" s="117">
        <f t="shared" si="1"/>
        <v>0</v>
      </c>
      <c r="I20" s="124"/>
      <c r="J20" s="125">
        <f t="shared" si="2"/>
        <v>0</v>
      </c>
    </row>
    <row r="21" spans="1:10" ht="12.75">
      <c r="A21" s="120" t="s">
        <v>124</v>
      </c>
      <c r="B21" s="147" t="s">
        <v>190</v>
      </c>
      <c r="C21" s="153"/>
      <c r="D21" s="121"/>
      <c r="E21" s="121"/>
      <c r="F21" s="117">
        <f t="shared" si="0"/>
        <v>0</v>
      </c>
      <c r="G21" s="121"/>
      <c r="H21" s="117">
        <f t="shared" si="1"/>
        <v>0</v>
      </c>
      <c r="I21" s="124"/>
      <c r="J21" s="125">
        <f t="shared" si="2"/>
        <v>0</v>
      </c>
    </row>
    <row r="22" spans="1:10" ht="12.75">
      <c r="A22" s="120" t="s">
        <v>126</v>
      </c>
      <c r="B22" s="147" t="s">
        <v>191</v>
      </c>
      <c r="C22" s="153"/>
      <c r="D22" s="121"/>
      <c r="E22" s="121"/>
      <c r="F22" s="117">
        <f t="shared" si="0"/>
        <v>0</v>
      </c>
      <c r="G22" s="121"/>
      <c r="H22" s="117">
        <f t="shared" si="1"/>
        <v>0</v>
      </c>
      <c r="I22" s="124"/>
      <c r="J22" s="125">
        <f t="shared" si="2"/>
        <v>0</v>
      </c>
    </row>
    <row r="23" spans="1:10" ht="12.75">
      <c r="A23" s="120" t="s">
        <v>133</v>
      </c>
      <c r="B23" s="147" t="s">
        <v>192</v>
      </c>
      <c r="C23" s="153"/>
      <c r="D23" s="121"/>
      <c r="E23" s="121"/>
      <c r="F23" s="117">
        <f t="shared" si="0"/>
        <v>0</v>
      </c>
      <c r="G23" s="121"/>
      <c r="H23" s="117">
        <f t="shared" si="1"/>
        <v>0</v>
      </c>
      <c r="I23" s="124"/>
      <c r="J23" s="125">
        <f t="shared" si="2"/>
        <v>0</v>
      </c>
    </row>
    <row r="24" spans="1:10" ht="12.75">
      <c r="A24" s="120" t="s">
        <v>141</v>
      </c>
      <c r="B24" s="147" t="s">
        <v>193</v>
      </c>
      <c r="C24" s="153"/>
      <c r="D24" s="121"/>
      <c r="E24" s="121"/>
      <c r="F24" s="117">
        <f t="shared" si="0"/>
        <v>0</v>
      </c>
      <c r="G24" s="121"/>
      <c r="H24" s="117">
        <f t="shared" si="1"/>
        <v>0</v>
      </c>
      <c r="I24" s="124"/>
      <c r="J24" s="125">
        <f t="shared" si="2"/>
        <v>0</v>
      </c>
    </row>
    <row r="25" spans="1:10" ht="12.75">
      <c r="A25" s="120" t="s">
        <v>143</v>
      </c>
      <c r="B25" s="147" t="s">
        <v>194</v>
      </c>
      <c r="C25" s="153"/>
      <c r="D25" s="121"/>
      <c r="E25" s="121"/>
      <c r="F25" s="117">
        <f t="shared" si="0"/>
        <v>0</v>
      </c>
      <c r="G25" s="121"/>
      <c r="H25" s="117">
        <f>F25+G25</f>
        <v>0</v>
      </c>
      <c r="I25" s="124"/>
      <c r="J25" s="125">
        <f>H25+I25</f>
        <v>0</v>
      </c>
    </row>
    <row r="26" spans="1:10" ht="12.75">
      <c r="A26" s="120" t="s">
        <v>145</v>
      </c>
      <c r="B26" s="147" t="s">
        <v>127</v>
      </c>
      <c r="C26" s="153"/>
      <c r="D26" s="121"/>
      <c r="E26" s="121"/>
      <c r="F26" s="117"/>
      <c r="G26" s="121"/>
      <c r="H26" s="117"/>
      <c r="I26" s="124"/>
      <c r="J26" s="125"/>
    </row>
    <row r="27" spans="1:10" ht="12.75">
      <c r="A27" s="120"/>
      <c r="B27" s="225"/>
      <c r="C27" s="127"/>
      <c r="D27" s="121"/>
      <c r="E27" s="121"/>
      <c r="F27" s="117">
        <f aca="true" t="shared" si="3" ref="F27:F34">SUM(D27:E27)</f>
        <v>0</v>
      </c>
      <c r="G27" s="121"/>
      <c r="H27" s="117">
        <f aca="true" t="shared" si="4" ref="H27:H35">F27+G27</f>
        <v>0</v>
      </c>
      <c r="I27" s="124"/>
      <c r="J27" s="125">
        <f aca="true" t="shared" si="5" ref="J27:J35">H27+I27</f>
        <v>0</v>
      </c>
    </row>
    <row r="28" spans="1:10" ht="12.75">
      <c r="A28" s="120"/>
      <c r="B28" s="211"/>
      <c r="C28" s="127"/>
      <c r="D28" s="121"/>
      <c r="E28" s="121"/>
      <c r="F28" s="117">
        <f t="shared" si="3"/>
        <v>0</v>
      </c>
      <c r="G28" s="121"/>
      <c r="H28" s="117">
        <f t="shared" si="4"/>
        <v>0</v>
      </c>
      <c r="I28" s="124"/>
      <c r="J28" s="125">
        <f t="shared" si="5"/>
        <v>0</v>
      </c>
    </row>
    <row r="29" spans="1:10" ht="12.75">
      <c r="A29" s="120"/>
      <c r="B29" s="211"/>
      <c r="C29" s="127"/>
      <c r="D29" s="121"/>
      <c r="E29" s="121"/>
      <c r="F29" s="117">
        <f t="shared" si="3"/>
        <v>0</v>
      </c>
      <c r="G29" s="121"/>
      <c r="H29" s="117">
        <f t="shared" si="4"/>
        <v>0</v>
      </c>
      <c r="I29" s="124"/>
      <c r="J29" s="125">
        <f t="shared" si="5"/>
        <v>0</v>
      </c>
    </row>
    <row r="30" spans="1:10" ht="12.75">
      <c r="A30" s="120"/>
      <c r="B30" s="212"/>
      <c r="C30" s="129"/>
      <c r="D30" s="121"/>
      <c r="E30" s="121"/>
      <c r="F30" s="117">
        <f t="shared" si="3"/>
        <v>0</v>
      </c>
      <c r="G30" s="121"/>
      <c r="H30" s="117">
        <f t="shared" si="4"/>
        <v>0</v>
      </c>
      <c r="I30" s="124"/>
      <c r="J30" s="125">
        <f t="shared" si="5"/>
        <v>0</v>
      </c>
    </row>
    <row r="31" spans="1:10" ht="12.75">
      <c r="A31" s="120"/>
      <c r="B31" s="211"/>
      <c r="C31" s="130"/>
      <c r="D31" s="121"/>
      <c r="E31" s="121"/>
      <c r="F31" s="117">
        <f t="shared" si="3"/>
        <v>0</v>
      </c>
      <c r="G31" s="121"/>
      <c r="H31" s="117">
        <f t="shared" si="4"/>
        <v>0</v>
      </c>
      <c r="I31" s="124"/>
      <c r="J31" s="125">
        <f t="shared" si="5"/>
        <v>0</v>
      </c>
    </row>
    <row r="32" spans="1:10" ht="12.75">
      <c r="A32" s="120"/>
      <c r="B32" s="211"/>
      <c r="C32" s="130"/>
      <c r="D32" s="121"/>
      <c r="E32" s="121"/>
      <c r="F32" s="117">
        <f t="shared" si="3"/>
        <v>0</v>
      </c>
      <c r="G32" s="121"/>
      <c r="H32" s="122">
        <f t="shared" si="4"/>
        <v>0</v>
      </c>
      <c r="I32" s="121"/>
      <c r="J32" s="132">
        <f t="shared" si="5"/>
        <v>0</v>
      </c>
    </row>
    <row r="33" spans="1:10" ht="12.75">
      <c r="A33" s="120"/>
      <c r="B33" s="211"/>
      <c r="C33" s="130"/>
      <c r="D33" s="121"/>
      <c r="E33" s="121"/>
      <c r="F33" s="117">
        <f t="shared" si="3"/>
        <v>0</v>
      </c>
      <c r="G33" s="121"/>
      <c r="H33" s="122">
        <f t="shared" si="4"/>
        <v>0</v>
      </c>
      <c r="I33" s="121"/>
      <c r="J33" s="132">
        <f t="shared" si="5"/>
        <v>0</v>
      </c>
    </row>
    <row r="34" spans="1:10" ht="12.75" customHeight="1">
      <c r="A34" s="133"/>
      <c r="B34" s="134"/>
      <c r="C34" s="130"/>
      <c r="D34" s="121"/>
      <c r="E34" s="121"/>
      <c r="F34" s="117">
        <f t="shared" si="3"/>
        <v>0</v>
      </c>
      <c r="G34" s="121"/>
      <c r="H34" s="122">
        <f t="shared" si="4"/>
        <v>0</v>
      </c>
      <c r="I34" s="121"/>
      <c r="J34" s="132">
        <f t="shared" si="5"/>
        <v>0</v>
      </c>
    </row>
    <row r="35" spans="1:10" ht="12.75" customHeight="1">
      <c r="A35" s="133"/>
      <c r="B35" s="135"/>
      <c r="C35" s="127"/>
      <c r="D35" s="136"/>
      <c r="E35" s="140"/>
      <c r="F35" s="122">
        <f>SUM(D35:E35)</f>
        <v>0</v>
      </c>
      <c r="G35" s="140"/>
      <c r="H35" s="122">
        <f t="shared" si="4"/>
        <v>0</v>
      </c>
      <c r="I35" s="140"/>
      <c r="J35" s="132">
        <f t="shared" si="5"/>
        <v>0</v>
      </c>
    </row>
    <row r="36" spans="1:10" s="145" customFormat="1" ht="12.75">
      <c r="A36" s="141" t="s">
        <v>150</v>
      </c>
      <c r="B36" s="623" t="s">
        <v>195</v>
      </c>
      <c r="C36" s="624"/>
      <c r="D36" s="142">
        <f aca="true" t="shared" si="6" ref="D36:J36">SUM(D19:D35)</f>
        <v>0</v>
      </c>
      <c r="E36" s="142">
        <f t="shared" si="6"/>
        <v>0</v>
      </c>
      <c r="F36" s="142">
        <f t="shared" si="6"/>
        <v>0</v>
      </c>
      <c r="G36" s="142">
        <f t="shared" si="6"/>
        <v>0</v>
      </c>
      <c r="H36" s="142">
        <f t="shared" si="6"/>
        <v>0</v>
      </c>
      <c r="I36" s="142">
        <f t="shared" si="6"/>
        <v>0</v>
      </c>
      <c r="J36" s="144">
        <f t="shared" si="6"/>
        <v>0</v>
      </c>
    </row>
    <row r="37" spans="1:10" ht="25.5" customHeight="1" thickBot="1">
      <c r="A37" s="226" t="s">
        <v>196</v>
      </c>
      <c r="B37" s="627" t="s">
        <v>197</v>
      </c>
      <c r="C37" s="628"/>
      <c r="D37" s="227">
        <f>D36+'P5 Form A-3- Mental Health'!D45</f>
        <v>9718556.4</v>
      </c>
      <c r="E37" s="227">
        <f>E36+'P5 Form A-3- Mental Health'!E45</f>
        <v>1923615.8499999999</v>
      </c>
      <c r="F37" s="227">
        <f>F36+'P5 Form A-3- Mental Health'!F45</f>
        <v>11642172.25</v>
      </c>
      <c r="G37" s="227">
        <f>G36+'P5 Form A-3- Mental Health'!G45</f>
        <v>1363642.0687199999</v>
      </c>
      <c r="H37" s="227">
        <f>H36+'P5 Form A-3- Mental Health'!H45</f>
        <v>13005814.31872</v>
      </c>
      <c r="I37" s="227">
        <f>I36+'P5 Form A-3- Mental Health'!I45</f>
        <v>0</v>
      </c>
      <c r="J37" s="227">
        <f>J36+'P5 Form A-3- Mental Health'!J45</f>
        <v>13005814.31872</v>
      </c>
    </row>
    <row r="38" spans="1:10" ht="13.5" thickBot="1" thickTop="1">
      <c r="A38" s="229"/>
      <c r="B38" s="230"/>
      <c r="C38" s="230"/>
      <c r="D38" s="231"/>
      <c r="E38" s="231"/>
      <c r="F38" s="232"/>
      <c r="G38" s="231"/>
      <c r="H38" s="232"/>
      <c r="I38" s="231"/>
      <c r="J38" s="233"/>
    </row>
    <row r="39" spans="1:10" ht="12.75">
      <c r="A39" s="234"/>
      <c r="B39" s="126"/>
      <c r="C39" s="126"/>
      <c r="D39" s="235"/>
      <c r="E39" s="235"/>
      <c r="F39" s="236"/>
      <c r="G39" s="235"/>
      <c r="H39" s="236"/>
      <c r="I39" s="235"/>
      <c r="J39" s="236"/>
    </row>
    <row r="54" s="145" customFormat="1" ht="12.75"/>
  </sheetData>
  <sheetProtection/>
  <mergeCells count="15">
    <mergeCell ref="B20:C20"/>
    <mergeCell ref="B36:C36"/>
    <mergeCell ref="B37:C37"/>
    <mergeCell ref="C8:H8"/>
    <mergeCell ref="A11:J11"/>
    <mergeCell ref="A14:C15"/>
    <mergeCell ref="B17:C17"/>
    <mergeCell ref="B18:C18"/>
    <mergeCell ref="B19:C19"/>
    <mergeCell ref="A1:J1"/>
    <mergeCell ref="A2:J2"/>
    <mergeCell ref="A3:J3"/>
    <mergeCell ref="A4:J4"/>
    <mergeCell ref="E6:F6"/>
    <mergeCell ref="I6:J6"/>
  </mergeCells>
  <printOptions/>
  <pageMargins left="0.7" right="0.7" top="0.75" bottom="0.75" header="0.3" footer="0.3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6">
      <selection activeCell="I59" sqref="I59"/>
    </sheetView>
  </sheetViews>
  <sheetFormatPr defaultColWidth="9.7109375" defaultRowHeight="15"/>
  <cols>
    <col min="1" max="1" width="4.7109375" style="99" customWidth="1"/>
    <col min="2" max="2" width="13.57421875" style="99" customWidth="1"/>
    <col min="3" max="3" width="40.140625" style="99" customWidth="1"/>
    <col min="4" max="4" width="13.00390625" style="99" customWidth="1"/>
    <col min="5" max="5" width="12.421875" style="173" customWidth="1"/>
    <col min="6" max="6" width="12.140625" style="99" customWidth="1"/>
    <col min="7" max="7" width="11.7109375" style="99" customWidth="1"/>
    <col min="8" max="8" width="13.421875" style="99" customWidth="1"/>
    <col min="9" max="9" width="11.28125" style="99" customWidth="1"/>
    <col min="10" max="10" width="14.140625" style="99" customWidth="1"/>
    <col min="11" max="12" width="9.7109375" style="99" customWidth="1"/>
    <col min="13" max="13" width="13.140625" style="466" bestFit="1" customWidth="1"/>
    <col min="14" max="16384" width="9.7109375" style="99" customWidth="1"/>
  </cols>
  <sheetData>
    <row r="1" spans="1:15" s="72" customFormat="1" ht="13.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2"/>
      <c r="L1" s="52"/>
      <c r="M1" s="474"/>
      <c r="N1" s="52"/>
      <c r="O1" s="52"/>
    </row>
    <row r="2" spans="1:15" s="72" customFormat="1" ht="13.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75"/>
      <c r="K2" s="52"/>
      <c r="L2" s="52"/>
      <c r="M2" s="474"/>
      <c r="N2" s="52"/>
      <c r="O2" s="52"/>
    </row>
    <row r="3" spans="1:15" s="72" customFormat="1" ht="13.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75"/>
      <c r="K3" s="52"/>
      <c r="L3" s="52"/>
      <c r="M3" s="474"/>
      <c r="N3" s="52"/>
      <c r="O3" s="52"/>
    </row>
    <row r="4" spans="1:15" s="72" customFormat="1" ht="13.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75"/>
      <c r="K4" s="52"/>
      <c r="L4" s="52"/>
      <c r="M4" s="474"/>
      <c r="N4" s="52"/>
      <c r="O4" s="52"/>
    </row>
    <row r="5" spans="1:15" s="72" customFormat="1" ht="13.5" thickBot="1">
      <c r="A5" s="2"/>
      <c r="B5" s="2"/>
      <c r="C5" s="2"/>
      <c r="D5" s="53"/>
      <c r="E5" s="53"/>
      <c r="F5" s="53"/>
      <c r="G5" s="53"/>
      <c r="H5" s="53"/>
      <c r="I5" s="53"/>
      <c r="J5" s="53"/>
      <c r="K5" s="53"/>
      <c r="L5" s="53"/>
      <c r="M5" s="475"/>
      <c r="N5" s="53"/>
      <c r="O5" s="53"/>
    </row>
    <row r="6" spans="1:15" s="72" customFormat="1" ht="20.25" customHeight="1">
      <c r="A6" s="73"/>
      <c r="B6" s="55" t="s">
        <v>49</v>
      </c>
      <c r="C6" s="56"/>
      <c r="D6" s="56" t="s">
        <v>23</v>
      </c>
      <c r="E6" s="576">
        <f>'[1]P1 Info &amp; Certification'!L20</f>
        <v>43831</v>
      </c>
      <c r="F6" s="576"/>
      <c r="G6" s="74"/>
      <c r="H6" s="75" t="s">
        <v>24</v>
      </c>
      <c r="I6" s="576">
        <f>'[1]P1 Info &amp; Certification'!N20</f>
        <v>44196</v>
      </c>
      <c r="J6" s="605"/>
      <c r="K6" s="76"/>
      <c r="L6" s="60"/>
      <c r="M6" s="467"/>
      <c r="N6" s="77"/>
      <c r="O6" s="60"/>
    </row>
    <row r="7" spans="1:15" s="72" customFormat="1" ht="12.75">
      <c r="A7" s="61"/>
      <c r="B7" s="60"/>
      <c r="C7" s="60"/>
      <c r="D7" s="60"/>
      <c r="E7" s="2"/>
      <c r="F7" s="2"/>
      <c r="G7" s="2"/>
      <c r="H7" s="2"/>
      <c r="I7" s="2"/>
      <c r="J7" s="62"/>
      <c r="K7" s="2"/>
      <c r="L7" s="2"/>
      <c r="M7" s="466"/>
      <c r="N7" s="2"/>
      <c r="O7" s="2"/>
    </row>
    <row r="8" spans="1:15" s="72" customFormat="1" ht="18" customHeight="1" thickBot="1">
      <c r="A8" s="78"/>
      <c r="B8" s="79" t="s">
        <v>50</v>
      </c>
      <c r="C8" s="625" t="str">
        <f>'[1]P1 Info &amp; Certification'!E12</f>
        <v>CIFC Inc./ Greater Danbury Community Health Center</v>
      </c>
      <c r="D8" s="625"/>
      <c r="E8" s="625"/>
      <c r="F8" s="625"/>
      <c r="G8" s="625"/>
      <c r="H8" s="625"/>
      <c r="I8" s="80"/>
      <c r="J8" s="81"/>
      <c r="K8" s="82"/>
      <c r="L8" s="82"/>
      <c r="M8" s="476"/>
      <c r="N8" s="82"/>
      <c r="O8" s="82"/>
    </row>
    <row r="9" spans="1:13" s="72" customFormat="1" ht="12.75">
      <c r="A9" s="83"/>
      <c r="B9" s="84"/>
      <c r="C9" s="84"/>
      <c r="D9" s="84"/>
      <c r="E9" s="85"/>
      <c r="F9" s="84"/>
      <c r="G9" s="86"/>
      <c r="H9" s="84"/>
      <c r="I9" s="84"/>
      <c r="J9" s="84"/>
      <c r="M9" s="477"/>
    </row>
    <row r="10" spans="1:13" s="72" customFormat="1" ht="13.5" thickBot="1">
      <c r="A10" s="83"/>
      <c r="B10" s="84"/>
      <c r="C10" s="84"/>
      <c r="D10" s="84"/>
      <c r="E10" s="85"/>
      <c r="F10" s="84"/>
      <c r="G10" s="86"/>
      <c r="H10" s="84"/>
      <c r="I10" s="84"/>
      <c r="J10" s="179" t="s">
        <v>198</v>
      </c>
      <c r="M10" s="477"/>
    </row>
    <row r="11" spans="1:13" s="72" customFormat="1" ht="19.5" customHeight="1">
      <c r="A11" s="606" t="s">
        <v>89</v>
      </c>
      <c r="B11" s="607"/>
      <c r="C11" s="607"/>
      <c r="D11" s="607"/>
      <c r="E11" s="607"/>
      <c r="F11" s="607"/>
      <c r="G11" s="607"/>
      <c r="H11" s="607"/>
      <c r="I11" s="607"/>
      <c r="J11" s="608"/>
      <c r="M11" s="477"/>
    </row>
    <row r="12" spans="1:13" s="72" customFormat="1" ht="13.5" thickBot="1">
      <c r="A12" s="88"/>
      <c r="B12" s="89"/>
      <c r="C12" s="89"/>
      <c r="D12" s="89"/>
      <c r="E12" s="90"/>
      <c r="F12" s="89"/>
      <c r="G12" s="89"/>
      <c r="H12" s="89"/>
      <c r="I12" s="89"/>
      <c r="J12" s="91"/>
      <c r="M12" s="477"/>
    </row>
    <row r="13" spans="1:13" s="98" customFormat="1" ht="10.5" customHeight="1">
      <c r="A13" s="92"/>
      <c r="B13" s="93"/>
      <c r="C13" s="94"/>
      <c r="D13" s="95"/>
      <c r="E13" s="96" t="s">
        <v>90</v>
      </c>
      <c r="F13" s="95"/>
      <c r="G13" s="95" t="s">
        <v>91</v>
      </c>
      <c r="H13" s="95" t="s">
        <v>92</v>
      </c>
      <c r="I13" s="95" t="s">
        <v>93</v>
      </c>
      <c r="J13" s="97" t="s">
        <v>94</v>
      </c>
      <c r="M13" s="478"/>
    </row>
    <row r="14" spans="1:13" s="98" customFormat="1" ht="10.5" customHeight="1">
      <c r="A14" s="609" t="s">
        <v>95</v>
      </c>
      <c r="B14" s="610"/>
      <c r="C14" s="611"/>
      <c r="D14" s="95" t="s">
        <v>96</v>
      </c>
      <c r="E14" s="96" t="s">
        <v>97</v>
      </c>
      <c r="F14" s="95"/>
      <c r="G14" s="95" t="s">
        <v>98</v>
      </c>
      <c r="H14" s="95" t="s">
        <v>99</v>
      </c>
      <c r="I14" s="95" t="s">
        <v>100</v>
      </c>
      <c r="J14" s="97" t="s">
        <v>101</v>
      </c>
      <c r="M14" s="478"/>
    </row>
    <row r="15" spans="1:10" ht="10.5" customHeight="1">
      <c r="A15" s="609"/>
      <c r="B15" s="610"/>
      <c r="C15" s="611"/>
      <c r="D15" s="95" t="s">
        <v>102</v>
      </c>
      <c r="E15" s="96" t="s">
        <v>103</v>
      </c>
      <c r="F15" s="95" t="s">
        <v>104</v>
      </c>
      <c r="G15" s="95" t="s">
        <v>105</v>
      </c>
      <c r="H15" s="95" t="s">
        <v>106</v>
      </c>
      <c r="I15" s="95" t="s">
        <v>107</v>
      </c>
      <c r="J15" s="97" t="s">
        <v>108</v>
      </c>
    </row>
    <row r="16" spans="1:10" ht="10.5" customHeight="1" thickBot="1">
      <c r="A16" s="210"/>
      <c r="B16" s="183"/>
      <c r="C16" s="184"/>
      <c r="D16" s="104" t="s">
        <v>111</v>
      </c>
      <c r="E16" s="102" t="s">
        <v>112</v>
      </c>
      <c r="F16" s="103" t="s">
        <v>113</v>
      </c>
      <c r="G16" s="104" t="s">
        <v>114</v>
      </c>
      <c r="H16" s="104" t="s">
        <v>115</v>
      </c>
      <c r="I16" s="104" t="s">
        <v>116</v>
      </c>
      <c r="J16" s="224" t="s">
        <v>117</v>
      </c>
    </row>
    <row r="17" spans="1:10" ht="12" customHeight="1">
      <c r="A17" s="100" t="s">
        <v>199</v>
      </c>
      <c r="B17" s="615" t="s">
        <v>200</v>
      </c>
      <c r="C17" s="615"/>
      <c r="D17" s="237"/>
      <c r="E17" s="238"/>
      <c r="F17" s="237"/>
      <c r="G17" s="237"/>
      <c r="H17" s="237"/>
      <c r="I17" s="237"/>
      <c r="J17" s="239"/>
    </row>
    <row r="18" spans="1:10" ht="12" customHeight="1">
      <c r="A18" s="114" t="s">
        <v>120</v>
      </c>
      <c r="B18" s="147" t="s">
        <v>201</v>
      </c>
      <c r="C18" s="126"/>
      <c r="D18" s="148"/>
      <c r="E18" s="497">
        <f>+'[2]Medicare grouping 2020'!$S$38</f>
        <v>1044951.13</v>
      </c>
      <c r="F18" s="150">
        <f>SUM(D18:E18)</f>
        <v>1044951.13</v>
      </c>
      <c r="G18" s="149"/>
      <c r="H18" s="150">
        <f aca="true" t="shared" si="0" ref="H18:H24">F18+G18</f>
        <v>1044951.13</v>
      </c>
      <c r="I18" s="149"/>
      <c r="J18" s="151">
        <f aca="true" t="shared" si="1" ref="J18:J24">H18+I18</f>
        <v>1044951.13</v>
      </c>
    </row>
    <row r="19" spans="1:10" ht="12" customHeight="1">
      <c r="A19" s="120" t="s">
        <v>122</v>
      </c>
      <c r="B19" s="619" t="s">
        <v>202</v>
      </c>
      <c r="C19" s="629"/>
      <c r="D19" s="149"/>
      <c r="E19" s="149"/>
      <c r="F19" s="150">
        <f>SUM(D19:E19)</f>
        <v>0</v>
      </c>
      <c r="G19" s="149"/>
      <c r="H19" s="150">
        <f t="shared" si="0"/>
        <v>0</v>
      </c>
      <c r="I19" s="149"/>
      <c r="J19" s="151">
        <f t="shared" si="1"/>
        <v>0</v>
      </c>
    </row>
    <row r="20" spans="1:10" ht="12" customHeight="1">
      <c r="A20" s="120" t="s">
        <v>124</v>
      </c>
      <c r="B20" s="126" t="s">
        <v>203</v>
      </c>
      <c r="C20" s="126"/>
      <c r="D20" s="149"/>
      <c r="E20" s="149"/>
      <c r="F20" s="150">
        <f aca="true" t="shared" si="2" ref="F20:F29">SUM(D20:E20)</f>
        <v>0</v>
      </c>
      <c r="G20" s="149"/>
      <c r="H20" s="150">
        <f t="shared" si="0"/>
        <v>0</v>
      </c>
      <c r="I20" s="149"/>
      <c r="J20" s="151">
        <f t="shared" si="1"/>
        <v>0</v>
      </c>
    </row>
    <row r="21" spans="1:10" ht="12" customHeight="1">
      <c r="A21" s="120" t="s">
        <v>126</v>
      </c>
      <c r="B21" s="128" t="s">
        <v>204</v>
      </c>
      <c r="C21" s="128"/>
      <c r="D21" s="149"/>
      <c r="E21" s="149">
        <f>+'[2]Medicare grouping 2020'!$S$39</f>
        <v>97080.86</v>
      </c>
      <c r="F21" s="150">
        <f t="shared" si="2"/>
        <v>97080.86</v>
      </c>
      <c r="G21" s="149"/>
      <c r="H21" s="150">
        <f t="shared" si="0"/>
        <v>97080.86</v>
      </c>
      <c r="I21" s="149"/>
      <c r="J21" s="151">
        <f t="shared" si="1"/>
        <v>97080.86</v>
      </c>
    </row>
    <row r="22" spans="1:10" ht="12" customHeight="1">
      <c r="A22" s="120" t="s">
        <v>133</v>
      </c>
      <c r="B22" s="128" t="s">
        <v>205</v>
      </c>
      <c r="C22" s="128"/>
      <c r="D22" s="149"/>
      <c r="E22" s="149"/>
      <c r="F22" s="150">
        <f t="shared" si="2"/>
        <v>0</v>
      </c>
      <c r="G22" s="149"/>
      <c r="H22" s="150">
        <f t="shared" si="0"/>
        <v>0</v>
      </c>
      <c r="I22" s="149"/>
      <c r="J22" s="151">
        <f t="shared" si="1"/>
        <v>0</v>
      </c>
    </row>
    <row r="23" spans="1:10" ht="12" customHeight="1">
      <c r="A23" s="120" t="s">
        <v>141</v>
      </c>
      <c r="B23" s="128" t="s">
        <v>206</v>
      </c>
      <c r="C23" s="128"/>
      <c r="D23" s="149"/>
      <c r="E23" s="149"/>
      <c r="F23" s="150">
        <f t="shared" si="2"/>
        <v>0</v>
      </c>
      <c r="G23" s="149"/>
      <c r="H23" s="150">
        <f t="shared" si="0"/>
        <v>0</v>
      </c>
      <c r="I23" s="149"/>
      <c r="J23" s="151">
        <f t="shared" si="1"/>
        <v>0</v>
      </c>
    </row>
    <row r="24" spans="1:10" ht="12" customHeight="1">
      <c r="A24" s="120" t="s">
        <v>143</v>
      </c>
      <c r="B24" s="128" t="s">
        <v>207</v>
      </c>
      <c r="C24" s="128"/>
      <c r="D24" s="149"/>
      <c r="E24" s="149">
        <f>+'[2]Medicare grouping 2020'!$S$40</f>
        <v>319351.78</v>
      </c>
      <c r="F24" s="150">
        <f t="shared" si="2"/>
        <v>319351.78</v>
      </c>
      <c r="G24" s="149"/>
      <c r="H24" s="150">
        <f t="shared" si="0"/>
        <v>319351.78</v>
      </c>
      <c r="I24" s="149"/>
      <c r="J24" s="151">
        <f t="shared" si="1"/>
        <v>319351.78</v>
      </c>
    </row>
    <row r="25" spans="1:10" ht="12" customHeight="1">
      <c r="A25" s="120" t="s">
        <v>145</v>
      </c>
      <c r="B25" s="128" t="s">
        <v>27</v>
      </c>
      <c r="C25" s="128"/>
      <c r="D25" s="149"/>
      <c r="E25" s="149"/>
      <c r="F25" s="150"/>
      <c r="G25" s="149"/>
      <c r="H25" s="150"/>
      <c r="I25" s="149"/>
      <c r="J25" s="151"/>
    </row>
    <row r="26" spans="1:10" ht="12" customHeight="1">
      <c r="A26" s="120"/>
      <c r="B26" s="212"/>
      <c r="C26" s="240"/>
      <c r="D26" s="149"/>
      <c r="E26" s="149"/>
      <c r="F26" s="150">
        <f t="shared" si="2"/>
        <v>0</v>
      </c>
      <c r="G26" s="149"/>
      <c r="H26" s="150">
        <f>F26+G26</f>
        <v>0</v>
      </c>
      <c r="I26" s="149"/>
      <c r="J26" s="151">
        <f>H26+I26</f>
        <v>0</v>
      </c>
    </row>
    <row r="27" spans="1:10" ht="12" customHeight="1">
      <c r="A27" s="120"/>
      <c r="B27" s="212"/>
      <c r="C27" s="129"/>
      <c r="D27" s="149"/>
      <c r="E27" s="149"/>
      <c r="F27" s="150">
        <f t="shared" si="2"/>
        <v>0</v>
      </c>
      <c r="G27" s="149"/>
      <c r="H27" s="150">
        <f>F27+G27</f>
        <v>0</v>
      </c>
      <c r="I27" s="149"/>
      <c r="J27" s="151">
        <f>H27+I27</f>
        <v>0</v>
      </c>
    </row>
    <row r="28" spans="1:10" ht="12" customHeight="1">
      <c r="A28" s="133"/>
      <c r="B28" s="211"/>
      <c r="C28" s="130"/>
      <c r="D28" s="149"/>
      <c r="E28" s="149"/>
      <c r="F28" s="150">
        <f t="shared" si="2"/>
        <v>0</v>
      </c>
      <c r="G28" s="149"/>
      <c r="H28" s="150">
        <f>F28+G28</f>
        <v>0</v>
      </c>
      <c r="I28" s="149"/>
      <c r="J28" s="151">
        <f>H28+I28</f>
        <v>0</v>
      </c>
    </row>
    <row r="29" spans="1:10" ht="12" customHeight="1">
      <c r="A29" s="133"/>
      <c r="B29" s="211"/>
      <c r="C29" s="130"/>
      <c r="D29" s="149"/>
      <c r="E29" s="149"/>
      <c r="F29" s="150">
        <f t="shared" si="2"/>
        <v>0</v>
      </c>
      <c r="G29" s="149"/>
      <c r="H29" s="150">
        <f>F29+G29</f>
        <v>0</v>
      </c>
      <c r="I29" s="149"/>
      <c r="J29" s="151">
        <f>H29+I29</f>
        <v>0</v>
      </c>
    </row>
    <row r="30" spans="1:10" ht="12" customHeight="1">
      <c r="A30" s="133"/>
      <c r="B30" s="154"/>
      <c r="C30" s="241"/>
      <c r="D30" s="156"/>
      <c r="E30" s="149"/>
      <c r="F30" s="150">
        <f>SUM(D30:E30)</f>
        <v>0</v>
      </c>
      <c r="G30" s="149"/>
      <c r="H30" s="150">
        <f>F30+G30</f>
        <v>0</v>
      </c>
      <c r="I30" s="149"/>
      <c r="J30" s="151">
        <f>H30+I30</f>
        <v>0</v>
      </c>
    </row>
    <row r="31" spans="1:10" ht="12" customHeight="1">
      <c r="A31" s="157" t="s">
        <v>150</v>
      </c>
      <c r="B31" s="158" t="s">
        <v>208</v>
      </c>
      <c r="C31" s="159"/>
      <c r="D31" s="160">
        <f aca="true" t="shared" si="3" ref="D31:J31">SUM(D17:D30)</f>
        <v>0</v>
      </c>
      <c r="E31" s="160">
        <f t="shared" si="3"/>
        <v>1461383.77</v>
      </c>
      <c r="F31" s="160">
        <f t="shared" si="3"/>
        <v>1461383.77</v>
      </c>
      <c r="G31" s="160">
        <f t="shared" si="3"/>
        <v>0</v>
      </c>
      <c r="H31" s="160">
        <f t="shared" si="3"/>
        <v>1461383.77</v>
      </c>
      <c r="I31" s="160">
        <f t="shared" si="3"/>
        <v>0</v>
      </c>
      <c r="J31" s="161">
        <f t="shared" si="3"/>
        <v>1461383.77</v>
      </c>
    </row>
    <row r="32" spans="1:10" ht="12" customHeight="1">
      <c r="A32" s="242"/>
      <c r="B32" s="243"/>
      <c r="C32" s="243"/>
      <c r="D32" s="244"/>
      <c r="E32" s="245"/>
      <c r="F32" s="244"/>
      <c r="G32" s="244"/>
      <c r="H32" s="246"/>
      <c r="I32" s="244"/>
      <c r="J32" s="247"/>
    </row>
    <row r="33" spans="1:10" ht="12" customHeight="1">
      <c r="A33" s="185" t="s">
        <v>209</v>
      </c>
      <c r="B33" s="615" t="s">
        <v>210</v>
      </c>
      <c r="C33" s="615"/>
      <c r="D33" s="111"/>
      <c r="E33" s="112"/>
      <c r="F33" s="106"/>
      <c r="G33" s="111"/>
      <c r="H33" s="106"/>
      <c r="I33" s="111"/>
      <c r="J33" s="113"/>
    </row>
    <row r="34" spans="1:10" ht="12.75">
      <c r="A34" s="114" t="s">
        <v>120</v>
      </c>
      <c r="B34" s="621" t="s">
        <v>211</v>
      </c>
      <c r="C34" s="622"/>
      <c r="D34" s="115">
        <f>+'[2]Medicare grouping 2020'!$N$93-'P3 Form A-1 Health Care'!D27</f>
        <v>3677372.920000001</v>
      </c>
      <c r="E34" s="150"/>
      <c r="F34" s="150">
        <f>SUM(D34:E34)</f>
        <v>3677372.920000001</v>
      </c>
      <c r="G34" s="115"/>
      <c r="H34" s="117">
        <f aca="true" t="shared" si="4" ref="H34:H47">F34+G34</f>
        <v>3677372.920000001</v>
      </c>
      <c r="I34" s="118"/>
      <c r="J34" s="119">
        <f aca="true" t="shared" si="5" ref="J34:J48">H34+I34</f>
        <v>3677372.920000001</v>
      </c>
    </row>
    <row r="35" spans="1:10" ht="12.75">
      <c r="A35" s="120" t="s">
        <v>122</v>
      </c>
      <c r="B35" s="619" t="s">
        <v>212</v>
      </c>
      <c r="C35" s="620"/>
      <c r="D35" s="121"/>
      <c r="E35" s="150">
        <f>+'[2]Medicare grouping 2020'!$S$42</f>
        <v>248439.62</v>
      </c>
      <c r="F35" s="150">
        <f>SUM(D35:E35)</f>
        <v>248439.62</v>
      </c>
      <c r="G35" s="121"/>
      <c r="H35" s="117">
        <f t="shared" si="4"/>
        <v>248439.62</v>
      </c>
      <c r="I35" s="124"/>
      <c r="J35" s="125">
        <f t="shared" si="5"/>
        <v>248439.62</v>
      </c>
    </row>
    <row r="36" spans="1:10" ht="12.75">
      <c r="A36" s="120" t="s">
        <v>124</v>
      </c>
      <c r="B36" s="147" t="s">
        <v>213</v>
      </c>
      <c r="C36" s="153"/>
      <c r="D36" s="121"/>
      <c r="E36" s="150">
        <f>+'[2]Medicare grouping 2020'!$S$78</f>
        <v>165768.83</v>
      </c>
      <c r="F36" s="150">
        <f aca="true" t="shared" si="6" ref="F36:F47">SUM(D36:E36)</f>
        <v>165768.83</v>
      </c>
      <c r="G36" s="121"/>
      <c r="H36" s="117">
        <f t="shared" si="4"/>
        <v>165768.83</v>
      </c>
      <c r="I36" s="124"/>
      <c r="J36" s="125">
        <f t="shared" si="5"/>
        <v>165768.83</v>
      </c>
    </row>
    <row r="37" spans="1:10" ht="12.75">
      <c r="A37" s="120" t="s">
        <v>126</v>
      </c>
      <c r="B37" s="147" t="s">
        <v>214</v>
      </c>
      <c r="C37" s="153"/>
      <c r="D37" s="121"/>
      <c r="E37" s="150">
        <f>+'[2]Medicare grouping 2020'!$S$33</f>
        <v>5229.76</v>
      </c>
      <c r="F37" s="150">
        <f t="shared" si="6"/>
        <v>5229.76</v>
      </c>
      <c r="G37" s="121"/>
      <c r="H37" s="117">
        <f t="shared" si="4"/>
        <v>5229.76</v>
      </c>
      <c r="I37" s="124"/>
      <c r="J37" s="125">
        <f t="shared" si="5"/>
        <v>5229.76</v>
      </c>
    </row>
    <row r="38" spans="1:10" ht="12.75">
      <c r="A38" s="120" t="s">
        <v>133</v>
      </c>
      <c r="B38" s="147" t="s">
        <v>215</v>
      </c>
      <c r="C38" s="153"/>
      <c r="D38" s="121"/>
      <c r="E38" s="150">
        <f>+'[2]Medicare grouping 2020'!$S$34</f>
        <v>864.45</v>
      </c>
      <c r="F38" s="150">
        <f t="shared" si="6"/>
        <v>864.45</v>
      </c>
      <c r="G38" s="121"/>
      <c r="H38" s="117">
        <f t="shared" si="4"/>
        <v>864.45</v>
      </c>
      <c r="I38" s="124"/>
      <c r="J38" s="125">
        <f t="shared" si="5"/>
        <v>864.45</v>
      </c>
    </row>
    <row r="39" spans="1:10" ht="12.75">
      <c r="A39" s="120" t="s">
        <v>141</v>
      </c>
      <c r="B39" s="147" t="s">
        <v>202</v>
      </c>
      <c r="C39" s="153"/>
      <c r="D39" s="121"/>
      <c r="E39" s="150">
        <f>+'[2]Medicare grouping 2020'!$S$57</f>
        <v>208645.31</v>
      </c>
      <c r="F39" s="150">
        <f t="shared" si="6"/>
        <v>208645.31</v>
      </c>
      <c r="G39" s="121"/>
      <c r="H39" s="117">
        <f>F39+G39</f>
        <v>208645.31</v>
      </c>
      <c r="I39" s="124"/>
      <c r="J39" s="125">
        <f>H39+I39</f>
        <v>208645.31</v>
      </c>
    </row>
    <row r="40" spans="1:10" ht="12.75">
      <c r="A40" s="120" t="s">
        <v>143</v>
      </c>
      <c r="B40" s="147" t="s">
        <v>216</v>
      </c>
      <c r="C40" s="153"/>
      <c r="D40" s="123"/>
      <c r="E40" s="150">
        <f>+'[2]Medicare grouping 2020'!$S$50-'P3 Form A-1 Health Care'!P50</f>
        <v>77738.32</v>
      </c>
      <c r="F40" s="150">
        <f t="shared" si="6"/>
        <v>77738.32</v>
      </c>
      <c r="G40" s="121"/>
      <c r="H40" s="117">
        <f t="shared" si="4"/>
        <v>77738.32</v>
      </c>
      <c r="I40" s="124"/>
      <c r="J40" s="125">
        <f t="shared" si="5"/>
        <v>77738.32</v>
      </c>
    </row>
    <row r="41" spans="1:10" ht="12.75">
      <c r="A41" s="120" t="s">
        <v>145</v>
      </c>
      <c r="B41" s="126" t="s">
        <v>217</v>
      </c>
      <c r="C41" s="153"/>
      <c r="D41" s="123"/>
      <c r="E41" s="150"/>
      <c r="F41" s="150">
        <f t="shared" si="6"/>
        <v>0</v>
      </c>
      <c r="G41" s="121"/>
      <c r="H41" s="117">
        <f t="shared" si="4"/>
        <v>0</v>
      </c>
      <c r="I41" s="124"/>
      <c r="J41" s="125">
        <f t="shared" si="5"/>
        <v>0</v>
      </c>
    </row>
    <row r="42" spans="1:10" ht="12.75">
      <c r="A42" s="120" t="s">
        <v>150</v>
      </c>
      <c r="B42" s="126" t="s">
        <v>218</v>
      </c>
      <c r="C42" s="153"/>
      <c r="D42" s="123"/>
      <c r="E42" s="150">
        <f>+'[2]Medicare grouping 2020'!$S$58</f>
        <v>165807.06</v>
      </c>
      <c r="F42" s="150">
        <f t="shared" si="6"/>
        <v>165807.06</v>
      </c>
      <c r="G42" s="121"/>
      <c r="H42" s="117">
        <f t="shared" si="4"/>
        <v>165807.06</v>
      </c>
      <c r="I42" s="124"/>
      <c r="J42" s="125">
        <f t="shared" si="5"/>
        <v>165807.06</v>
      </c>
    </row>
    <row r="43" spans="1:10" ht="12.75">
      <c r="A43" s="120" t="s">
        <v>219</v>
      </c>
      <c r="B43" s="128" t="s">
        <v>27</v>
      </c>
      <c r="C43" s="153"/>
      <c r="D43" s="123"/>
      <c r="E43" s="150"/>
      <c r="F43" s="150"/>
      <c r="G43" s="121"/>
      <c r="H43" s="117"/>
      <c r="I43" s="124"/>
      <c r="J43" s="125"/>
    </row>
    <row r="44" spans="1:10" ht="12.75">
      <c r="A44" s="120"/>
      <c r="B44" s="211"/>
      <c r="C44" s="127" t="s">
        <v>510</v>
      </c>
      <c r="D44" s="121"/>
      <c r="E44" s="150">
        <f>+'[2]Medicare grouping 2020'!$L$15+'[2]Medicare grouping 2020'!$L$20</f>
        <v>1771369.49</v>
      </c>
      <c r="F44" s="150">
        <f t="shared" si="6"/>
        <v>1771369.49</v>
      </c>
      <c r="G44" s="121">
        <f>-E44</f>
        <v>-1771369.49</v>
      </c>
      <c r="H44" s="117">
        <f t="shared" si="4"/>
        <v>0</v>
      </c>
      <c r="I44" s="124"/>
      <c r="J44" s="125">
        <f t="shared" si="5"/>
        <v>0</v>
      </c>
    </row>
    <row r="45" spans="1:10" ht="12.75">
      <c r="A45" s="120"/>
      <c r="B45" s="211"/>
      <c r="C45" s="130" t="s">
        <v>511</v>
      </c>
      <c r="D45" s="121"/>
      <c r="E45" s="150">
        <f>+'[2]Medicare grouping 2020'!$S$79-'P3 Form A-1 Health Care'!E45-'P4 Form A-2 Dental'!E44-'P5 Form A-3- Mental Health'!E38</f>
        <v>60724.79</v>
      </c>
      <c r="F45" s="150">
        <f t="shared" si="6"/>
        <v>60724.79</v>
      </c>
      <c r="G45" s="121"/>
      <c r="H45" s="122">
        <f t="shared" si="4"/>
        <v>60724.79</v>
      </c>
      <c r="I45" s="121"/>
      <c r="J45" s="132">
        <f t="shared" si="5"/>
        <v>60724.79</v>
      </c>
    </row>
    <row r="46" spans="1:10" ht="12.75">
      <c r="A46" s="120"/>
      <c r="B46" s="211"/>
      <c r="C46" s="130" t="s">
        <v>512</v>
      </c>
      <c r="D46" s="121"/>
      <c r="E46" s="150">
        <f>+'[2]Medicare grouping 2020'!$S$80-'P3 Form A-1 Health Care'!E48-'P4 Form A-2 Dental'!E42-'P5 Form A-3- Mental Health'!E41-'P5 Form A-3- Mental Health'!E37</f>
        <v>902505.3399999997</v>
      </c>
      <c r="F46" s="150">
        <f t="shared" si="6"/>
        <v>902505.3399999997</v>
      </c>
      <c r="G46" s="121"/>
      <c r="H46" s="122">
        <f>F46+G46</f>
        <v>902505.3399999997</v>
      </c>
      <c r="I46" s="121"/>
      <c r="J46" s="132">
        <f>H46+I46</f>
        <v>902505.3399999997</v>
      </c>
    </row>
    <row r="47" spans="1:10" ht="12.75">
      <c r="A47" s="120"/>
      <c r="B47" s="211"/>
      <c r="C47" s="130" t="s">
        <v>513</v>
      </c>
      <c r="D47" s="121"/>
      <c r="E47" s="150">
        <f>+'[2]Medicare grouping 2020'!$S$81-'P3 Form A-1 Health Care'!E47-'P4 Form A-2 Dental'!E43-'P5 Form A-3- Mental Health'!E39</f>
        <v>195507.83999999997</v>
      </c>
      <c r="F47" s="150">
        <f t="shared" si="6"/>
        <v>195507.83999999997</v>
      </c>
      <c r="G47" s="121"/>
      <c r="H47" s="122">
        <f t="shared" si="4"/>
        <v>195507.83999999997</v>
      </c>
      <c r="I47" s="121"/>
      <c r="J47" s="132">
        <f t="shared" si="5"/>
        <v>195507.83999999997</v>
      </c>
    </row>
    <row r="48" spans="1:10" ht="12.75" customHeight="1">
      <c r="A48" s="133"/>
      <c r="B48" s="135"/>
      <c r="C48" s="127" t="s">
        <v>514</v>
      </c>
      <c r="D48" s="136"/>
      <c r="E48" s="150">
        <f>+'[2]Medicare grouping 2020'!$O$44</f>
        <v>60000</v>
      </c>
      <c r="F48" s="150">
        <f>SUM(D48:E48)</f>
        <v>60000</v>
      </c>
      <c r="G48" s="140"/>
      <c r="H48" s="122">
        <f>F48+G48</f>
        <v>60000</v>
      </c>
      <c r="I48" s="140"/>
      <c r="J48" s="132">
        <f t="shared" si="5"/>
        <v>60000</v>
      </c>
    </row>
    <row r="49" spans="1:13" s="145" customFormat="1" ht="12.75">
      <c r="A49" s="141" t="s">
        <v>220</v>
      </c>
      <c r="B49" s="623" t="s">
        <v>221</v>
      </c>
      <c r="C49" s="624"/>
      <c r="D49" s="142">
        <f aca="true" t="shared" si="7" ref="D49:J49">SUM(D34:D48)</f>
        <v>3677372.920000001</v>
      </c>
      <c r="E49" s="142">
        <f t="shared" si="7"/>
        <v>3862600.8099999996</v>
      </c>
      <c r="F49" s="142">
        <f t="shared" si="7"/>
        <v>7539973.73</v>
      </c>
      <c r="G49" s="142">
        <f t="shared" si="7"/>
        <v>-1771369.49</v>
      </c>
      <c r="H49" s="142">
        <f t="shared" si="7"/>
        <v>5768604.24</v>
      </c>
      <c r="I49" s="142">
        <f t="shared" si="7"/>
        <v>0</v>
      </c>
      <c r="J49" s="144">
        <f t="shared" si="7"/>
        <v>5768604.24</v>
      </c>
      <c r="M49" s="467"/>
    </row>
    <row r="50" spans="1:10" ht="15.75" customHeight="1" thickBot="1">
      <c r="A50" s="226" t="s">
        <v>222</v>
      </c>
      <c r="B50" s="627" t="s">
        <v>223</v>
      </c>
      <c r="C50" s="628"/>
      <c r="D50" s="227">
        <f>D49+D31</f>
        <v>3677372.920000001</v>
      </c>
      <c r="E50" s="227">
        <f aca="true" t="shared" si="8" ref="E50:J50">E49+E31</f>
        <v>5323984.58</v>
      </c>
      <c r="F50" s="227">
        <f t="shared" si="8"/>
        <v>9001357.5</v>
      </c>
      <c r="G50" s="227">
        <f t="shared" si="8"/>
        <v>-1771369.49</v>
      </c>
      <c r="H50" s="227">
        <f t="shared" si="8"/>
        <v>7229988.01</v>
      </c>
      <c r="I50" s="227">
        <f t="shared" si="8"/>
        <v>0</v>
      </c>
      <c r="J50" s="228">
        <f t="shared" si="8"/>
        <v>7229988.01</v>
      </c>
    </row>
    <row r="51" spans="1:10" ht="13.5" thickTop="1">
      <c r="A51" s="248"/>
      <c r="B51" s="126"/>
      <c r="C51" s="126"/>
      <c r="D51" s="249"/>
      <c r="E51" s="249"/>
      <c r="F51" s="250"/>
      <c r="G51" s="249"/>
      <c r="H51" s="250"/>
      <c r="I51" s="249"/>
      <c r="J51" s="251"/>
    </row>
    <row r="52" spans="1:10" ht="19.5" customHeight="1" thickBot="1">
      <c r="A52" s="252" t="s">
        <v>224</v>
      </c>
      <c r="B52" s="627" t="s">
        <v>225</v>
      </c>
      <c r="C52" s="628"/>
      <c r="D52" s="227">
        <f>D50+'P6 Form A-4 Non-Allow Other'!D37</f>
        <v>13395929.32</v>
      </c>
      <c r="E52" s="227">
        <f>E50+'P6 Form A-4 Non-Allow Other'!E37</f>
        <v>7247600.43</v>
      </c>
      <c r="F52" s="227">
        <f>F50+'P6 Form A-4 Non-Allow Other'!F37</f>
        <v>20643529.75</v>
      </c>
      <c r="G52" s="227">
        <f>G50+'P6 Form A-4 Non-Allow Other'!G37</f>
        <v>-407727.4212800001</v>
      </c>
      <c r="H52" s="227">
        <f>H50+'P6 Form A-4 Non-Allow Other'!H37</f>
        <v>20235802.32872</v>
      </c>
      <c r="I52" s="227">
        <f>I50+'P6 Form A-4 Non-Allow Other'!I37</f>
        <v>0</v>
      </c>
      <c r="J52" s="227">
        <f>J50+'P6 Form A-4 Non-Allow Other'!J37</f>
        <v>20235802.32872</v>
      </c>
    </row>
    <row r="53" spans="1:11" ht="13.5" thickTop="1">
      <c r="A53" s="253"/>
      <c r="B53" s="630"/>
      <c r="C53" s="630"/>
      <c r="D53" s="254"/>
      <c r="E53" s="255"/>
      <c r="F53" s="254"/>
      <c r="G53" s="254"/>
      <c r="H53" s="254"/>
      <c r="I53" s="254"/>
      <c r="J53" s="256"/>
      <c r="K53" s="257"/>
    </row>
    <row r="54" spans="1:10" ht="13.5" thickBot="1">
      <c r="A54" s="229"/>
      <c r="B54" s="258" t="s">
        <v>226</v>
      </c>
      <c r="C54" s="230"/>
      <c r="D54" s="259"/>
      <c r="E54" s="259"/>
      <c r="F54" s="232"/>
      <c r="G54" s="259"/>
      <c r="H54" s="232"/>
      <c r="I54" s="259"/>
      <c r="J54" s="233"/>
    </row>
    <row r="55" spans="1:10" ht="12.75">
      <c r="A55" s="234"/>
      <c r="B55" s="629"/>
      <c r="C55" s="629"/>
      <c r="D55" s="235"/>
      <c r="E55" s="235"/>
      <c r="F55" s="236"/>
      <c r="G55" s="235"/>
      <c r="H55" s="236"/>
      <c r="I55" s="235"/>
      <c r="J55" s="236"/>
    </row>
    <row r="56" spans="1:10" ht="12.75">
      <c r="A56" s="234"/>
      <c r="B56" s="506"/>
      <c r="C56" s="506"/>
      <c r="D56" s="512"/>
      <c r="E56" s="235"/>
      <c r="F56" s="236"/>
      <c r="G56" s="235"/>
      <c r="H56" s="236"/>
      <c r="I56" s="235"/>
      <c r="J56" s="236"/>
    </row>
  </sheetData>
  <sheetProtection/>
  <mergeCells count="19">
    <mergeCell ref="B55:C55"/>
    <mergeCell ref="B34:C34"/>
    <mergeCell ref="B35:C35"/>
    <mergeCell ref="B49:C49"/>
    <mergeCell ref="B50:C50"/>
    <mergeCell ref="B52:C52"/>
    <mergeCell ref="B53:C53"/>
    <mergeCell ref="C8:H8"/>
    <mergeCell ref="A11:J11"/>
    <mergeCell ref="A14:C15"/>
    <mergeCell ref="B17:C17"/>
    <mergeCell ref="B19:C19"/>
    <mergeCell ref="B33:C33"/>
    <mergeCell ref="A1:J1"/>
    <mergeCell ref="A2:J2"/>
    <mergeCell ref="A3:J3"/>
    <mergeCell ref="A4:J4"/>
    <mergeCell ref="E6:F6"/>
    <mergeCell ref="I6:J6"/>
  </mergeCells>
  <printOptions/>
  <pageMargins left="0.7" right="0.7" top="0.75" bottom="0.75" header="0.3" footer="0.3"/>
  <pageSetup horizontalDpi="600" verticalDpi="600" orientation="landscape" scale="74" r:id="rId1"/>
  <rowBreaks count="1" manualBreakCount="1">
    <brk id="5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34">
      <selection activeCell="C59" sqref="C59"/>
    </sheetView>
  </sheetViews>
  <sheetFormatPr defaultColWidth="9.140625" defaultRowHeight="15"/>
  <cols>
    <col min="1" max="1" width="3.57421875" style="272" customWidth="1"/>
    <col min="2" max="3" width="16.421875" style="260" customWidth="1"/>
    <col min="4" max="4" width="15.421875" style="260" customWidth="1"/>
    <col min="5" max="5" width="19.421875" style="260" bestFit="1" customWidth="1"/>
    <col min="6" max="6" width="18.140625" style="260" bestFit="1" customWidth="1"/>
    <col min="7" max="7" width="13.57421875" style="260" customWidth="1"/>
    <col min="8" max="8" width="17.7109375" style="260" customWidth="1"/>
    <col min="9" max="9" width="16.57421875" style="260" customWidth="1"/>
    <col min="10" max="16384" width="9.140625" style="260" customWidth="1"/>
  </cols>
  <sheetData>
    <row r="1" spans="1:18" ht="14.2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2"/>
      <c r="K1" s="52"/>
      <c r="L1" s="52"/>
      <c r="M1" s="52"/>
      <c r="N1" s="52"/>
      <c r="O1" s="52"/>
      <c r="P1" s="52"/>
      <c r="Q1" s="52"/>
      <c r="R1" s="52"/>
    </row>
    <row r="2" spans="1:18" ht="14.2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2"/>
      <c r="K2" s="52"/>
      <c r="L2" s="52"/>
      <c r="M2" s="52"/>
      <c r="N2" s="52"/>
      <c r="O2" s="52"/>
      <c r="P2" s="52"/>
      <c r="Q2" s="52"/>
      <c r="R2" s="52"/>
    </row>
    <row r="3" spans="1:18" ht="14.2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2"/>
      <c r="K3" s="52"/>
      <c r="L3" s="52"/>
      <c r="M3" s="52"/>
      <c r="N3" s="52"/>
      <c r="O3" s="52"/>
      <c r="P3" s="52"/>
      <c r="Q3" s="52"/>
      <c r="R3" s="52"/>
    </row>
    <row r="4" spans="1:18" ht="14.2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2"/>
      <c r="K4" s="52"/>
      <c r="L4" s="52"/>
      <c r="M4" s="52"/>
      <c r="N4" s="52"/>
      <c r="O4" s="52"/>
      <c r="P4" s="52"/>
      <c r="Q4" s="52"/>
      <c r="R4" s="52"/>
    </row>
    <row r="5" spans="1:18" ht="15" thickBot="1">
      <c r="A5" s="175"/>
      <c r="B5" s="2"/>
      <c r="C5" s="2"/>
      <c r="D5" s="2"/>
      <c r="E5" s="2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7" ht="14.25">
      <c r="A6" s="176"/>
      <c r="B6" s="55" t="s">
        <v>49</v>
      </c>
      <c r="C6" s="55"/>
      <c r="D6" s="261"/>
      <c r="E6" s="56" t="s">
        <v>23</v>
      </c>
      <c r="F6" s="262">
        <f>'[1]P1 Info &amp; Certification'!L20</f>
        <v>43831</v>
      </c>
      <c r="G6" s="263"/>
      <c r="H6" s="75" t="str">
        <f>'[1]P1 Info &amp; Certification'!M20</f>
        <v>To</v>
      </c>
      <c r="I6" s="264">
        <f>'[1]P1 Info &amp; Certification'!N20</f>
        <v>44196</v>
      </c>
      <c r="J6" s="265"/>
      <c r="K6" s="266"/>
      <c r="L6" s="2"/>
      <c r="M6" s="76"/>
      <c r="N6" s="60"/>
      <c r="O6" s="265"/>
      <c r="P6" s="265"/>
      <c r="Q6" s="60"/>
    </row>
    <row r="7" spans="1:17" ht="14.25">
      <c r="A7" s="267"/>
      <c r="B7" s="60"/>
      <c r="C7" s="60"/>
      <c r="D7" s="60"/>
      <c r="E7" s="60"/>
      <c r="F7" s="2"/>
      <c r="G7" s="2"/>
      <c r="H7" s="2"/>
      <c r="I7" s="62"/>
      <c r="J7" s="2"/>
      <c r="K7" s="2"/>
      <c r="L7" s="2"/>
      <c r="M7" s="2"/>
      <c r="N7" s="2"/>
      <c r="O7" s="2"/>
      <c r="P7" s="2"/>
      <c r="Q7" s="2"/>
    </row>
    <row r="8" spans="1:17" ht="22.5" customHeight="1" thickBot="1">
      <c r="A8" s="178"/>
      <c r="B8" s="64" t="s">
        <v>50</v>
      </c>
      <c r="C8" s="577" t="str">
        <f>'[1]P1 Info &amp; Certification'!E12</f>
        <v>CIFC Inc./ Greater Danbury Community Health Center</v>
      </c>
      <c r="D8" s="577"/>
      <c r="E8" s="577"/>
      <c r="F8" s="577"/>
      <c r="G8" s="577"/>
      <c r="H8" s="577"/>
      <c r="I8" s="81"/>
      <c r="J8" s="268"/>
      <c r="K8" s="268"/>
      <c r="L8" s="268"/>
      <c r="M8" s="268"/>
      <c r="N8" s="268"/>
      <c r="O8" s="268"/>
      <c r="P8" s="268"/>
      <c r="Q8" s="268"/>
    </row>
    <row r="9" spans="1:17" ht="14.25">
      <c r="A9" s="269"/>
      <c r="B9" s="270"/>
      <c r="C9" s="270"/>
      <c r="D9" s="270"/>
      <c r="E9" s="270"/>
      <c r="F9" s="270"/>
      <c r="G9" s="270"/>
      <c r="H9" s="270"/>
      <c r="I9" s="270"/>
      <c r="J9" s="271"/>
      <c r="K9" s="271"/>
      <c r="L9" s="271"/>
      <c r="M9" s="271"/>
      <c r="N9" s="271"/>
      <c r="O9" s="271"/>
      <c r="P9" s="271"/>
      <c r="Q9" s="271"/>
    </row>
    <row r="11" ht="15" thickBot="1">
      <c r="I11" s="273" t="s">
        <v>227</v>
      </c>
    </row>
    <row r="12" spans="1:9" ht="15">
      <c r="A12" s="634" t="s">
        <v>228</v>
      </c>
      <c r="B12" s="635"/>
      <c r="C12" s="635"/>
      <c r="D12" s="635"/>
      <c r="E12" s="636"/>
      <c r="F12" s="636"/>
      <c r="G12" s="636"/>
      <c r="H12" s="635"/>
      <c r="I12" s="637"/>
    </row>
    <row r="13" spans="1:9" ht="14.25">
      <c r="A13" s="638" t="s">
        <v>229</v>
      </c>
      <c r="B13" s="639"/>
      <c r="C13" s="639"/>
      <c r="D13" s="639"/>
      <c r="E13" s="274"/>
      <c r="F13" s="275"/>
      <c r="G13" s="276"/>
      <c r="H13" s="644" t="s">
        <v>230</v>
      </c>
      <c r="I13" s="645"/>
    </row>
    <row r="14" spans="1:9" ht="14.25">
      <c r="A14" s="640"/>
      <c r="B14" s="641"/>
      <c r="C14" s="641"/>
      <c r="D14" s="641"/>
      <c r="E14" s="277"/>
      <c r="F14" s="278"/>
      <c r="G14" s="279"/>
      <c r="H14" s="280" t="s">
        <v>231</v>
      </c>
      <c r="I14" s="281" t="s">
        <v>232</v>
      </c>
    </row>
    <row r="15" spans="1:9" ht="14.25">
      <c r="A15" s="642"/>
      <c r="B15" s="643"/>
      <c r="C15" s="643"/>
      <c r="D15" s="643"/>
      <c r="E15" s="282" t="s">
        <v>233</v>
      </c>
      <c r="F15" s="283" t="s">
        <v>234</v>
      </c>
      <c r="G15" s="284" t="s">
        <v>235</v>
      </c>
      <c r="H15" s="285" t="s">
        <v>236</v>
      </c>
      <c r="I15" s="286" t="s">
        <v>237</v>
      </c>
    </row>
    <row r="16" spans="1:9" ht="14.25">
      <c r="A16" s="287"/>
      <c r="B16" s="288"/>
      <c r="C16" s="288"/>
      <c r="D16" s="288"/>
      <c r="E16" s="289" t="s">
        <v>111</v>
      </c>
      <c r="F16" s="290" t="s">
        <v>112</v>
      </c>
      <c r="G16" s="291" t="s">
        <v>113</v>
      </c>
      <c r="H16" s="292" t="s">
        <v>114</v>
      </c>
      <c r="I16" s="293" t="s">
        <v>115</v>
      </c>
    </row>
    <row r="17" spans="1:9" ht="14.25">
      <c r="A17" s="294"/>
      <c r="B17" s="646" t="s">
        <v>238</v>
      </c>
      <c r="C17" s="647"/>
      <c r="D17" s="647"/>
      <c r="E17" s="295" t="s">
        <v>239</v>
      </c>
      <c r="F17" s="296">
        <v>125000</v>
      </c>
      <c r="G17" s="297">
        <v>1500</v>
      </c>
      <c r="H17" s="297">
        <v>1040</v>
      </c>
      <c r="I17" s="298">
        <f>H17/2080</f>
        <v>0.5</v>
      </c>
    </row>
    <row r="18" spans="1:11" ht="14.25">
      <c r="A18" s="299" t="s">
        <v>109</v>
      </c>
      <c r="B18" s="648" t="s">
        <v>240</v>
      </c>
      <c r="C18" s="643"/>
      <c r="D18" s="643"/>
      <c r="E18" s="282"/>
      <c r="F18" s="300"/>
      <c r="G18" s="301"/>
      <c r="H18" s="302"/>
      <c r="I18" s="303"/>
      <c r="K18" s="485"/>
    </row>
    <row r="19" spans="1:11" ht="14.25">
      <c r="A19" s="304" t="s">
        <v>7</v>
      </c>
      <c r="B19" s="631" t="s">
        <v>518</v>
      </c>
      <c r="C19" s="632"/>
      <c r="D19" s="633"/>
      <c r="E19" s="483" t="s">
        <v>565</v>
      </c>
      <c r="F19" s="306">
        <f>+'[2]wages and fte calc'!$G$140</f>
        <v>172346.06999999995</v>
      </c>
      <c r="G19" s="306">
        <f>+'[2]VISITS BY PROVIDER'!$T$39</f>
        <v>2556</v>
      </c>
      <c r="H19" s="489">
        <f>+'[2]wages and fte calc'!$E$140</f>
        <v>1963.8</v>
      </c>
      <c r="I19" s="307">
        <f>ROUND(H19/2080,2)</f>
        <v>0.94</v>
      </c>
      <c r="K19" s="485"/>
    </row>
    <row r="20" spans="1:11" ht="14.25">
      <c r="A20" s="304" t="s">
        <v>19</v>
      </c>
      <c r="B20" s="631" t="s">
        <v>519</v>
      </c>
      <c r="C20" s="632"/>
      <c r="D20" s="633"/>
      <c r="E20" t="s">
        <v>565</v>
      </c>
      <c r="F20" s="306">
        <f>+'[2]wages and fte calc'!$G$145</f>
        <v>234012.8100000001</v>
      </c>
      <c r="G20" s="308">
        <f>+'[2]VISITS BY PROVIDER'!$T$36</f>
        <v>3348</v>
      </c>
      <c r="H20" s="489">
        <f>+'[2]wages and fte calc'!$E$145</f>
        <v>2537</v>
      </c>
      <c r="I20" s="307">
        <f aca="true" t="shared" si="0" ref="I20:I72">ROUND(H20/2080,2)</f>
        <v>1.22</v>
      </c>
      <c r="K20" s="485"/>
    </row>
    <row r="21" spans="1:11" ht="14.25">
      <c r="A21" s="304" t="s">
        <v>152</v>
      </c>
      <c r="B21" s="631" t="s">
        <v>520</v>
      </c>
      <c r="C21" s="632"/>
      <c r="D21" s="633"/>
      <c r="E21" t="s">
        <v>565</v>
      </c>
      <c r="F21" s="306">
        <f>+'[2]wages and fte calc'!$G$161</f>
        <v>88304.37</v>
      </c>
      <c r="G21" s="306">
        <f>+'[2]VISITS BY PROVIDER'!$T$38</f>
        <v>3072</v>
      </c>
      <c r="H21" s="489">
        <f>+'[2]wages and fte calc'!$E$161</f>
        <v>2246.42</v>
      </c>
      <c r="I21" s="307">
        <f t="shared" si="0"/>
        <v>1.08</v>
      </c>
      <c r="K21" s="485"/>
    </row>
    <row r="22" spans="1:11" ht="14.25">
      <c r="A22" s="304" t="s">
        <v>28</v>
      </c>
      <c r="B22" s="631" t="s">
        <v>521</v>
      </c>
      <c r="C22" s="632"/>
      <c r="D22" s="633"/>
      <c r="E22" s="483" t="s">
        <v>566</v>
      </c>
      <c r="F22" s="306">
        <f>+'[2]wages and fte calc'!$G$75+'[2]wages and fte calc'!$G$127</f>
        <v>149733.94999999995</v>
      </c>
      <c r="G22" s="308">
        <f>+'[2]VISITS BY PROVIDER'!$T$16</f>
        <v>1864</v>
      </c>
      <c r="H22" s="489">
        <f>+'[2]wages and fte calc'!$E$75+'[2]wages and fte calc'!$E$127</f>
        <v>1795.75</v>
      </c>
      <c r="I22" s="307">
        <f t="shared" si="0"/>
        <v>0.86</v>
      </c>
      <c r="K22" s="485"/>
    </row>
    <row r="23" spans="1:11" ht="14.25">
      <c r="A23" s="304" t="s">
        <v>38</v>
      </c>
      <c r="B23" s="631" t="s">
        <v>522</v>
      </c>
      <c r="C23" s="632"/>
      <c r="D23" s="633"/>
      <c r="E23" s="323" t="s">
        <v>566</v>
      </c>
      <c r="F23" s="306">
        <f>+'[2]wages and fte calc'!$G$281</f>
        <v>71817.9</v>
      </c>
      <c r="G23" s="308">
        <f>+'[2]VISITS BY PROVIDER'!$T$14</f>
        <v>637</v>
      </c>
      <c r="H23" s="489">
        <f>+'[2]wages and fte calc'!$E$281</f>
        <v>882.25</v>
      </c>
      <c r="I23" s="307">
        <f t="shared" si="0"/>
        <v>0.42</v>
      </c>
      <c r="K23" s="485"/>
    </row>
    <row r="24" spans="1:11" ht="14.25">
      <c r="A24" s="304" t="s">
        <v>44</v>
      </c>
      <c r="B24" s="631" t="s">
        <v>523</v>
      </c>
      <c r="C24" s="632"/>
      <c r="D24" s="633"/>
      <c r="E24" t="s">
        <v>566</v>
      </c>
      <c r="F24" s="306">
        <f>+'[2]wages and fte calc'!$G$101+'[2]wages and fte calc'!$G$286</f>
        <v>243246.33</v>
      </c>
      <c r="G24" s="308">
        <f>+'[2]VISITS BY PROVIDER'!$T$10</f>
        <v>449</v>
      </c>
      <c r="H24" s="489">
        <f>+'[2]wages and fte calc'!$E$101+'[2]wages and fte calc'!$E$286</f>
        <v>2696.75</v>
      </c>
      <c r="I24" s="307">
        <f t="shared" si="0"/>
        <v>1.3</v>
      </c>
      <c r="K24" s="485"/>
    </row>
    <row r="25" spans="1:11" ht="14.25">
      <c r="A25" s="493" t="s">
        <v>51</v>
      </c>
      <c r="B25" s="631" t="s">
        <v>524</v>
      </c>
      <c r="C25" s="632"/>
      <c r="D25" s="633"/>
      <c r="E25" t="s">
        <v>566</v>
      </c>
      <c r="F25" s="306">
        <f>+'[2]wages and fte calc'!$G$291+'[2]wages and fte calc'!$G$104</f>
        <v>200394.02999999997</v>
      </c>
      <c r="G25" s="308">
        <f>+'[2]VISITS BY PROVIDER'!$T$11</f>
        <v>2355</v>
      </c>
      <c r="H25" s="489">
        <f>+'[2]wages and fte calc'!$E$291+'[2]wages and fte calc'!$E$104</f>
        <v>2314.75</v>
      </c>
      <c r="I25" s="307">
        <f t="shared" si="0"/>
        <v>1.11</v>
      </c>
      <c r="K25" s="485"/>
    </row>
    <row r="26" spans="1:11" ht="14.25">
      <c r="A26" s="304" t="s">
        <v>81</v>
      </c>
      <c r="B26" s="631" t="s">
        <v>525</v>
      </c>
      <c r="C26" s="632"/>
      <c r="D26" s="633"/>
      <c r="E26" t="s">
        <v>566</v>
      </c>
      <c r="F26" s="306">
        <f>+'[2]wages and fte calc'!$G$322+'[2]wages and fte calc'!$G$120</f>
        <v>160594.96000000002</v>
      </c>
      <c r="G26" s="308">
        <f>+'[2]VISITS BY PROVIDER'!$T$13</f>
        <v>1383</v>
      </c>
      <c r="H26" s="489">
        <f>+'[2]wages and fte calc'!$E$322+'[2]wages and fte calc'!$E$120</f>
        <v>1770.25</v>
      </c>
      <c r="I26" s="307">
        <f t="shared" si="0"/>
        <v>0.85</v>
      </c>
      <c r="K26" s="485"/>
    </row>
    <row r="27" spans="1:11" ht="14.25">
      <c r="A27" s="304" t="s">
        <v>241</v>
      </c>
      <c r="B27" s="631" t="s">
        <v>526</v>
      </c>
      <c r="C27" s="632"/>
      <c r="D27" s="633"/>
      <c r="E27" t="s">
        <v>566</v>
      </c>
      <c r="F27" s="306">
        <f>+'[2]wages and fte calc'!$G$85</f>
        <v>61250</v>
      </c>
      <c r="G27" s="308">
        <f>+'[2]VISITS BY PROVIDER'!$T$17</f>
        <v>574</v>
      </c>
      <c r="H27" s="489">
        <f>+'[2]wages and fte calc'!$E$85</f>
        <v>588.75</v>
      </c>
      <c r="I27" s="307">
        <f t="shared" si="0"/>
        <v>0.28</v>
      </c>
      <c r="K27" s="485"/>
    </row>
    <row r="28" spans="1:11" ht="14.25">
      <c r="A28" s="304" t="s">
        <v>242</v>
      </c>
      <c r="B28" s="631" t="s">
        <v>527</v>
      </c>
      <c r="C28" s="632"/>
      <c r="D28" s="633"/>
      <c r="E28" t="s">
        <v>566</v>
      </c>
      <c r="F28" s="306">
        <f>+'[2]wages and fte calc'!$G$118</f>
        <v>10351.24</v>
      </c>
      <c r="G28" s="308">
        <f>+'[2]VISITS BY PROVIDER'!$T$19</f>
        <v>18</v>
      </c>
      <c r="H28" s="489">
        <f>+'[2]wages and fte calc'!$E$118</f>
        <v>91.75</v>
      </c>
      <c r="I28" s="307">
        <f t="shared" si="0"/>
        <v>0.04</v>
      </c>
      <c r="K28" s="485"/>
    </row>
    <row r="29" spans="1:12" ht="14.25">
      <c r="A29" s="304" t="s">
        <v>364</v>
      </c>
      <c r="B29" s="631" t="s">
        <v>528</v>
      </c>
      <c r="C29" s="632"/>
      <c r="D29" s="633"/>
      <c r="E29" t="s">
        <v>566</v>
      </c>
      <c r="F29" s="306">
        <f>+'[2]wages and fte calc'!$G$416</f>
        <v>6250</v>
      </c>
      <c r="G29" s="308">
        <f>+'[2]VISITS BY PROVIDER'!$T$74</f>
        <v>1162</v>
      </c>
      <c r="H29" s="489">
        <f>+'[2]wages and fte calc'!$E$416</f>
        <v>52</v>
      </c>
      <c r="I29" s="307">
        <f t="shared" si="0"/>
        <v>0.03</v>
      </c>
      <c r="K29" s="486"/>
      <c r="L29" s="484"/>
    </row>
    <row r="30" spans="1:11" ht="14.25">
      <c r="A30" s="304" t="s">
        <v>382</v>
      </c>
      <c r="B30" s="631" t="s">
        <v>529</v>
      </c>
      <c r="C30" s="632"/>
      <c r="D30" s="633"/>
      <c r="E30" t="s">
        <v>566</v>
      </c>
      <c r="F30" s="306">
        <f>+'[2]wages and fte calc'!$G$357</f>
        <v>171866.13999999998</v>
      </c>
      <c r="G30" s="308">
        <f>+'[2]VISITS BY PROVIDER'!$T$8</f>
        <v>1817</v>
      </c>
      <c r="H30" s="489">
        <f>+'[2]wages and fte calc'!$E$357</f>
        <v>2086.25</v>
      </c>
      <c r="I30" s="307">
        <f t="shared" si="0"/>
        <v>1</v>
      </c>
      <c r="K30" s="485"/>
    </row>
    <row r="31" spans="1:11" ht="14.25">
      <c r="A31" s="304" t="s">
        <v>516</v>
      </c>
      <c r="B31" s="631" t="s">
        <v>530</v>
      </c>
      <c r="C31" s="632"/>
      <c r="D31" s="633"/>
      <c r="E31" t="s">
        <v>566</v>
      </c>
      <c r="F31" s="306">
        <f>+'[2]wages and fte calc'!$G$358</f>
        <v>75424.87</v>
      </c>
      <c r="G31" s="308">
        <f>+'[2]VISITS BY PROVIDER'!$T$9</f>
        <v>1075</v>
      </c>
      <c r="H31" s="489">
        <f>+'[2]wages and fte calc'!$E$358</f>
        <v>1049.5</v>
      </c>
      <c r="I31" s="307">
        <f t="shared" si="0"/>
        <v>0.5</v>
      </c>
      <c r="K31" s="485"/>
    </row>
    <row r="32" spans="1:11" ht="14.25">
      <c r="A32" s="304" t="s">
        <v>386</v>
      </c>
      <c r="B32" s="631" t="s">
        <v>531</v>
      </c>
      <c r="C32" s="632"/>
      <c r="D32" s="633"/>
      <c r="E32" t="s">
        <v>566</v>
      </c>
      <c r="F32" s="306">
        <f>+'[2]wages and fte calc'!$G$360</f>
        <v>160538.09</v>
      </c>
      <c r="G32" s="308">
        <f>+'[2]VISITS BY PROVIDER'!$T$7</f>
        <v>1900</v>
      </c>
      <c r="H32" s="489">
        <f>+'[2]wages and fte calc'!$E$360</f>
        <v>2013.83</v>
      </c>
      <c r="I32" s="307">
        <f t="shared" si="0"/>
        <v>0.97</v>
      </c>
      <c r="K32" s="485"/>
    </row>
    <row r="33" spans="1:13" ht="14.25">
      <c r="A33" s="304" t="s">
        <v>387</v>
      </c>
      <c r="B33" s="631" t="s">
        <v>575</v>
      </c>
      <c r="C33" s="632"/>
      <c r="D33" s="633"/>
      <c r="E33" s="384" t="s">
        <v>567</v>
      </c>
      <c r="F33" s="306">
        <f>+'[2]wages and fte calc'!$G$24+'[2]wages and fte calc'!$G$103+'[2]wages and fte calc'!$G$289</f>
        <v>142012.92</v>
      </c>
      <c r="G33" s="308">
        <f>+'[2]VISITS BY PROVIDER'!$T$18</f>
        <v>85</v>
      </c>
      <c r="H33" s="489">
        <f>+'[2]wages and fte calc'!$E$24+'[2]wages and fte calc'!$E$103+'[2]wages and fte calc'!$E$289</f>
        <v>1580.75</v>
      </c>
      <c r="I33" s="307">
        <f t="shared" si="0"/>
        <v>0.76</v>
      </c>
      <c r="K33" s="485"/>
      <c r="M33" s="260" t="s">
        <v>574</v>
      </c>
    </row>
    <row r="34" spans="1:11" ht="14.25">
      <c r="A34" s="492" t="s">
        <v>389</v>
      </c>
      <c r="B34" s="631" t="s">
        <v>576</v>
      </c>
      <c r="C34" s="632"/>
      <c r="D34" s="633"/>
      <c r="E34" s="384" t="s">
        <v>567</v>
      </c>
      <c r="F34" s="306">
        <f>+'[2]wages and fte calc'!$G$273+'[2]wages and fte calc'!$G$96</f>
        <v>159839.28</v>
      </c>
      <c r="G34" s="308">
        <f>+'[2]VISITS BY PROVIDER'!$T$15</f>
        <v>807</v>
      </c>
      <c r="H34" s="489">
        <f>+'[2]wages and fte calc'!$E$273+'[2]wages and fte calc'!$E$96</f>
        <v>1377</v>
      </c>
      <c r="I34" s="307">
        <f t="shared" si="0"/>
        <v>0.66</v>
      </c>
      <c r="K34" s="485"/>
    </row>
    <row r="35" spans="1:11" ht="14.25">
      <c r="A35" s="304" t="s">
        <v>420</v>
      </c>
      <c r="B35" s="631" t="s">
        <v>577</v>
      </c>
      <c r="C35" s="632"/>
      <c r="D35" s="633"/>
      <c r="E35" s="384" t="s">
        <v>568</v>
      </c>
      <c r="F35" s="306">
        <f>+'[2]wages and fte calc'!$G$405</f>
        <v>40074.740000000005</v>
      </c>
      <c r="G35" s="308">
        <f>+'[2]VISITS BY PROVIDER'!$T$68</f>
        <v>598</v>
      </c>
      <c r="H35" s="489">
        <f>+'[2]wages and fte calc'!$E$405</f>
        <v>440</v>
      </c>
      <c r="I35" s="307">
        <f t="shared" si="0"/>
        <v>0.21</v>
      </c>
      <c r="K35" s="485"/>
    </row>
    <row r="36" spans="1:11" ht="14.25">
      <c r="A36" s="304" t="s">
        <v>421</v>
      </c>
      <c r="B36" s="631" t="s">
        <v>578</v>
      </c>
      <c r="C36" s="632"/>
      <c r="D36" s="633"/>
      <c r="E36" s="384" t="s">
        <v>569</v>
      </c>
      <c r="F36" s="306">
        <f>+'[2]wages and fte calc'!$G$11</f>
        <v>148846.99999999997</v>
      </c>
      <c r="G36" s="308"/>
      <c r="H36" s="489">
        <f>+'[2]wages and fte calc'!$E$11</f>
        <v>1438</v>
      </c>
      <c r="I36" s="307">
        <f t="shared" si="0"/>
        <v>0.69</v>
      </c>
      <c r="K36" s="485"/>
    </row>
    <row r="37" spans="1:11" ht="14.25">
      <c r="A37" s="304" t="s">
        <v>440</v>
      </c>
      <c r="B37" s="631" t="s">
        <v>579</v>
      </c>
      <c r="C37" s="632"/>
      <c r="D37" s="633"/>
      <c r="E37" s="384" t="s">
        <v>570</v>
      </c>
      <c r="F37" s="306">
        <f>+'[2]wages and fte calc'!$G$12</f>
        <v>24</v>
      </c>
      <c r="G37" s="308"/>
      <c r="H37" s="489">
        <f>+'[2]wages and fte calc'!$E$12</f>
        <v>0</v>
      </c>
      <c r="I37" s="307">
        <f>ROUND(H37/2080,2)</f>
        <v>0</v>
      </c>
      <c r="K37" s="485"/>
    </row>
    <row r="38" spans="1:11" ht="14.25">
      <c r="A38" s="304" t="s">
        <v>442</v>
      </c>
      <c r="B38" s="649" t="s">
        <v>573</v>
      </c>
      <c r="C38" s="650"/>
      <c r="D38" s="651"/>
      <c r="E38" s="463" t="s">
        <v>573</v>
      </c>
      <c r="F38" s="459">
        <f>+'[2]wages and fte calc'!$G$319</f>
        <v>49000.07999999999</v>
      </c>
      <c r="G38" s="459">
        <f>+'[2]VISITS BY PROVIDER'!$T$20</f>
        <v>102</v>
      </c>
      <c r="H38" s="490">
        <f>+'[2]wages and fte calc'!$E$319</f>
        <v>1108.25</v>
      </c>
      <c r="I38" s="307">
        <f>ROUND(H38/2080,2)</f>
        <v>0.53</v>
      </c>
      <c r="K38" s="485"/>
    </row>
    <row r="39" spans="1:11" ht="15">
      <c r="A39" s="304" t="s">
        <v>443</v>
      </c>
      <c r="B39" s="652" t="s">
        <v>532</v>
      </c>
      <c r="C39" s="653"/>
      <c r="D39" s="654"/>
      <c r="E39" s="471" t="s">
        <v>571</v>
      </c>
      <c r="F39" s="308">
        <f>+'[2]wages and fte calc'!$G$247</f>
        <v>32850</v>
      </c>
      <c r="G39" s="308"/>
      <c r="H39" s="491">
        <f>+'[2]wages and fte calc'!$E$247</f>
        <v>1124.5</v>
      </c>
      <c r="I39" s="307">
        <f t="shared" si="0"/>
        <v>0.54</v>
      </c>
      <c r="K39" s="482"/>
    </row>
    <row r="40" spans="1:11" ht="15">
      <c r="A40" s="304" t="s">
        <v>444</v>
      </c>
      <c r="B40" s="469" t="s">
        <v>533</v>
      </c>
      <c r="C40" s="470"/>
      <c r="D40" s="471"/>
      <c r="E40" s="471" t="s">
        <v>571</v>
      </c>
      <c r="F40" s="308">
        <f>+'[2]wages and fte calc'!$G$250</f>
        <v>32850</v>
      </c>
      <c r="G40" s="308"/>
      <c r="H40" s="491">
        <f>+'[2]wages and fte calc'!$E$250</f>
        <v>1089.5</v>
      </c>
      <c r="I40" s="307">
        <f t="shared" si="0"/>
        <v>0.52</v>
      </c>
      <c r="K40" s="482"/>
    </row>
    <row r="41" spans="1:11" ht="15">
      <c r="A41" s="304" t="s">
        <v>445</v>
      </c>
      <c r="B41" s="469" t="s">
        <v>534</v>
      </c>
      <c r="C41" s="470"/>
      <c r="D41" s="471"/>
      <c r="E41" s="471" t="s">
        <v>571</v>
      </c>
      <c r="F41" s="308">
        <f>+'[2]wages and fte calc'!$G$251</f>
        <v>39110.45000000001</v>
      </c>
      <c r="G41" s="308"/>
      <c r="H41" s="491">
        <f>+'[2]wages and fte calc'!$E$251</f>
        <v>1231.5</v>
      </c>
      <c r="I41" s="307">
        <f t="shared" si="0"/>
        <v>0.59</v>
      </c>
      <c r="K41" s="482"/>
    </row>
    <row r="42" spans="1:11" ht="15">
      <c r="A42" s="304" t="s">
        <v>446</v>
      </c>
      <c r="B42" s="469" t="s">
        <v>535</v>
      </c>
      <c r="C42" s="470"/>
      <c r="D42" s="471"/>
      <c r="E42" s="471" t="s">
        <v>571</v>
      </c>
      <c r="F42" s="308">
        <f>+'[2]wages and fte calc'!$G$252</f>
        <v>39110.45000000001</v>
      </c>
      <c r="G42" s="308"/>
      <c r="H42" s="491">
        <f>+'[2]wages and fte calc'!$E$252</f>
        <v>1494.75</v>
      </c>
      <c r="I42" s="307">
        <f t="shared" si="0"/>
        <v>0.72</v>
      </c>
      <c r="K42" s="482"/>
    </row>
    <row r="43" spans="1:11" ht="15">
      <c r="A43" s="304" t="s">
        <v>447</v>
      </c>
      <c r="B43" s="469" t="s">
        <v>536</v>
      </c>
      <c r="C43" s="470"/>
      <c r="D43" s="471"/>
      <c r="E43" s="471" t="s">
        <v>571</v>
      </c>
      <c r="F43" s="308">
        <f>+'[2]wages and fte calc'!$G$253</f>
        <v>65980.07999999997</v>
      </c>
      <c r="G43" s="308"/>
      <c r="H43" s="491">
        <f>+'[2]wages and fte calc'!$E$253</f>
        <v>2348</v>
      </c>
      <c r="I43" s="307">
        <f t="shared" si="0"/>
        <v>1.13</v>
      </c>
      <c r="K43" s="482"/>
    </row>
    <row r="44" spans="1:11" ht="15">
      <c r="A44" s="304" t="s">
        <v>465</v>
      </c>
      <c r="B44" s="469" t="s">
        <v>537</v>
      </c>
      <c r="C44" s="470"/>
      <c r="D44" s="471"/>
      <c r="E44" s="471" t="s">
        <v>571</v>
      </c>
      <c r="F44" s="308">
        <f>+'[2]wages and fte calc'!$G$256</f>
        <v>65980.07999999997</v>
      </c>
      <c r="G44" s="308"/>
      <c r="H44" s="491">
        <f>+'[2]wages and fte calc'!$E$256</f>
        <v>2390</v>
      </c>
      <c r="I44" s="307">
        <f t="shared" si="0"/>
        <v>1.15</v>
      </c>
      <c r="K44" s="482"/>
    </row>
    <row r="45" spans="1:11" ht="15">
      <c r="A45" s="304" t="s">
        <v>466</v>
      </c>
      <c r="B45" s="469" t="s">
        <v>538</v>
      </c>
      <c r="C45" s="470"/>
      <c r="D45" s="471"/>
      <c r="E45" s="471" t="s">
        <v>571</v>
      </c>
      <c r="F45" s="308">
        <f>+'[2]wages and fte calc'!$G$257</f>
        <v>32850</v>
      </c>
      <c r="G45" s="308"/>
      <c r="H45" s="491">
        <f>+'[2]wages and fte calc'!$E$257</f>
        <v>1130.5</v>
      </c>
      <c r="I45" s="307">
        <f t="shared" si="0"/>
        <v>0.54</v>
      </c>
      <c r="K45" s="482"/>
    </row>
    <row r="46" spans="1:11" ht="15">
      <c r="A46" s="304" t="s">
        <v>517</v>
      </c>
      <c r="B46" s="469" t="s">
        <v>539</v>
      </c>
      <c r="C46" s="470"/>
      <c r="D46" s="471"/>
      <c r="E46" s="471" t="s">
        <v>571</v>
      </c>
      <c r="F46" s="308">
        <f>+'[2]wages and fte calc'!$G$263</f>
        <v>32850</v>
      </c>
      <c r="G46" s="308"/>
      <c r="H46" s="491">
        <f>+'[2]wages and fte calc'!$E$263</f>
        <v>1060.5</v>
      </c>
      <c r="I46" s="307">
        <f t="shared" si="0"/>
        <v>0.51</v>
      </c>
      <c r="K46" s="482"/>
    </row>
    <row r="47" spans="1:11" ht="15">
      <c r="A47" s="304" t="s">
        <v>466</v>
      </c>
      <c r="B47" s="469" t="s">
        <v>540</v>
      </c>
      <c r="C47" s="470"/>
      <c r="D47" s="471"/>
      <c r="E47" s="471" t="s">
        <v>571</v>
      </c>
      <c r="F47" s="308">
        <f>+'[2]wages and fte calc'!$G$265</f>
        <v>67544.57999999997</v>
      </c>
      <c r="G47" s="308"/>
      <c r="H47" s="491">
        <f>+'[2]wages and fte calc'!$E$265</f>
        <v>2364.5</v>
      </c>
      <c r="I47" s="307">
        <f t="shared" si="0"/>
        <v>1.14</v>
      </c>
      <c r="K47" s="482"/>
    </row>
    <row r="48" spans="1:11" ht="15">
      <c r="A48" s="304" t="s">
        <v>467</v>
      </c>
      <c r="B48" s="469" t="s">
        <v>541</v>
      </c>
      <c r="C48" s="470"/>
      <c r="D48" s="471"/>
      <c r="E48" s="471" t="s">
        <v>571</v>
      </c>
      <c r="F48" s="308">
        <f>+'[2]wages and fte calc'!$G$268</f>
        <v>39110.45000000001</v>
      </c>
      <c r="G48" s="308"/>
      <c r="H48" s="491">
        <f>+'[2]wages and fte calc'!$E$268</f>
        <v>1165.5</v>
      </c>
      <c r="I48" s="307">
        <f t="shared" si="0"/>
        <v>0.56</v>
      </c>
      <c r="K48" s="482"/>
    </row>
    <row r="49" spans="1:11" ht="15">
      <c r="A49" s="304" t="s">
        <v>468</v>
      </c>
      <c r="B49" s="469" t="s">
        <v>542</v>
      </c>
      <c r="C49" s="470"/>
      <c r="D49" s="471"/>
      <c r="E49" s="471" t="s">
        <v>571</v>
      </c>
      <c r="F49" s="308">
        <f>+'[2]wages and fte calc'!$G$274</f>
        <v>67507.07999999997</v>
      </c>
      <c r="G49" s="308"/>
      <c r="H49" s="491">
        <f>+'[2]wages and fte calc'!$E$274</f>
        <v>2396.25</v>
      </c>
      <c r="I49" s="307">
        <f t="shared" si="0"/>
        <v>1.15</v>
      </c>
      <c r="K49" s="482"/>
    </row>
    <row r="50" spans="1:11" ht="15">
      <c r="A50" s="304" t="s">
        <v>469</v>
      </c>
      <c r="B50" s="469" t="s">
        <v>543</v>
      </c>
      <c r="C50" s="470"/>
      <c r="D50" s="471"/>
      <c r="E50" s="471" t="s">
        <v>571</v>
      </c>
      <c r="F50" s="308">
        <f>+'[2]wages and fte calc'!$G$275</f>
        <v>39159.34000000001</v>
      </c>
      <c r="G50" s="308"/>
      <c r="H50" s="491">
        <f>+'[2]wages and fte calc'!$E$275</f>
        <v>1515.25</v>
      </c>
      <c r="I50" s="307">
        <f t="shared" si="0"/>
        <v>0.73</v>
      </c>
      <c r="K50" s="482"/>
    </row>
    <row r="51" spans="1:11" ht="15">
      <c r="A51" s="304" t="s">
        <v>470</v>
      </c>
      <c r="B51" s="469" t="s">
        <v>544</v>
      </c>
      <c r="C51" s="470"/>
      <c r="D51" s="471"/>
      <c r="E51" s="471" t="s">
        <v>571</v>
      </c>
      <c r="F51" s="308">
        <f>+'[2]wages and fte calc'!$G$276</f>
        <v>32850</v>
      </c>
      <c r="G51" s="308"/>
      <c r="H51" s="491">
        <f>+'[2]wages and fte calc'!$E$276</f>
        <v>1064.5</v>
      </c>
      <c r="I51" s="307">
        <f t="shared" si="0"/>
        <v>0.51</v>
      </c>
      <c r="K51" s="482"/>
    </row>
    <row r="52" spans="1:11" ht="15">
      <c r="A52" s="304" t="s">
        <v>471</v>
      </c>
      <c r="B52" s="469" t="s">
        <v>545</v>
      </c>
      <c r="C52" s="470"/>
      <c r="D52" s="471"/>
      <c r="E52" s="471" t="s">
        <v>571</v>
      </c>
      <c r="F52" s="459">
        <f>+'[2]wages and fte calc'!$G$277</f>
        <v>65980.07999999997</v>
      </c>
      <c r="G52" s="459"/>
      <c r="H52" s="490">
        <f>+'[2]wages and fte calc'!$E$277</f>
        <v>2175</v>
      </c>
      <c r="I52" s="307">
        <f t="shared" si="0"/>
        <v>1.05</v>
      </c>
      <c r="K52" s="482"/>
    </row>
    <row r="53" spans="1:11" ht="15">
      <c r="A53" s="304" t="s">
        <v>472</v>
      </c>
      <c r="B53" s="469" t="s">
        <v>546</v>
      </c>
      <c r="C53" s="470"/>
      <c r="D53" s="471"/>
      <c r="E53" s="471" t="s">
        <v>571</v>
      </c>
      <c r="F53" s="459">
        <f>+'[2]wages and fte calc'!$G$280</f>
        <v>66679.75999999998</v>
      </c>
      <c r="G53" s="459"/>
      <c r="H53" s="490">
        <f>+'[2]wages and fte calc'!$E$280</f>
        <v>2119.5</v>
      </c>
      <c r="I53" s="307">
        <f t="shared" si="0"/>
        <v>1.02</v>
      </c>
      <c r="K53" s="482"/>
    </row>
    <row r="54" spans="1:11" ht="15">
      <c r="A54" s="304" t="s">
        <v>473</v>
      </c>
      <c r="B54" s="469" t="s">
        <v>547</v>
      </c>
      <c r="C54" s="470"/>
      <c r="D54" s="471"/>
      <c r="E54" s="471" t="s">
        <v>571</v>
      </c>
      <c r="F54" s="459">
        <f>+'[2]wages and fte calc'!$G$282</f>
        <v>67507.07999999997</v>
      </c>
      <c r="G54" s="459"/>
      <c r="H54" s="490">
        <f>+'[2]wages and fte calc'!$E$282</f>
        <v>2478</v>
      </c>
      <c r="I54" s="307">
        <f t="shared" si="0"/>
        <v>1.19</v>
      </c>
      <c r="K54" s="482"/>
    </row>
    <row r="55" spans="1:11" ht="15">
      <c r="A55" s="304" t="s">
        <v>597</v>
      </c>
      <c r="B55" s="469" t="s">
        <v>548</v>
      </c>
      <c r="C55" s="470"/>
      <c r="D55" s="471"/>
      <c r="E55" s="471" t="s">
        <v>571</v>
      </c>
      <c r="F55" s="459">
        <f>+'[2]wages and fte calc'!$G$283</f>
        <v>67507.07999999997</v>
      </c>
      <c r="G55" s="459"/>
      <c r="H55" s="490">
        <f>+'[2]wages and fte calc'!$E$283</f>
        <v>2374</v>
      </c>
      <c r="I55" s="307">
        <f t="shared" si="0"/>
        <v>1.14</v>
      </c>
      <c r="K55" s="482"/>
    </row>
    <row r="56" spans="1:11" ht="15">
      <c r="A56" s="304" t="s">
        <v>598</v>
      </c>
      <c r="B56" s="469" t="s">
        <v>549</v>
      </c>
      <c r="C56" s="470"/>
      <c r="D56" s="471"/>
      <c r="E56" s="471" t="s">
        <v>571</v>
      </c>
      <c r="F56" s="459">
        <f>+'[2]wages and fte calc'!$G$285</f>
        <v>39110.45000000001</v>
      </c>
      <c r="G56" s="459"/>
      <c r="H56" s="490">
        <f>+'[2]wages and fte calc'!$E$285</f>
        <v>1077.5</v>
      </c>
      <c r="I56" s="307">
        <f t="shared" si="0"/>
        <v>0.52</v>
      </c>
      <c r="K56" s="482"/>
    </row>
    <row r="57" spans="1:11" ht="15">
      <c r="A57" s="304" t="s">
        <v>599</v>
      </c>
      <c r="B57" s="469" t="s">
        <v>550</v>
      </c>
      <c r="C57" s="470"/>
      <c r="D57" s="471"/>
      <c r="E57" s="471" t="s">
        <v>571</v>
      </c>
      <c r="F57" s="459">
        <f>+'[2]wages and fte calc'!$G$288</f>
        <v>65980.07999999997</v>
      </c>
      <c r="G57" s="459"/>
      <c r="H57" s="490">
        <f>+'[2]wages and fte calc'!$E$288</f>
        <v>2125</v>
      </c>
      <c r="I57" s="307">
        <f t="shared" si="0"/>
        <v>1.02</v>
      </c>
      <c r="K57" s="482"/>
    </row>
    <row r="58" spans="1:11" ht="15">
      <c r="A58" s="304" t="s">
        <v>600</v>
      </c>
      <c r="B58" s="469" t="s">
        <v>551</v>
      </c>
      <c r="C58" s="470"/>
      <c r="D58" s="471"/>
      <c r="E58" s="471" t="s">
        <v>571</v>
      </c>
      <c r="F58" s="459">
        <f>+'[2]wages and fte calc'!$G$290</f>
        <v>37505.00000000001</v>
      </c>
      <c r="G58" s="459"/>
      <c r="H58" s="490">
        <f>+'[2]wages and fte calc'!$E$290</f>
        <v>1143.5</v>
      </c>
      <c r="I58" s="307">
        <f t="shared" si="0"/>
        <v>0.55</v>
      </c>
      <c r="K58" s="482"/>
    </row>
    <row r="59" spans="1:11" ht="15">
      <c r="A59" s="304" t="s">
        <v>601</v>
      </c>
      <c r="B59" s="469" t="s">
        <v>552</v>
      </c>
      <c r="C59" s="470"/>
      <c r="D59" s="471"/>
      <c r="E59" s="471" t="s">
        <v>571</v>
      </c>
      <c r="F59" s="459">
        <f>+'[2]wages and fte calc'!$G$293</f>
        <v>67507.07999999997</v>
      </c>
      <c r="G59" s="459"/>
      <c r="H59" s="490">
        <f>+'[2]wages and fte calc'!$E$293</f>
        <v>2000</v>
      </c>
      <c r="I59" s="307">
        <f t="shared" si="0"/>
        <v>0.96</v>
      </c>
      <c r="K59" s="482"/>
    </row>
    <row r="60" spans="1:11" ht="15">
      <c r="A60" s="304" t="s">
        <v>605</v>
      </c>
      <c r="B60" s="469" t="s">
        <v>553</v>
      </c>
      <c r="C60" s="470"/>
      <c r="D60" s="471"/>
      <c r="E60" s="471" t="s">
        <v>571</v>
      </c>
      <c r="F60" s="459">
        <f>+'[2]wages and fte calc'!$G$294</f>
        <v>39126.750000000015</v>
      </c>
      <c r="G60" s="459"/>
      <c r="H60" s="490">
        <f>+'[2]wages and fte calc'!$E$294</f>
        <v>1086</v>
      </c>
      <c r="I60" s="307">
        <f t="shared" si="0"/>
        <v>0.52</v>
      </c>
      <c r="K60" s="482"/>
    </row>
    <row r="61" spans="1:11" ht="15">
      <c r="A61" s="304" t="s">
        <v>602</v>
      </c>
      <c r="B61" s="469" t="s">
        <v>554</v>
      </c>
      <c r="C61" s="470"/>
      <c r="D61" s="471"/>
      <c r="E61" s="471" t="s">
        <v>571</v>
      </c>
      <c r="F61" s="459">
        <f>+'[2]wages and fte calc'!$G$295</f>
        <v>39110.45000000001</v>
      </c>
      <c r="G61" s="459"/>
      <c r="H61" s="490">
        <f>+'[2]wages and fte calc'!$E$295</f>
        <v>1248.5</v>
      </c>
      <c r="I61" s="307">
        <f t="shared" si="0"/>
        <v>0.6</v>
      </c>
      <c r="K61" s="482"/>
    </row>
    <row r="62" spans="1:11" ht="15">
      <c r="A62" s="304" t="s">
        <v>603</v>
      </c>
      <c r="B62" s="469" t="s">
        <v>555</v>
      </c>
      <c r="C62" s="470"/>
      <c r="D62" s="471"/>
      <c r="E62" s="471" t="s">
        <v>571</v>
      </c>
      <c r="F62" s="459">
        <f>+'[2]wages and fte calc'!$G$297</f>
        <v>67544.57999999997</v>
      </c>
      <c r="G62" s="459"/>
      <c r="H62" s="490">
        <f>+'[2]wages and fte calc'!$E$297</f>
        <v>2221.5</v>
      </c>
      <c r="I62" s="307">
        <f t="shared" si="0"/>
        <v>1.07</v>
      </c>
      <c r="K62" s="482"/>
    </row>
    <row r="63" spans="1:11" ht="14.25">
      <c r="A63" s="304" t="s">
        <v>604</v>
      </c>
      <c r="B63" s="469" t="s">
        <v>556</v>
      </c>
      <c r="C63" s="470"/>
      <c r="D63" s="471"/>
      <c r="E63" s="471" t="s">
        <v>571</v>
      </c>
      <c r="F63" s="459">
        <f>+'[2]wages and fte calc'!$G$298</f>
        <v>65980.07999999997</v>
      </c>
      <c r="G63" s="459"/>
      <c r="H63" s="490">
        <f>+'[2]wages and fte calc'!$E$298</f>
        <v>2247</v>
      </c>
      <c r="I63" s="307">
        <f t="shared" si="0"/>
        <v>1.08</v>
      </c>
      <c r="K63" s="481"/>
    </row>
    <row r="64" spans="1:11" ht="14.25">
      <c r="A64" s="304" t="s">
        <v>606</v>
      </c>
      <c r="B64" s="469" t="s">
        <v>557</v>
      </c>
      <c r="C64" s="470"/>
      <c r="D64" s="471"/>
      <c r="E64" s="471" t="s">
        <v>571</v>
      </c>
      <c r="F64" s="459">
        <f>+'[2]wages and fte calc'!$G$303</f>
        <v>73780.07999999999</v>
      </c>
      <c r="G64" s="459"/>
      <c r="H64" s="490">
        <f>+'[2]wages and fte calc'!$E$303</f>
        <v>2466</v>
      </c>
      <c r="I64" s="307">
        <f t="shared" si="0"/>
        <v>1.19</v>
      </c>
      <c r="K64" s="481"/>
    </row>
    <row r="65" spans="1:11" ht="14.25">
      <c r="A65" s="304" t="s">
        <v>607</v>
      </c>
      <c r="B65" s="469" t="s">
        <v>558</v>
      </c>
      <c r="C65" s="470"/>
      <c r="D65" s="471"/>
      <c r="E65" s="471" t="s">
        <v>571</v>
      </c>
      <c r="F65" s="459">
        <f>+'[2]wages and fte calc'!$G$305</f>
        <v>67507.07999999997</v>
      </c>
      <c r="G65" s="459"/>
      <c r="H65" s="490">
        <f>+'[2]wages and fte calc'!$E$305</f>
        <v>2410.25</v>
      </c>
      <c r="I65" s="307">
        <f t="shared" si="0"/>
        <v>1.16</v>
      </c>
      <c r="K65" s="481"/>
    </row>
    <row r="66" spans="1:11" ht="14.25">
      <c r="A66" s="304" t="s">
        <v>608</v>
      </c>
      <c r="B66" s="469" t="s">
        <v>559</v>
      </c>
      <c r="C66" s="470"/>
      <c r="D66" s="471"/>
      <c r="E66" s="471" t="s">
        <v>571</v>
      </c>
      <c r="F66" s="459">
        <f>+'[2]wages and fte calc'!$G$306</f>
        <v>67507.07999999997</v>
      </c>
      <c r="G66" s="459"/>
      <c r="H66" s="490">
        <f>+'[2]wages and fte calc'!$E$306</f>
        <v>2430</v>
      </c>
      <c r="I66" s="307">
        <f t="shared" si="0"/>
        <v>1.17</v>
      </c>
      <c r="K66" s="481"/>
    </row>
    <row r="67" spans="1:11" ht="14.25">
      <c r="A67" s="304" t="s">
        <v>609</v>
      </c>
      <c r="B67" s="469" t="s">
        <v>560</v>
      </c>
      <c r="C67" s="470"/>
      <c r="D67" s="471"/>
      <c r="E67" s="471" t="s">
        <v>571</v>
      </c>
      <c r="F67" s="459">
        <f>+'[2]wages and fte calc'!$G$311</f>
        <v>65980.07999999997</v>
      </c>
      <c r="G67" s="459"/>
      <c r="H67" s="490">
        <f>+'[2]wages and fte calc'!$E$311</f>
        <v>2311.5</v>
      </c>
      <c r="I67" s="307">
        <f t="shared" si="0"/>
        <v>1.11</v>
      </c>
      <c r="K67" s="481"/>
    </row>
    <row r="68" spans="1:11" ht="14.25">
      <c r="A68" s="304" t="s">
        <v>610</v>
      </c>
      <c r="B68" s="469" t="s">
        <v>561</v>
      </c>
      <c r="C68" s="470"/>
      <c r="D68" s="471"/>
      <c r="E68" s="471" t="s">
        <v>571</v>
      </c>
      <c r="F68" s="459">
        <f>+'[2]wages and fte calc'!$G$314</f>
        <v>32850</v>
      </c>
      <c r="G68" s="459"/>
      <c r="H68" s="490">
        <f>+'[2]wages and fte calc'!$E$314</f>
        <v>1087.5</v>
      </c>
      <c r="I68" s="307">
        <f t="shared" si="0"/>
        <v>0.52</v>
      </c>
      <c r="K68" s="481"/>
    </row>
    <row r="69" spans="1:11" ht="14.25">
      <c r="A69" s="304" t="s">
        <v>612</v>
      </c>
      <c r="B69" s="469" t="s">
        <v>562</v>
      </c>
      <c r="C69" s="470"/>
      <c r="D69" s="471"/>
      <c r="E69" s="471" t="s">
        <v>571</v>
      </c>
      <c r="F69" s="459">
        <f>+'[2]wages and fte calc'!$G$315</f>
        <v>67507.07999999997</v>
      </c>
      <c r="G69" s="459"/>
      <c r="H69" s="490">
        <f>+'[2]wages and fte calc'!$E$315</f>
        <v>2593.5</v>
      </c>
      <c r="I69" s="307">
        <f t="shared" si="0"/>
        <v>1.25</v>
      </c>
      <c r="K69" s="481"/>
    </row>
    <row r="70" spans="1:11" ht="14.25">
      <c r="A70" s="304" t="s">
        <v>611</v>
      </c>
      <c r="B70" s="469" t="s">
        <v>563</v>
      </c>
      <c r="C70" s="470"/>
      <c r="D70" s="471"/>
      <c r="E70" s="471" t="s">
        <v>571</v>
      </c>
      <c r="F70" s="459">
        <f>+'[2]wages and fte calc'!$G$316</f>
        <v>39110.45000000001</v>
      </c>
      <c r="G70" s="459"/>
      <c r="H70" s="490">
        <f>+'[2]wages and fte calc'!$E$316</f>
        <v>1144.25</v>
      </c>
      <c r="I70" s="307">
        <f t="shared" si="0"/>
        <v>0.55</v>
      </c>
      <c r="K70" s="481"/>
    </row>
    <row r="71" spans="1:11" ht="14.25">
      <c r="A71" s="304" t="s">
        <v>613</v>
      </c>
      <c r="B71" s="469" t="s">
        <v>564</v>
      </c>
      <c r="C71" s="470"/>
      <c r="D71" s="471"/>
      <c r="E71" s="471" t="s">
        <v>571</v>
      </c>
      <c r="F71" s="459">
        <f>+'[2]wages and fte calc'!$G$321</f>
        <v>39110.45000000001</v>
      </c>
      <c r="G71" s="459"/>
      <c r="H71" s="490">
        <f>+'[2]wages and fte calc'!$E$321</f>
        <v>1414.5</v>
      </c>
      <c r="I71" s="307">
        <f t="shared" si="0"/>
        <v>0.68</v>
      </c>
      <c r="K71" s="481"/>
    </row>
    <row r="72" spans="1:11" ht="14.25">
      <c r="A72" s="304" t="s">
        <v>614</v>
      </c>
      <c r="B72" s="469" t="s">
        <v>572</v>
      </c>
      <c r="C72" s="470"/>
      <c r="D72" s="471"/>
      <c r="E72" s="471" t="s">
        <v>571</v>
      </c>
      <c r="F72" s="459">
        <f>+'[2]wages and fte calc'!$G$324</f>
        <v>67507.07999999997</v>
      </c>
      <c r="G72" s="459"/>
      <c r="H72" s="490">
        <f>+'[2]wages and fte calc'!$E$324</f>
        <v>2310.5</v>
      </c>
      <c r="I72" s="307">
        <f t="shared" si="0"/>
        <v>1.11</v>
      </c>
      <c r="K72" s="481"/>
    </row>
    <row r="73" spans="1:9" ht="24.75" customHeight="1" thickBot="1">
      <c r="A73" s="309"/>
      <c r="B73" s="658" t="s">
        <v>243</v>
      </c>
      <c r="C73" s="659"/>
      <c r="D73" s="660"/>
      <c r="E73" s="310"/>
      <c r="F73" s="311">
        <f>SUM(F19:F72)</f>
        <v>4144079.1400000025</v>
      </c>
      <c r="G73" s="311">
        <f>SUM(G19:G72)</f>
        <v>23802</v>
      </c>
      <c r="H73" s="311">
        <f>SUM(H19:H72)</f>
        <v>88871.8</v>
      </c>
      <c r="I73" s="465">
        <f>SUM(I19:I72)</f>
        <v>42.699999999999996</v>
      </c>
    </row>
    <row r="74" spans="1:9" ht="15" thickTop="1">
      <c r="A74" s="309"/>
      <c r="B74" s="661"/>
      <c r="C74" s="661"/>
      <c r="D74" s="661"/>
      <c r="E74" s="313"/>
      <c r="F74" s="314"/>
      <c r="G74" s="315"/>
      <c r="H74" s="314"/>
      <c r="I74" s="316"/>
    </row>
    <row r="75" spans="1:9" ht="14.25">
      <c r="A75" s="317" t="s">
        <v>155</v>
      </c>
      <c r="B75" s="662" t="s">
        <v>244</v>
      </c>
      <c r="C75" s="662"/>
      <c r="D75" s="662"/>
      <c r="E75" s="318"/>
      <c r="F75" s="301"/>
      <c r="G75" s="301"/>
      <c r="H75" s="319"/>
      <c r="I75" s="320"/>
    </row>
    <row r="76" spans="1:9" ht="14.25">
      <c r="A76" s="304" t="s">
        <v>7</v>
      </c>
      <c r="B76" s="631"/>
      <c r="C76" s="632"/>
      <c r="D76" s="633"/>
      <c r="E76" s="324"/>
      <c r="F76" s="325"/>
      <c r="G76" s="326"/>
      <c r="H76" s="325"/>
      <c r="I76" s="327">
        <f>ROUND(H76/2080,2)</f>
        <v>0</v>
      </c>
    </row>
    <row r="77" spans="1:9" ht="14.25">
      <c r="A77" s="304" t="s">
        <v>19</v>
      </c>
      <c r="B77" s="631"/>
      <c r="C77" s="632"/>
      <c r="D77" s="633"/>
      <c r="E77" s="305"/>
      <c r="F77" s="306"/>
      <c r="G77" s="308"/>
      <c r="H77" s="306"/>
      <c r="I77" s="327">
        <f>ROUND(H77/2080,2)</f>
        <v>0</v>
      </c>
    </row>
    <row r="78" spans="1:9" ht="14.25">
      <c r="A78" s="304" t="s">
        <v>152</v>
      </c>
      <c r="B78" s="631"/>
      <c r="C78" s="632"/>
      <c r="D78" s="633"/>
      <c r="E78" s="305"/>
      <c r="F78" s="306"/>
      <c r="G78" s="308"/>
      <c r="H78" s="306"/>
      <c r="I78" s="327">
        <f>ROUND(H78/2080,2)</f>
        <v>0</v>
      </c>
    </row>
    <row r="79" spans="1:9" ht="24.75" customHeight="1" thickBot="1">
      <c r="A79" s="328"/>
      <c r="B79" s="655" t="s">
        <v>245</v>
      </c>
      <c r="C79" s="656"/>
      <c r="D79" s="657"/>
      <c r="E79" s="329"/>
      <c r="F79" s="311">
        <f>SUM(F76:F78)</f>
        <v>0</v>
      </c>
      <c r="G79" s="311">
        <f>SUM(G76:G78)</f>
        <v>0</v>
      </c>
      <c r="H79" s="311">
        <f>SUM(H76:H78)</f>
        <v>0</v>
      </c>
      <c r="I79" s="312">
        <f>SUM(I76:I78)</f>
        <v>0</v>
      </c>
    </row>
    <row r="80" ht="15" thickTop="1"/>
    <row r="81" spans="6:8" ht="14.25">
      <c r="F81" s="487"/>
      <c r="G81" s="513"/>
      <c r="H81" s="513"/>
    </row>
    <row r="82" ht="14.25">
      <c r="F82" s="487"/>
    </row>
    <row r="83" ht="14.25">
      <c r="F83" s="487"/>
    </row>
    <row r="84" ht="14.25">
      <c r="F84" s="487"/>
    </row>
    <row r="85" spans="6:9" ht="14.25">
      <c r="F85" s="487"/>
      <c r="H85" s="479"/>
      <c r="I85" s="480"/>
    </row>
    <row r="86" ht="14.25">
      <c r="E86" s="488"/>
    </row>
  </sheetData>
  <sheetProtection/>
  <mergeCells count="38">
    <mergeCell ref="B79:D79"/>
    <mergeCell ref="B26:D26"/>
    <mergeCell ref="B73:D73"/>
    <mergeCell ref="B74:D74"/>
    <mergeCell ref="B75:D75"/>
    <mergeCell ref="B28:D28"/>
    <mergeCell ref="B32:D32"/>
    <mergeCell ref="B33:D33"/>
    <mergeCell ref="B35:D35"/>
    <mergeCell ref="B37:D37"/>
    <mergeCell ref="B27:D27"/>
    <mergeCell ref="B36:D36"/>
    <mergeCell ref="B77:D77"/>
    <mergeCell ref="B78:D78"/>
    <mergeCell ref="B38:D38"/>
    <mergeCell ref="B39:D39"/>
    <mergeCell ref="B30:D30"/>
    <mergeCell ref="B31:D31"/>
    <mergeCell ref="B18:D18"/>
    <mergeCell ref="B19:D19"/>
    <mergeCell ref="B20:D20"/>
    <mergeCell ref="B76:D76"/>
    <mergeCell ref="B21:D21"/>
    <mergeCell ref="B22:D22"/>
    <mergeCell ref="B23:D23"/>
    <mergeCell ref="B24:D24"/>
    <mergeCell ref="B25:D25"/>
    <mergeCell ref="B34:D34"/>
    <mergeCell ref="A1:I1"/>
    <mergeCell ref="A2:I2"/>
    <mergeCell ref="A3:I3"/>
    <mergeCell ref="A4:I4"/>
    <mergeCell ref="C8:H8"/>
    <mergeCell ref="B29:D29"/>
    <mergeCell ref="A12:I12"/>
    <mergeCell ref="A13:D15"/>
    <mergeCell ref="H13:I13"/>
    <mergeCell ref="B17:D17"/>
  </mergeCells>
  <printOptions horizontalCentered="1" verticalCentered="1"/>
  <pageMargins left="0.25" right="0.25" top="0.75" bottom="0.75" header="0.3" footer="0.3"/>
  <pageSetup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25">
      <selection activeCell="B92" sqref="B92:I105"/>
    </sheetView>
  </sheetViews>
  <sheetFormatPr defaultColWidth="9.140625" defaultRowHeight="15"/>
  <cols>
    <col min="1" max="1" width="3.57421875" style="272" customWidth="1"/>
    <col min="2" max="3" width="16.421875" style="260" customWidth="1"/>
    <col min="4" max="4" width="15.421875" style="260" customWidth="1"/>
    <col min="5" max="5" width="11.421875" style="260" customWidth="1"/>
    <col min="6" max="6" width="16.421875" style="260" customWidth="1"/>
    <col min="7" max="7" width="13.57421875" style="260" customWidth="1"/>
    <col min="8" max="8" width="17.7109375" style="260" customWidth="1"/>
    <col min="9" max="9" width="16.57421875" style="260" customWidth="1"/>
    <col min="10" max="16384" width="9.140625" style="260" customWidth="1"/>
  </cols>
  <sheetData>
    <row r="1" spans="1:18" ht="14.25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2"/>
      <c r="K1" s="52"/>
      <c r="L1" s="52"/>
      <c r="M1" s="52"/>
      <c r="N1" s="52"/>
      <c r="O1" s="52"/>
      <c r="P1" s="52"/>
      <c r="Q1" s="52"/>
      <c r="R1" s="52"/>
    </row>
    <row r="2" spans="1:18" ht="14.25">
      <c r="A2" s="575" t="s">
        <v>1</v>
      </c>
      <c r="B2" s="575"/>
      <c r="C2" s="575"/>
      <c r="D2" s="575"/>
      <c r="E2" s="575"/>
      <c r="F2" s="575"/>
      <c r="G2" s="575"/>
      <c r="H2" s="575"/>
      <c r="I2" s="575"/>
      <c r="J2" s="52"/>
      <c r="K2" s="52"/>
      <c r="L2" s="52"/>
      <c r="M2" s="52"/>
      <c r="N2" s="52"/>
      <c r="O2" s="52"/>
      <c r="P2" s="52"/>
      <c r="Q2" s="52"/>
      <c r="R2" s="52"/>
    </row>
    <row r="3" spans="1:18" ht="14.25">
      <c r="A3" s="575" t="s">
        <v>3</v>
      </c>
      <c r="B3" s="575"/>
      <c r="C3" s="575"/>
      <c r="D3" s="575"/>
      <c r="E3" s="575"/>
      <c r="F3" s="575"/>
      <c r="G3" s="575"/>
      <c r="H3" s="575"/>
      <c r="I3" s="575"/>
      <c r="J3" s="52"/>
      <c r="K3" s="52"/>
      <c r="L3" s="52"/>
      <c r="M3" s="52"/>
      <c r="N3" s="52"/>
      <c r="O3" s="52"/>
      <c r="P3" s="52"/>
      <c r="Q3" s="52"/>
      <c r="R3" s="52"/>
    </row>
    <row r="4" spans="1:18" ht="14.25">
      <c r="A4" s="575" t="s">
        <v>4</v>
      </c>
      <c r="B4" s="575"/>
      <c r="C4" s="575"/>
      <c r="D4" s="575"/>
      <c r="E4" s="575"/>
      <c r="F4" s="575"/>
      <c r="G4" s="575"/>
      <c r="H4" s="575"/>
      <c r="I4" s="575"/>
      <c r="J4" s="52"/>
      <c r="K4" s="52"/>
      <c r="L4" s="52"/>
      <c r="M4" s="52"/>
      <c r="N4" s="52"/>
      <c r="O4" s="52"/>
      <c r="P4" s="52"/>
      <c r="Q4" s="52"/>
      <c r="R4" s="52"/>
    </row>
    <row r="5" spans="1:18" ht="15" thickBot="1">
      <c r="A5" s="175"/>
      <c r="B5" s="2"/>
      <c r="C5" s="2"/>
      <c r="D5" s="2"/>
      <c r="E5" s="2"/>
      <c r="F5" s="53"/>
      <c r="G5" s="53"/>
      <c r="H5" s="53"/>
      <c r="I5" s="53"/>
      <c r="J5" s="53"/>
      <c r="K5" s="505"/>
      <c r="L5" s="53"/>
      <c r="M5" s="53"/>
      <c r="N5" s="53"/>
      <c r="O5" s="53"/>
      <c r="P5" s="53"/>
      <c r="Q5" s="53"/>
      <c r="R5" s="53"/>
    </row>
    <row r="6" spans="1:17" ht="14.25">
      <c r="A6" s="176"/>
      <c r="B6" s="55" t="s">
        <v>49</v>
      </c>
      <c r="C6" s="55"/>
      <c r="D6" s="261"/>
      <c r="E6" s="56" t="s">
        <v>23</v>
      </c>
      <c r="F6" s="262">
        <f>'[1]P1 Info &amp; Certification'!L20</f>
        <v>43831</v>
      </c>
      <c r="G6" s="263"/>
      <c r="H6" s="75" t="str">
        <f>'[1]P1 Info &amp; Certification'!M20</f>
        <v>To</v>
      </c>
      <c r="I6" s="264">
        <f>'[1]P1 Info &amp; Certification'!N20</f>
        <v>44196</v>
      </c>
      <c r="J6" s="265"/>
      <c r="K6" s="510"/>
      <c r="L6" s="2"/>
      <c r="M6" s="76"/>
      <c r="N6" s="60"/>
      <c r="O6" s="265"/>
      <c r="P6" s="265"/>
      <c r="Q6" s="60"/>
    </row>
    <row r="7" spans="1:17" ht="14.25">
      <c r="A7" s="267"/>
      <c r="B7" s="60"/>
      <c r="C7" s="60"/>
      <c r="D7" s="60"/>
      <c r="E7" s="60"/>
      <c r="F7" s="2"/>
      <c r="G7" s="2"/>
      <c r="H7" s="2"/>
      <c r="I7" s="62"/>
      <c r="J7" s="2"/>
      <c r="K7" s="2"/>
      <c r="L7" s="2"/>
      <c r="M7" s="2"/>
      <c r="N7" s="2"/>
      <c r="O7" s="2"/>
      <c r="P7" s="2"/>
      <c r="Q7" s="2"/>
    </row>
    <row r="8" spans="1:17" ht="22.5" customHeight="1" thickBot="1">
      <c r="A8" s="178"/>
      <c r="B8" s="64" t="s">
        <v>50</v>
      </c>
      <c r="C8" s="577" t="str">
        <f>'[1]P1 Info &amp; Certification'!E12</f>
        <v>CIFC Inc./ Greater Danbury Community Health Center</v>
      </c>
      <c r="D8" s="577"/>
      <c r="E8" s="577"/>
      <c r="F8" s="577"/>
      <c r="G8" s="577"/>
      <c r="H8" s="577"/>
      <c r="I8" s="81"/>
      <c r="J8" s="268"/>
      <c r="K8" s="507"/>
      <c r="L8" s="268"/>
      <c r="M8" s="268"/>
      <c r="N8" s="268"/>
      <c r="O8" s="268"/>
      <c r="P8" s="268"/>
      <c r="Q8" s="268"/>
    </row>
    <row r="9" spans="1:17" ht="14.25">
      <c r="A9" s="269"/>
      <c r="B9" s="270"/>
      <c r="C9" s="270"/>
      <c r="D9" s="270"/>
      <c r="E9" s="270"/>
      <c r="F9" s="270"/>
      <c r="G9" s="270"/>
      <c r="H9" s="270"/>
      <c r="I9" s="270"/>
      <c r="J9" s="271"/>
      <c r="K9" s="508"/>
      <c r="L9" s="271"/>
      <c r="M9" s="271"/>
      <c r="N9" s="271"/>
      <c r="O9" s="271"/>
      <c r="P9" s="271"/>
      <c r="Q9" s="271"/>
    </row>
    <row r="11" ht="15" thickBot="1">
      <c r="I11" s="273" t="s">
        <v>246</v>
      </c>
    </row>
    <row r="12" spans="1:9" ht="15">
      <c r="A12" s="634" t="s">
        <v>228</v>
      </c>
      <c r="B12" s="635"/>
      <c r="C12" s="635"/>
      <c r="D12" s="635"/>
      <c r="E12" s="635"/>
      <c r="F12" s="635"/>
      <c r="G12" s="635"/>
      <c r="H12" s="635"/>
      <c r="I12" s="637"/>
    </row>
    <row r="13" spans="1:9" ht="14.25">
      <c r="A13" s="638" t="s">
        <v>229</v>
      </c>
      <c r="B13" s="639"/>
      <c r="C13" s="639"/>
      <c r="D13" s="639"/>
      <c r="E13" s="274"/>
      <c r="F13" s="275"/>
      <c r="G13" s="276"/>
      <c r="H13" s="644" t="s">
        <v>230</v>
      </c>
      <c r="I13" s="645"/>
    </row>
    <row r="14" spans="1:9" ht="14.25">
      <c r="A14" s="640"/>
      <c r="B14" s="641"/>
      <c r="C14" s="641"/>
      <c r="D14" s="641"/>
      <c r="E14" s="277"/>
      <c r="F14" s="278"/>
      <c r="G14" s="279"/>
      <c r="H14" s="280" t="s">
        <v>231</v>
      </c>
      <c r="I14" s="281" t="s">
        <v>232</v>
      </c>
    </row>
    <row r="15" spans="1:9" ht="14.25">
      <c r="A15" s="642"/>
      <c r="B15" s="643"/>
      <c r="C15" s="643"/>
      <c r="D15" s="643"/>
      <c r="E15" s="282" t="s">
        <v>233</v>
      </c>
      <c r="F15" s="283" t="s">
        <v>234</v>
      </c>
      <c r="G15" s="284" t="s">
        <v>235</v>
      </c>
      <c r="H15" s="285" t="s">
        <v>236</v>
      </c>
      <c r="I15" s="286" t="s">
        <v>237</v>
      </c>
    </row>
    <row r="16" spans="1:9" ht="14.25">
      <c r="A16" s="287"/>
      <c r="B16" s="288"/>
      <c r="C16" s="288"/>
      <c r="D16" s="288"/>
      <c r="E16" s="289" t="s">
        <v>111</v>
      </c>
      <c r="F16" s="290" t="s">
        <v>112</v>
      </c>
      <c r="G16" s="291" t="s">
        <v>113</v>
      </c>
      <c r="H16" s="292" t="s">
        <v>114</v>
      </c>
      <c r="I16" s="293" t="s">
        <v>115</v>
      </c>
    </row>
    <row r="17" spans="1:9" ht="26.25">
      <c r="A17" s="294"/>
      <c r="B17" s="646" t="s">
        <v>238</v>
      </c>
      <c r="C17" s="647"/>
      <c r="D17" s="647"/>
      <c r="E17" s="330" t="s">
        <v>239</v>
      </c>
      <c r="F17" s="331">
        <v>125000</v>
      </c>
      <c r="G17" s="331">
        <v>1500</v>
      </c>
      <c r="H17" s="331">
        <v>1040</v>
      </c>
      <c r="I17" s="332">
        <f>H17/2080</f>
        <v>0.5</v>
      </c>
    </row>
    <row r="18" spans="1:9" ht="14.25">
      <c r="A18" s="299" t="s">
        <v>174</v>
      </c>
      <c r="B18" s="663" t="s">
        <v>247</v>
      </c>
      <c r="C18" s="664"/>
      <c r="D18" s="664"/>
      <c r="E18" s="318"/>
      <c r="F18" s="301"/>
      <c r="G18" s="301"/>
      <c r="H18" s="319"/>
      <c r="I18" s="320"/>
    </row>
    <row r="19" spans="1:9" ht="14.25">
      <c r="A19" s="461" t="s">
        <v>7</v>
      </c>
      <c r="B19" s="649" t="s">
        <v>582</v>
      </c>
      <c r="C19" s="650"/>
      <c r="D19" s="650"/>
      <c r="E19" s="333" t="s">
        <v>400</v>
      </c>
      <c r="F19" s="334">
        <f>+'[2]wages and fte calc'!G$81+'[2]wages and fte calc'!G$132+'[2]wages and fte calc'!G$435</f>
        <v>96556.33</v>
      </c>
      <c r="G19" s="326">
        <f>+'[2]VISITS BY PROVIDER'!$AC$111+'[2]VISITS BY PROVIDER'!$T$48</f>
        <v>936</v>
      </c>
      <c r="H19" s="334">
        <f>+'[2]wages and fte calc'!E$81+'[2]wages and fte calc'!E$132+'[2]wages and fte calc'!E$435</f>
        <v>1955.8335286076936</v>
      </c>
      <c r="I19" s="327">
        <f>ROUND(H19/2080,2)</f>
        <v>0.94</v>
      </c>
    </row>
    <row r="20" spans="1:9" ht="14.25">
      <c r="A20" s="461" t="s">
        <v>19</v>
      </c>
      <c r="B20" s="649" t="s">
        <v>401</v>
      </c>
      <c r="C20" s="650"/>
      <c r="D20" s="650"/>
      <c r="E20" s="333" t="s">
        <v>400</v>
      </c>
      <c r="F20" s="335">
        <f>+'[2]wages and fte calc'!G$93+'[2]wages and fte calc'!G$146+'[2]wages and fte calc'!G$447</f>
        <v>78398.83</v>
      </c>
      <c r="G20" s="308">
        <f>+'[2]VISITS BY PROVIDER'!$AC$101</f>
        <v>686</v>
      </c>
      <c r="H20" s="335">
        <f>+'[2]wages and fte calc'!E$93+'[2]wages and fte calc'!E$146+'[2]wages and fte calc'!E$447</f>
        <v>1722.678617392473</v>
      </c>
      <c r="I20" s="327">
        <f>ROUND(H20/2080,2)</f>
        <v>0.83</v>
      </c>
    </row>
    <row r="21" spans="1:9" ht="14.25">
      <c r="A21" s="461" t="s">
        <v>152</v>
      </c>
      <c r="B21" s="649" t="s">
        <v>402</v>
      </c>
      <c r="C21" s="650"/>
      <c r="D21" s="650"/>
      <c r="E21" s="333" t="s">
        <v>400</v>
      </c>
      <c r="F21" s="335">
        <f>+'[2]wages and fte calc'!G$105+'[2]wages and fte calc'!G$154+'[2]wages and fte calc'!G$434</f>
        <v>80170.43</v>
      </c>
      <c r="G21" s="308">
        <f>+'[2]VISITS BY PROVIDER'!$AC$109+'[2]VISITS BY PROVIDER'!$T$47</f>
        <v>787</v>
      </c>
      <c r="H21" s="335">
        <f>+'[2]wages and fte calc'!E$105+'[2]wages and fte calc'!E$154+'[2]wages and fte calc'!E$434</f>
        <v>1745.2499999999995</v>
      </c>
      <c r="I21" s="327">
        <f>ROUND(H21/2080,2)</f>
        <v>0.84</v>
      </c>
    </row>
    <row r="22" spans="1:9" ht="14.25">
      <c r="A22" s="461" t="s">
        <v>28</v>
      </c>
      <c r="B22" s="649" t="s">
        <v>403</v>
      </c>
      <c r="C22" s="650"/>
      <c r="D22" s="650"/>
      <c r="E22" s="333" t="s">
        <v>400</v>
      </c>
      <c r="F22" s="335">
        <f>+'[2]wages and fte calc'!G$130+'[2]wages and fte calc'!G$444</f>
        <v>44850.770000000004</v>
      </c>
      <c r="G22" s="308">
        <f>+'[2]VISITS BY PROVIDER'!$T$41+'[2]VISITS BY PROVIDER'!$AC$103</f>
        <v>227</v>
      </c>
      <c r="H22" s="335">
        <f>+'[2]wages and fte calc'!E$130+'[2]wages and fte calc'!E$444</f>
        <v>1038.75</v>
      </c>
      <c r="I22" s="327">
        <f>ROUND(H22/2080,2)</f>
        <v>0.5</v>
      </c>
    </row>
    <row r="23" spans="1:9" ht="14.25">
      <c r="A23" s="461" t="s">
        <v>38</v>
      </c>
      <c r="B23" s="649" t="s">
        <v>404</v>
      </c>
      <c r="C23" s="650"/>
      <c r="D23" s="650"/>
      <c r="E23" s="333" t="s">
        <v>400</v>
      </c>
      <c r="F23" s="335">
        <f>+'[2]wages and fte calc'!G$433+'[2]wages and fte calc'!G$153</f>
        <v>67142.46999999999</v>
      </c>
      <c r="G23" s="308">
        <f>+'[2]VISITS BY PROVIDER'!$T$42+'[2]VISITS BY PROVIDER'!$AC$102</f>
        <v>428</v>
      </c>
      <c r="H23" s="335">
        <f>+'[2]wages and fte calc'!E$433+'[2]wages and fte calc'!E$153</f>
        <v>1611.67</v>
      </c>
      <c r="I23" s="327">
        <f>ROUND(H23/2080,2)</f>
        <v>0.77</v>
      </c>
    </row>
    <row r="24" spans="1:9" ht="14.25">
      <c r="A24" s="461" t="s">
        <v>44</v>
      </c>
      <c r="B24" s="386" t="s">
        <v>405</v>
      </c>
      <c r="C24" s="387"/>
      <c r="D24" s="388"/>
      <c r="E24" s="333" t="s">
        <v>400</v>
      </c>
      <c r="F24" s="458">
        <f>+'[2]wages and fte calc'!G$108</f>
        <v>1235.03</v>
      </c>
      <c r="G24" s="459">
        <f>+'[2]VISITS BY PROVIDER'!$T$19</f>
        <v>18</v>
      </c>
      <c r="H24" s="458">
        <f>+'[2]wages and fte calc'!E$108</f>
        <v>22.5</v>
      </c>
      <c r="I24" s="327">
        <f aca="true" t="shared" si="0" ref="I24:I34">ROUND(H24/2080,2)</f>
        <v>0.01</v>
      </c>
    </row>
    <row r="25" spans="1:9" ht="14.25">
      <c r="A25" s="461" t="s">
        <v>51</v>
      </c>
      <c r="B25" s="456" t="s">
        <v>408</v>
      </c>
      <c r="C25" s="457"/>
      <c r="D25" s="457"/>
      <c r="E25" s="333" t="s">
        <v>406</v>
      </c>
      <c r="F25" s="458">
        <f>+'[2]wages and fte calc'!G$95+'[2]wages and fte calc'!G$272</f>
        <v>97237.26999999997</v>
      </c>
      <c r="G25" s="459"/>
      <c r="H25" s="458">
        <f>+'[2]wages and fte calc'!E$95+'[2]wages and fte calc'!E$272</f>
        <v>2008.19</v>
      </c>
      <c r="I25" s="327">
        <f t="shared" si="0"/>
        <v>0.97</v>
      </c>
    </row>
    <row r="26" spans="1:9" ht="14.25">
      <c r="A26" s="461" t="s">
        <v>81</v>
      </c>
      <c r="B26" s="456" t="s">
        <v>409</v>
      </c>
      <c r="C26" s="457"/>
      <c r="D26" s="457"/>
      <c r="E26" s="333" t="s">
        <v>406</v>
      </c>
      <c r="F26" s="458">
        <f>+'[2]wages and fte calc'!G$109+'[2]wages and fte calc'!G$300</f>
        <v>39392.79</v>
      </c>
      <c r="G26" s="459"/>
      <c r="H26" s="458">
        <f>+'[2]wages and fte calc'!E$109+'[2]wages and fte calc'!E$300</f>
        <v>1051.87</v>
      </c>
      <c r="I26" s="327">
        <f t="shared" si="0"/>
        <v>0.51</v>
      </c>
    </row>
    <row r="27" spans="1:9" ht="14.25">
      <c r="A27" s="461" t="s">
        <v>241</v>
      </c>
      <c r="B27" s="456" t="s">
        <v>410</v>
      </c>
      <c r="C27" s="457"/>
      <c r="D27" s="457"/>
      <c r="E27" s="333" t="s">
        <v>406</v>
      </c>
      <c r="F27" s="458">
        <f>+'[2]wages and fte calc'!G$128</f>
        <v>20167.550000000003</v>
      </c>
      <c r="G27" s="459"/>
      <c r="H27" s="458">
        <f>+'[2]wages and fte calc'!E$128</f>
        <v>498.17</v>
      </c>
      <c r="I27" s="327">
        <f t="shared" si="0"/>
        <v>0.24</v>
      </c>
    </row>
    <row r="28" spans="1:9" ht="14.25">
      <c r="A28" s="461" t="s">
        <v>242</v>
      </c>
      <c r="B28" s="456" t="s">
        <v>411</v>
      </c>
      <c r="C28" s="457"/>
      <c r="D28" s="457"/>
      <c r="E28" s="333" t="s">
        <v>406</v>
      </c>
      <c r="F28" s="458">
        <f>+'[2]wages and fte calc'!G$131</f>
        <v>56374.91999999997</v>
      </c>
      <c r="G28" s="459"/>
      <c r="H28" s="458">
        <f>+'[2]wages and fte calc'!E$131</f>
        <v>1830.41</v>
      </c>
      <c r="I28" s="327">
        <f t="shared" si="0"/>
        <v>0.88</v>
      </c>
    </row>
    <row r="29" spans="1:9" ht="14.25">
      <c r="A29" s="461" t="s">
        <v>364</v>
      </c>
      <c r="B29" s="456" t="s">
        <v>412</v>
      </c>
      <c r="C29" s="457"/>
      <c r="D29" s="457"/>
      <c r="E29" s="333" t="s">
        <v>406</v>
      </c>
      <c r="F29" s="458">
        <f>+'[2]wages and fte calc'!G$194</f>
        <v>31437.600000000002</v>
      </c>
      <c r="G29" s="459"/>
      <c r="H29" s="458">
        <f>+'[2]wages and fte calc'!E$194</f>
        <v>523.96</v>
      </c>
      <c r="I29" s="327">
        <f t="shared" si="0"/>
        <v>0.25</v>
      </c>
    </row>
    <row r="30" spans="1:9" ht="14.25">
      <c r="A30" s="461" t="s">
        <v>382</v>
      </c>
      <c r="B30" s="456" t="s">
        <v>413</v>
      </c>
      <c r="C30" s="457"/>
      <c r="D30" s="457"/>
      <c r="E30" s="333" t="s">
        <v>406</v>
      </c>
      <c r="F30" s="458">
        <f>+'[2]wages and fte calc'!G$296+'[2]wages and fte calc'!G$377</f>
        <v>67834.95000000001</v>
      </c>
      <c r="G30" s="459"/>
      <c r="H30" s="458">
        <f>+'[2]wages and fte calc'!E$296+'[2]wages and fte calc'!E$377</f>
        <v>1671.66</v>
      </c>
      <c r="I30" s="327">
        <f t="shared" si="0"/>
        <v>0.8</v>
      </c>
    </row>
    <row r="31" spans="1:9" ht="14.25">
      <c r="A31" s="461" t="s">
        <v>384</v>
      </c>
      <c r="B31" s="456" t="s">
        <v>414</v>
      </c>
      <c r="C31" s="457"/>
      <c r="D31" s="457"/>
      <c r="E31" s="333" t="s">
        <v>406</v>
      </c>
      <c r="F31" s="458">
        <f>+'[2]wages and fte calc'!G$375</f>
        <v>98052.13</v>
      </c>
      <c r="G31" s="459"/>
      <c r="H31" s="458">
        <f>+'[2]wages and fte calc'!E$375</f>
        <v>2038.73</v>
      </c>
      <c r="I31" s="327">
        <f t="shared" si="0"/>
        <v>0.98</v>
      </c>
    </row>
    <row r="32" spans="1:9" ht="14.25">
      <c r="A32" s="461" t="s">
        <v>386</v>
      </c>
      <c r="B32" s="456" t="s">
        <v>415</v>
      </c>
      <c r="C32" s="457"/>
      <c r="D32" s="457"/>
      <c r="E32" s="333" t="s">
        <v>406</v>
      </c>
      <c r="F32" s="458">
        <f>+'[2]wages and fte calc'!G$387</f>
        <v>51700.06</v>
      </c>
      <c r="G32" s="459"/>
      <c r="H32" s="458">
        <f>+'[2]wages and fte calc'!E$387</f>
        <v>1297</v>
      </c>
      <c r="I32" s="327">
        <f t="shared" si="0"/>
        <v>0.62</v>
      </c>
    </row>
    <row r="33" spans="1:9" ht="14.25">
      <c r="A33" s="461" t="s">
        <v>418</v>
      </c>
      <c r="B33" s="456" t="s">
        <v>416</v>
      </c>
      <c r="C33" s="457"/>
      <c r="D33" s="457"/>
      <c r="E33" s="333" t="s">
        <v>406</v>
      </c>
      <c r="F33" s="458">
        <f>+'[2]wages and fte calc'!G$404</f>
        <v>51843.920000000006</v>
      </c>
      <c r="G33" s="459"/>
      <c r="H33" s="458">
        <f>+'[2]wages and fte calc'!E$404</f>
        <v>1179.48</v>
      </c>
      <c r="I33" s="327">
        <f t="shared" si="0"/>
        <v>0.57</v>
      </c>
    </row>
    <row r="34" spans="1:9" ht="14.25">
      <c r="A34" s="461" t="s">
        <v>419</v>
      </c>
      <c r="B34" s="456" t="s">
        <v>417</v>
      </c>
      <c r="C34" s="457"/>
      <c r="D34" s="457"/>
      <c r="E34" s="333" t="s">
        <v>406</v>
      </c>
      <c r="F34" s="458">
        <f>+'[2]wages and fte calc'!G$415</f>
        <v>106357.5</v>
      </c>
      <c r="G34" s="459"/>
      <c r="H34" s="458">
        <f>+'[2]wages and fte calc'!E$415</f>
        <v>2166</v>
      </c>
      <c r="I34" s="327">
        <f t="shared" si="0"/>
        <v>1.04</v>
      </c>
    </row>
    <row r="35" spans="1:9" ht="24.75" customHeight="1" thickBot="1">
      <c r="A35" s="462"/>
      <c r="B35" s="658" t="s">
        <v>248</v>
      </c>
      <c r="C35" s="659"/>
      <c r="D35" s="659"/>
      <c r="E35" s="338"/>
      <c r="F35" s="339">
        <f>SUM(F19:F34)</f>
        <v>988752.5499999999</v>
      </c>
      <c r="G35" s="339">
        <f>SUM(G19:G34)</f>
        <v>3082</v>
      </c>
      <c r="H35" s="339">
        <f>SUM(H19:H34)</f>
        <v>22362.152146000168</v>
      </c>
      <c r="I35" s="312">
        <f>SUM(I19:I34)</f>
        <v>10.75</v>
      </c>
    </row>
    <row r="36" spans="1:9" ht="15" thickTop="1">
      <c r="A36" s="328"/>
      <c r="B36" s="340"/>
      <c r="C36" s="340"/>
      <c r="D36" s="340"/>
      <c r="E36" s="340"/>
      <c r="F36" s="341"/>
      <c r="G36" s="315"/>
      <c r="H36" s="314"/>
      <c r="I36" s="316"/>
    </row>
    <row r="37" spans="1:9" ht="14.25">
      <c r="A37" s="299" t="s">
        <v>183</v>
      </c>
      <c r="B37" s="662" t="s">
        <v>130</v>
      </c>
      <c r="C37" s="662"/>
      <c r="D37" s="662"/>
      <c r="E37" s="318"/>
      <c r="F37" s="301"/>
      <c r="G37" s="301"/>
      <c r="H37" s="319"/>
      <c r="I37" s="320"/>
    </row>
    <row r="38" spans="1:9" ht="14.25">
      <c r="A38" s="304" t="s">
        <v>7</v>
      </c>
      <c r="B38" s="665" t="s">
        <v>407</v>
      </c>
      <c r="C38" s="666"/>
      <c r="D38" s="667"/>
      <c r="E38" s="342"/>
      <c r="F38" s="325">
        <f>+'[2]Medicare grouping 2020'!$D$27</f>
        <v>923768</v>
      </c>
      <c r="G38" s="326">
        <f>+'[3]provider productivity'!$X$57</f>
        <v>16125.292000000001</v>
      </c>
      <c r="H38" s="325"/>
      <c r="I38" s="327">
        <f>ROUND(H38/2080,2)</f>
        <v>0</v>
      </c>
    </row>
    <row r="39" spans="1:9" ht="14.25">
      <c r="A39" s="304" t="s">
        <v>19</v>
      </c>
      <c r="B39" s="631"/>
      <c r="C39" s="632"/>
      <c r="D39" s="633"/>
      <c r="E39" s="323"/>
      <c r="F39" s="306"/>
      <c r="G39" s="308"/>
      <c r="H39" s="306"/>
      <c r="I39" s="327">
        <f>ROUND(H39/2080,2)</f>
        <v>0</v>
      </c>
    </row>
    <row r="40" spans="1:9" ht="14.25">
      <c r="A40" s="304" t="s">
        <v>152</v>
      </c>
      <c r="B40" s="631"/>
      <c r="C40" s="632"/>
      <c r="D40" s="633"/>
      <c r="E40" s="323"/>
      <c r="F40" s="306"/>
      <c r="G40" s="308"/>
      <c r="H40" s="306"/>
      <c r="I40" s="327">
        <f>ROUND(H40/2080,2)</f>
        <v>0</v>
      </c>
    </row>
    <row r="41" spans="1:9" ht="14.25">
      <c r="A41" s="304" t="s">
        <v>28</v>
      </c>
      <c r="B41" s="336"/>
      <c r="C41" s="337"/>
      <c r="D41" s="305"/>
      <c r="E41" s="323"/>
      <c r="F41" s="306"/>
      <c r="G41" s="308"/>
      <c r="H41" s="306"/>
      <c r="I41" s="327">
        <f>ROUND(H41/2080,2)</f>
        <v>0</v>
      </c>
    </row>
    <row r="42" spans="1:9" ht="14.25">
      <c r="A42" s="304" t="s">
        <v>38</v>
      </c>
      <c r="B42" s="336"/>
      <c r="C42" s="337"/>
      <c r="D42" s="305"/>
      <c r="E42" s="323"/>
      <c r="F42" s="306"/>
      <c r="G42" s="308"/>
      <c r="H42" s="306"/>
      <c r="I42" s="327">
        <f>ROUND(H42/2080,2)</f>
        <v>0</v>
      </c>
    </row>
    <row r="43" spans="1:9" ht="27" customHeight="1" thickBot="1">
      <c r="A43" s="328"/>
      <c r="B43" s="658" t="s">
        <v>249</v>
      </c>
      <c r="C43" s="659"/>
      <c r="D43" s="660"/>
      <c r="E43" s="343"/>
      <c r="F43" s="311">
        <f>SUM(F38:F42)</f>
        <v>923768</v>
      </c>
      <c r="G43" s="311">
        <f>SUM(G38:G42)</f>
        <v>16125.292000000001</v>
      </c>
      <c r="H43" s="311">
        <f>SUM(H38:H42)</f>
        <v>0</v>
      </c>
      <c r="I43" s="312">
        <f>SUM(I38:I42)</f>
        <v>0</v>
      </c>
    </row>
    <row r="44" spans="1:9" ht="15" thickTop="1">
      <c r="A44" s="328"/>
      <c r="B44" s="340"/>
      <c r="C44" s="340"/>
      <c r="D44" s="340"/>
      <c r="E44" s="344"/>
      <c r="F44" s="341"/>
      <c r="G44" s="315"/>
      <c r="H44" s="314"/>
      <c r="I44" s="316"/>
    </row>
    <row r="45" spans="1:9" ht="14.25">
      <c r="A45" s="299" t="s">
        <v>186</v>
      </c>
      <c r="B45" s="663" t="s">
        <v>250</v>
      </c>
      <c r="C45" s="664"/>
      <c r="D45" s="668"/>
      <c r="E45" s="318"/>
      <c r="F45" s="301"/>
      <c r="G45" s="301"/>
      <c r="H45" s="319"/>
      <c r="I45" s="320"/>
    </row>
    <row r="46" spans="1:11" ht="14.25">
      <c r="A46" s="304" t="s">
        <v>7</v>
      </c>
      <c r="B46" s="652" t="s">
        <v>422</v>
      </c>
      <c r="C46" s="653"/>
      <c r="D46" s="654"/>
      <c r="E46" s="324"/>
      <c r="F46" s="325">
        <f>+'[2]wages and fte calc'!$G$80</f>
        <v>24528.64</v>
      </c>
      <c r="G46" s="326"/>
      <c r="H46" s="325">
        <f>+'[2]wages and fte calc'!$E$80</f>
        <v>1320.61</v>
      </c>
      <c r="I46" s="327">
        <f>ROUND(H46/2080,2)</f>
        <v>0.63</v>
      </c>
      <c r="K46" s="514"/>
    </row>
    <row r="47" spans="1:11" ht="14.25">
      <c r="A47" s="304" t="s">
        <v>19</v>
      </c>
      <c r="B47" s="652" t="s">
        <v>423</v>
      </c>
      <c r="C47" s="653"/>
      <c r="D47" s="654"/>
      <c r="E47" s="305"/>
      <c r="F47" s="306">
        <f>+'[2]wages and fte calc'!$G$82+'[2]wages and fte calc'!$G$254</f>
        <v>40201.10999999999</v>
      </c>
      <c r="G47" s="308"/>
      <c r="H47" s="306">
        <f>+'[2]wages and fte calc'!$E$82+'[2]wages and fte calc'!$E$254</f>
        <v>2131.14</v>
      </c>
      <c r="I47" s="327">
        <f aca="true" t="shared" si="1" ref="I47:I88">ROUND(H47/2080,2)</f>
        <v>1.02</v>
      </c>
      <c r="K47" s="514"/>
    </row>
    <row r="48" spans="1:11" ht="14.25">
      <c r="A48" s="304" t="s">
        <v>152</v>
      </c>
      <c r="B48" s="652" t="s">
        <v>424</v>
      </c>
      <c r="C48" s="653"/>
      <c r="D48" s="654"/>
      <c r="E48" s="305"/>
      <c r="F48" s="306">
        <f>+'[2]wages and fte calc'!$G$83+'[2]wages and fte calc'!$G$134+'[2]wages and fte calc'!$G$436</f>
        <v>32576.719999999994</v>
      </c>
      <c r="G48" s="308"/>
      <c r="H48" s="306">
        <f>+'[2]wages and fte calc'!$E$83+'[2]wages and fte calc'!$E$134+'[2]wages and fte calc'!$E$436</f>
        <v>2139.66</v>
      </c>
      <c r="I48" s="327">
        <f t="shared" si="1"/>
        <v>1.03</v>
      </c>
      <c r="K48" s="515"/>
    </row>
    <row r="49" spans="1:11" ht="14.25">
      <c r="A49" s="304" t="s">
        <v>28</v>
      </c>
      <c r="B49" s="652" t="s">
        <v>425</v>
      </c>
      <c r="C49" s="653"/>
      <c r="D49" s="654"/>
      <c r="E49" s="305"/>
      <c r="F49" s="306">
        <f>+'[2]wages and fte calc'!$G$86+'[2]wages and fte calc'!$G$258</f>
        <v>35617.76999999999</v>
      </c>
      <c r="G49" s="308"/>
      <c r="H49" s="306">
        <f>+'[2]wages and fte calc'!$E$86+'[2]wages and fte calc'!$E$258</f>
        <v>2217.3461618038395</v>
      </c>
      <c r="I49" s="327">
        <f t="shared" si="1"/>
        <v>1.07</v>
      </c>
      <c r="K49" s="514"/>
    </row>
    <row r="50" spans="1:11" ht="14.25">
      <c r="A50" s="304" t="s">
        <v>38</v>
      </c>
      <c r="B50" s="652" t="s">
        <v>426</v>
      </c>
      <c r="C50" s="653"/>
      <c r="D50" s="654"/>
      <c r="E50" s="305"/>
      <c r="F50" s="306">
        <f>+'[2]wages and fte calc'!$G$138+'[2]wages and fte calc'!$G$87</f>
        <v>38610.189999999995</v>
      </c>
      <c r="G50" s="308"/>
      <c r="H50" s="306">
        <f>+'[2]wages and fte calc'!$E$87+'[2]wages and fte calc'!$E$138</f>
        <v>2190.379869538417</v>
      </c>
      <c r="I50" s="327">
        <f t="shared" si="1"/>
        <v>1.05</v>
      </c>
      <c r="K50" s="516"/>
    </row>
    <row r="51" spans="1:11" ht="14.25">
      <c r="A51" s="304" t="s">
        <v>44</v>
      </c>
      <c r="B51" s="652" t="s">
        <v>427</v>
      </c>
      <c r="C51" s="653"/>
      <c r="D51" s="654"/>
      <c r="E51" s="305"/>
      <c r="F51" s="306">
        <f>+'[2]wages and fte calc'!$G$92</f>
        <v>35841.07000000001</v>
      </c>
      <c r="G51" s="308"/>
      <c r="H51" s="306">
        <f>+'[2]wages and fte calc'!$E$92</f>
        <v>2168.4</v>
      </c>
      <c r="I51" s="327">
        <f t="shared" si="1"/>
        <v>1.04</v>
      </c>
      <c r="K51" s="514"/>
    </row>
    <row r="52" spans="1:11" ht="14.25">
      <c r="A52" s="304" t="s">
        <v>51</v>
      </c>
      <c r="B52" s="652" t="s">
        <v>428</v>
      </c>
      <c r="C52" s="653"/>
      <c r="D52" s="654"/>
      <c r="E52" s="305"/>
      <c r="F52" s="306">
        <f>+'[2]wages and fte calc'!$G$114</f>
        <v>4954.820000000001</v>
      </c>
      <c r="G52" s="308"/>
      <c r="H52" s="306">
        <f>+'[2]wages and fte calc'!$E$114</f>
        <v>320.05</v>
      </c>
      <c r="I52" s="327">
        <f t="shared" si="1"/>
        <v>0.15</v>
      </c>
      <c r="K52" s="514"/>
    </row>
    <row r="53" spans="1:11" ht="14.25">
      <c r="A53" s="304" t="s">
        <v>81</v>
      </c>
      <c r="B53" s="652" t="s">
        <v>429</v>
      </c>
      <c r="C53" s="653"/>
      <c r="D53" s="654"/>
      <c r="E53" s="305"/>
      <c r="F53" s="306">
        <f>+'[2]wages and fte calc'!$G$116</f>
        <v>20472.67</v>
      </c>
      <c r="G53" s="308"/>
      <c r="H53" s="306">
        <f>+'[2]wages and fte calc'!$E$116</f>
        <v>1072.4</v>
      </c>
      <c r="I53" s="327">
        <f t="shared" si="1"/>
        <v>0.52</v>
      </c>
      <c r="K53" s="514"/>
    </row>
    <row r="54" spans="1:11" ht="14.25">
      <c r="A54" s="304" t="s">
        <v>241</v>
      </c>
      <c r="B54" s="652" t="s">
        <v>430</v>
      </c>
      <c r="C54" s="653"/>
      <c r="D54" s="654"/>
      <c r="E54" s="305"/>
      <c r="F54" s="306">
        <f>+'[2]wages and fte calc'!$G$119+'[2]wages and fte calc'!$G$318</f>
        <v>40485.41999999999</v>
      </c>
      <c r="G54" s="308"/>
      <c r="H54" s="306">
        <f>+'[2]wages and fte calc'!$E$119+'[2]wages and fte calc'!$E$318</f>
        <v>2294.1850222539497</v>
      </c>
      <c r="I54" s="327">
        <f t="shared" si="1"/>
        <v>1.1</v>
      </c>
      <c r="K54" s="517"/>
    </row>
    <row r="55" spans="1:11" ht="14.25">
      <c r="A55" s="304" t="s">
        <v>242</v>
      </c>
      <c r="B55" s="652" t="s">
        <v>431</v>
      </c>
      <c r="C55" s="653"/>
      <c r="D55" s="654"/>
      <c r="E55" s="305"/>
      <c r="F55" s="306">
        <f>+'[2]wages and fte calc'!$G$133</f>
        <v>35568.46</v>
      </c>
      <c r="G55" s="308"/>
      <c r="H55" s="306">
        <f>+'[2]wages and fte calc'!$E$133</f>
        <v>2121.763050675892</v>
      </c>
      <c r="I55" s="327">
        <f t="shared" si="1"/>
        <v>1.02</v>
      </c>
      <c r="K55" s="514"/>
    </row>
    <row r="56" spans="1:11" ht="14.25">
      <c r="A56" s="304" t="s">
        <v>364</v>
      </c>
      <c r="B56" s="652" t="s">
        <v>432</v>
      </c>
      <c r="C56" s="653"/>
      <c r="D56" s="654"/>
      <c r="E56" s="305"/>
      <c r="F56" s="306">
        <f>+'[2]wages and fte calc'!$G$142</f>
        <v>2632.66</v>
      </c>
      <c r="G56" s="308"/>
      <c r="H56" s="306">
        <f>+'[2]wages and fte calc'!$E$142</f>
        <v>239</v>
      </c>
      <c r="I56" s="327">
        <f t="shared" si="1"/>
        <v>0.11</v>
      </c>
      <c r="K56" s="514"/>
    </row>
    <row r="57" spans="1:11" ht="14.25">
      <c r="A57" s="304" t="s">
        <v>382</v>
      </c>
      <c r="B57" s="652" t="s">
        <v>433</v>
      </c>
      <c r="C57" s="653"/>
      <c r="D57" s="654"/>
      <c r="E57" s="305"/>
      <c r="F57" s="306">
        <f>+'[2]wages and fte calc'!$G$144</f>
        <v>41056.63</v>
      </c>
      <c r="G57" s="308"/>
      <c r="H57" s="306">
        <f>+'[2]wages and fte calc'!$E$144</f>
        <v>2175.06</v>
      </c>
      <c r="I57" s="327">
        <f t="shared" si="1"/>
        <v>1.05</v>
      </c>
      <c r="K57" s="514"/>
    </row>
    <row r="58" spans="1:11" ht="14.25">
      <c r="A58" s="304" t="s">
        <v>384</v>
      </c>
      <c r="B58" s="652" t="s">
        <v>434</v>
      </c>
      <c r="C58" s="653"/>
      <c r="D58" s="654"/>
      <c r="E58" s="305"/>
      <c r="F58" s="306">
        <f>+'[2]wages and fte calc'!$G$149</f>
        <v>29881.64</v>
      </c>
      <c r="G58" s="308"/>
      <c r="H58" s="306">
        <f>+'[2]wages and fte calc'!$E$149</f>
        <v>1951.8</v>
      </c>
      <c r="I58" s="327">
        <f t="shared" si="1"/>
        <v>0.94</v>
      </c>
      <c r="K58" s="514"/>
    </row>
    <row r="59" spans="1:11" ht="14.25">
      <c r="A59" s="304" t="s">
        <v>386</v>
      </c>
      <c r="B59" s="652" t="s">
        <v>435</v>
      </c>
      <c r="C59" s="653"/>
      <c r="D59" s="654"/>
      <c r="E59" s="305"/>
      <c r="F59" s="306">
        <f>+'[2]wages and fte calc'!$G$151</f>
        <v>41922.16000000001</v>
      </c>
      <c r="G59" s="308"/>
      <c r="H59" s="306">
        <f>+'[2]wages and fte calc'!$E$151</f>
        <v>2230.16</v>
      </c>
      <c r="I59" s="327">
        <f t="shared" si="1"/>
        <v>1.07</v>
      </c>
      <c r="K59" s="514"/>
    </row>
    <row r="60" spans="1:11" ht="14.25">
      <c r="A60" s="304" t="s">
        <v>387</v>
      </c>
      <c r="B60" s="652" t="s">
        <v>436</v>
      </c>
      <c r="C60" s="653"/>
      <c r="D60" s="654"/>
      <c r="E60" s="305"/>
      <c r="F60" s="306">
        <f>+'[2]wages and fte calc'!$G$185</f>
        <v>2224.11</v>
      </c>
      <c r="G60" s="308"/>
      <c r="H60" s="306">
        <f>+'[2]wages and fte calc'!$E$185</f>
        <v>130.83</v>
      </c>
      <c r="I60" s="327">
        <f t="shared" si="1"/>
        <v>0.06</v>
      </c>
      <c r="K60" s="514"/>
    </row>
    <row r="61" spans="1:11" ht="14.25">
      <c r="A61" s="304" t="s">
        <v>389</v>
      </c>
      <c r="B61" s="652" t="s">
        <v>437</v>
      </c>
      <c r="C61" s="653"/>
      <c r="D61" s="654"/>
      <c r="E61" s="305"/>
      <c r="F61" s="306">
        <f>+'[2]wages and fte calc'!$G$255+'[2]wages and fte calc'!$G$353</f>
        <v>44873.13000000001</v>
      </c>
      <c r="G61" s="308"/>
      <c r="H61" s="306">
        <f>+'[2]wages and fte calc'!$E$255+'[2]wages and fte calc'!$E$353</f>
        <v>2298.06</v>
      </c>
      <c r="I61" s="327">
        <f t="shared" si="1"/>
        <v>1.1</v>
      </c>
      <c r="K61" s="514"/>
    </row>
    <row r="62" spans="1:11" ht="14.25">
      <c r="A62" s="304" t="s">
        <v>420</v>
      </c>
      <c r="B62" s="652" t="s">
        <v>438</v>
      </c>
      <c r="C62" s="653"/>
      <c r="D62" s="654"/>
      <c r="E62" s="305"/>
      <c r="F62" s="306">
        <f>+'[2]wages and fte calc'!$G$302</f>
        <v>9326.199999999999</v>
      </c>
      <c r="G62" s="308"/>
      <c r="H62" s="306">
        <f>+'[2]wages and fte calc'!$E$302</f>
        <v>433.1788083687311</v>
      </c>
      <c r="I62" s="327">
        <f t="shared" si="1"/>
        <v>0.21</v>
      </c>
      <c r="K62" s="514"/>
    </row>
    <row r="63" spans="1:11" ht="14.25">
      <c r="A63" s="304" t="s">
        <v>421</v>
      </c>
      <c r="B63" s="652" t="s">
        <v>439</v>
      </c>
      <c r="C63" s="653"/>
      <c r="D63" s="654"/>
      <c r="E63" s="463"/>
      <c r="F63" s="460">
        <f>+'[2]wages and fte calc'!$G$320+'[2]wages and fte calc'!$G$386</f>
        <v>47060.67</v>
      </c>
      <c r="G63" s="459"/>
      <c r="H63" s="460">
        <f>+'[2]wages and fte calc'!$E$320+'[2]wages and fte calc'!$E$386</f>
        <v>2297.462409204014</v>
      </c>
      <c r="I63" s="327">
        <f t="shared" si="1"/>
        <v>1.1</v>
      </c>
      <c r="K63" s="515"/>
    </row>
    <row r="64" spans="1:11" ht="14.25">
      <c r="A64" s="304" t="s">
        <v>440</v>
      </c>
      <c r="B64" s="652" t="s">
        <v>448</v>
      </c>
      <c r="C64" s="653"/>
      <c r="D64" s="654"/>
      <c r="E64" s="463"/>
      <c r="F64" s="460">
        <f>+'[2]wages and fte calc'!$G$355</f>
        <v>18059.13</v>
      </c>
      <c r="G64" s="459"/>
      <c r="H64" s="460">
        <f>+'[2]wages and fte calc'!$E$355</f>
        <v>1079.63</v>
      </c>
      <c r="I64" s="327">
        <f t="shared" si="1"/>
        <v>0.52</v>
      </c>
      <c r="K64" s="514"/>
    </row>
    <row r="65" spans="1:11" ht="14.25">
      <c r="A65" s="304" t="s">
        <v>441</v>
      </c>
      <c r="B65" s="652" t="s">
        <v>449</v>
      </c>
      <c r="C65" s="653"/>
      <c r="D65" s="654"/>
      <c r="E65" s="463"/>
      <c r="F65" s="460">
        <f>+'[2]wages and fte calc'!$G$366</f>
        <v>41100.07000000001</v>
      </c>
      <c r="G65" s="459"/>
      <c r="H65" s="460">
        <f>+'[2]wages and fte calc'!$E$366</f>
        <v>2144.1523173755413</v>
      </c>
      <c r="I65" s="327">
        <f t="shared" si="1"/>
        <v>1.03</v>
      </c>
      <c r="K65" s="518"/>
    </row>
    <row r="66" spans="1:11" ht="14.25">
      <c r="A66" s="304" t="s">
        <v>442</v>
      </c>
      <c r="B66" s="652" t="s">
        <v>450</v>
      </c>
      <c r="C66" s="653"/>
      <c r="D66" s="654"/>
      <c r="E66" s="463"/>
      <c r="F66" s="460">
        <f>+'[2]wages and fte calc'!$G$369</f>
        <v>9864.98</v>
      </c>
      <c r="G66" s="459"/>
      <c r="H66" s="460">
        <f>+'[2]wages and fte calc'!$E$369</f>
        <v>563.28</v>
      </c>
      <c r="I66" s="327">
        <f t="shared" si="1"/>
        <v>0.27</v>
      </c>
      <c r="K66" s="514"/>
    </row>
    <row r="67" spans="1:11" ht="14.25">
      <c r="A67" s="304" t="s">
        <v>443</v>
      </c>
      <c r="B67" s="652" t="s">
        <v>451</v>
      </c>
      <c r="C67" s="653"/>
      <c r="D67" s="654"/>
      <c r="E67" s="463"/>
      <c r="F67" s="460">
        <f>+'[2]wages and fte calc'!$G$373</f>
        <v>29127.199999999993</v>
      </c>
      <c r="G67" s="459"/>
      <c r="H67" s="460">
        <f>+'[2]wages and fte calc'!$E$373</f>
        <v>1950.34</v>
      </c>
      <c r="I67" s="327">
        <f t="shared" si="1"/>
        <v>0.94</v>
      </c>
      <c r="K67" s="514"/>
    </row>
    <row r="68" spans="1:11" ht="14.25">
      <c r="A68" s="304" t="s">
        <v>444</v>
      </c>
      <c r="B68" s="652" t="s">
        <v>452</v>
      </c>
      <c r="C68" s="653"/>
      <c r="D68" s="654"/>
      <c r="E68" s="463"/>
      <c r="F68" s="460">
        <f>+'[2]wages and fte calc'!$G$374</f>
        <v>36138.189999999995</v>
      </c>
      <c r="G68" s="459"/>
      <c r="H68" s="460">
        <f>+'[2]wages and fte calc'!$E$374</f>
        <v>2229.66</v>
      </c>
      <c r="I68" s="327">
        <f t="shared" si="1"/>
        <v>1.07</v>
      </c>
      <c r="K68" s="514"/>
    </row>
    <row r="69" spans="1:11" ht="14.25">
      <c r="A69" s="304" t="s">
        <v>445</v>
      </c>
      <c r="B69" s="652" t="s">
        <v>453</v>
      </c>
      <c r="C69" s="653"/>
      <c r="D69" s="654"/>
      <c r="E69" s="463"/>
      <c r="F69" s="460">
        <f>+'[2]wages and fte calc'!$G$378</f>
        <v>1501.5</v>
      </c>
      <c r="G69" s="459"/>
      <c r="H69" s="460">
        <f>+'[2]wages and fte calc'!$E$378</f>
        <v>71.5</v>
      </c>
      <c r="I69" s="327">
        <f t="shared" si="1"/>
        <v>0.03</v>
      </c>
      <c r="K69" s="515"/>
    </row>
    <row r="70" spans="1:11" ht="14.25">
      <c r="A70" s="304" t="s">
        <v>446</v>
      </c>
      <c r="B70" s="652" t="s">
        <v>454</v>
      </c>
      <c r="C70" s="653"/>
      <c r="D70" s="654"/>
      <c r="E70" s="463"/>
      <c r="F70" s="460">
        <f>+'[2]wages and fte calc'!$G$380</f>
        <v>19869.63</v>
      </c>
      <c r="G70" s="459"/>
      <c r="H70" s="460">
        <f>+'[2]wages and fte calc'!$E$380</f>
        <v>1154.914881731246</v>
      </c>
      <c r="I70" s="327">
        <f t="shared" si="1"/>
        <v>0.56</v>
      </c>
      <c r="K70" s="515"/>
    </row>
    <row r="71" spans="1:11" ht="14.25">
      <c r="A71" s="304" t="s">
        <v>447</v>
      </c>
      <c r="B71" s="652" t="s">
        <v>455</v>
      </c>
      <c r="C71" s="653"/>
      <c r="D71" s="654"/>
      <c r="E71" s="463"/>
      <c r="F71" s="460">
        <f>+'[2]wages and fte calc'!$G$383</f>
        <v>35902.56</v>
      </c>
      <c r="G71" s="459"/>
      <c r="H71" s="460">
        <f>+'[2]wages and fte calc'!$E$383</f>
        <v>2195.1165889601466</v>
      </c>
      <c r="I71" s="327">
        <f t="shared" si="1"/>
        <v>1.06</v>
      </c>
      <c r="K71" s="515"/>
    </row>
    <row r="72" spans="1:11" ht="14.25">
      <c r="A72" s="304" t="s">
        <v>465</v>
      </c>
      <c r="B72" s="652" t="s">
        <v>456</v>
      </c>
      <c r="C72" s="653"/>
      <c r="D72" s="654"/>
      <c r="E72" s="463"/>
      <c r="F72" s="460">
        <f>+'[2]wages and fte calc'!$G$385</f>
        <v>38264.26</v>
      </c>
      <c r="G72" s="459"/>
      <c r="H72" s="460">
        <f>+'[2]wages and fte calc'!$E$385</f>
        <v>2214.31</v>
      </c>
      <c r="I72" s="327">
        <f t="shared" si="1"/>
        <v>1.06</v>
      </c>
      <c r="K72" s="515"/>
    </row>
    <row r="73" spans="1:11" ht="14.25">
      <c r="A73" s="304" t="s">
        <v>466</v>
      </c>
      <c r="B73" s="652" t="s">
        <v>457</v>
      </c>
      <c r="C73" s="653"/>
      <c r="D73" s="654"/>
      <c r="E73" s="463"/>
      <c r="F73" s="460">
        <f>+'[2]wages and fte calc'!$G$401</f>
        <v>32246.089999999997</v>
      </c>
      <c r="G73" s="459"/>
      <c r="H73" s="460">
        <f>+'[2]wages and fte calc'!$E$401</f>
        <v>2185.6099999999997</v>
      </c>
      <c r="I73" s="327">
        <f t="shared" si="1"/>
        <v>1.05</v>
      </c>
      <c r="K73" s="515"/>
    </row>
    <row r="74" spans="1:11" ht="14.25">
      <c r="A74" s="304" t="s">
        <v>467</v>
      </c>
      <c r="B74" s="652" t="s">
        <v>458</v>
      </c>
      <c r="C74" s="653"/>
      <c r="D74" s="654"/>
      <c r="E74" s="463"/>
      <c r="F74" s="460">
        <f>+'[2]wages and fte calc'!$G$403</f>
        <v>39030.270000000004</v>
      </c>
      <c r="G74" s="459"/>
      <c r="H74" s="460">
        <f>+'[2]wages and fte calc'!$E$403</f>
        <v>2118.452869363868</v>
      </c>
      <c r="I74" s="327">
        <f t="shared" si="1"/>
        <v>1.02</v>
      </c>
      <c r="K74" s="517"/>
    </row>
    <row r="75" spans="1:11" ht="14.25">
      <c r="A75" s="304" t="s">
        <v>468</v>
      </c>
      <c r="B75" s="652" t="s">
        <v>459</v>
      </c>
      <c r="C75" s="653"/>
      <c r="D75" s="654"/>
      <c r="E75" s="463"/>
      <c r="F75" s="460">
        <f>+'[2]wages and fte calc'!$G$409</f>
        <v>32201.96</v>
      </c>
      <c r="G75" s="459"/>
      <c r="H75" s="460">
        <f>+'[2]wages and fte calc'!$E$409</f>
        <v>2091.38</v>
      </c>
      <c r="I75" s="327">
        <f t="shared" si="1"/>
        <v>1.01</v>
      </c>
      <c r="K75" s="515"/>
    </row>
    <row r="76" spans="1:9" ht="14.25">
      <c r="A76" s="304" t="s">
        <v>469</v>
      </c>
      <c r="B76" s="652" t="s">
        <v>460</v>
      </c>
      <c r="C76" s="653"/>
      <c r="D76" s="654"/>
      <c r="E76" s="463"/>
      <c r="F76" s="460">
        <f>+'[2]wages and fte calc'!$G$418</f>
        <v>31250.969999999998</v>
      </c>
      <c r="G76" s="459"/>
      <c r="H76" s="460">
        <f>+'[2]wages and fte calc'!$E$418</f>
        <v>2191.8199999999997</v>
      </c>
      <c r="I76" s="327">
        <f t="shared" si="1"/>
        <v>1.05</v>
      </c>
    </row>
    <row r="77" spans="1:11" ht="14.25">
      <c r="A77" s="304" t="s">
        <v>470</v>
      </c>
      <c r="B77" s="652" t="s">
        <v>461</v>
      </c>
      <c r="C77" s="653"/>
      <c r="D77" s="654"/>
      <c r="E77" s="463"/>
      <c r="F77" s="460">
        <f>+'[2]wages and fte calc'!$G$431</f>
        <v>29453.890000000003</v>
      </c>
      <c r="G77" s="459"/>
      <c r="H77" s="460">
        <f>+'[2]wages and fte calc'!$E$431</f>
        <v>1675.5</v>
      </c>
      <c r="I77" s="327">
        <f t="shared" si="1"/>
        <v>0.81</v>
      </c>
      <c r="J77" s="494"/>
      <c r="K77" s="517"/>
    </row>
    <row r="78" spans="1:11" ht="14.25">
      <c r="A78" s="304" t="s">
        <v>471</v>
      </c>
      <c r="B78" s="652" t="s">
        <v>462</v>
      </c>
      <c r="C78" s="653"/>
      <c r="D78" s="654"/>
      <c r="E78" s="463"/>
      <c r="F78" s="460">
        <f>+'[2]wages and fte calc'!$G$441</f>
        <v>34569.009999999995</v>
      </c>
      <c r="G78" s="459"/>
      <c r="H78" s="460">
        <f>+'[2]wages and fte calc'!$E$441</f>
        <v>1909.1671379017398</v>
      </c>
      <c r="I78" s="327">
        <f t="shared" si="1"/>
        <v>0.92</v>
      </c>
      <c r="K78" s="517"/>
    </row>
    <row r="79" spans="1:11" ht="14.25">
      <c r="A79" s="304" t="s">
        <v>472</v>
      </c>
      <c r="B79" s="652" t="s">
        <v>463</v>
      </c>
      <c r="C79" s="653"/>
      <c r="D79" s="654"/>
      <c r="E79" s="463"/>
      <c r="F79" s="460">
        <f>+'[2]wages and fte calc'!$G$449</f>
        <v>3079.0699999999997</v>
      </c>
      <c r="G79" s="459"/>
      <c r="H79" s="460">
        <f>+'[2]wages and fte calc'!$E$449</f>
        <v>193.02214219282277</v>
      </c>
      <c r="I79" s="327">
        <f t="shared" si="1"/>
        <v>0.09</v>
      </c>
      <c r="K79" s="517"/>
    </row>
    <row r="80" spans="1:9" ht="14.25">
      <c r="A80" s="304" t="s">
        <v>473</v>
      </c>
      <c r="B80" s="652" t="s">
        <v>464</v>
      </c>
      <c r="C80" s="653"/>
      <c r="D80" s="654"/>
      <c r="E80" s="463"/>
      <c r="F80" s="460">
        <f>+'[2]wages and fte calc'!$G$450</f>
        <v>17931.54</v>
      </c>
      <c r="G80" s="459"/>
      <c r="H80" s="460">
        <f>+'[2]wages and fte calc'!$E$450</f>
        <v>993.8599553289089</v>
      </c>
      <c r="I80" s="327">
        <f t="shared" si="1"/>
        <v>0.48</v>
      </c>
    </row>
    <row r="81" spans="1:9" ht="14.25">
      <c r="A81" s="304" t="s">
        <v>597</v>
      </c>
      <c r="B81" s="652" t="s">
        <v>474</v>
      </c>
      <c r="C81" s="653"/>
      <c r="D81" s="654"/>
      <c r="E81" s="463"/>
      <c r="F81" s="460">
        <f>+'[2]wages and fte calc'!$G$110+'[2]wages and fte calc'!$G$301</f>
        <v>63249.19</v>
      </c>
      <c r="G81" s="459"/>
      <c r="H81" s="460">
        <f>+'[2]wages and fte calc'!$E$110+'[2]wages and fte calc'!$E$301</f>
        <v>2371.41</v>
      </c>
      <c r="I81" s="327">
        <f t="shared" si="1"/>
        <v>1.14</v>
      </c>
    </row>
    <row r="82" spans="1:9" ht="14.25">
      <c r="A82" s="304" t="s">
        <v>598</v>
      </c>
      <c r="B82" s="652" t="s">
        <v>475</v>
      </c>
      <c r="C82" s="653"/>
      <c r="D82" s="654"/>
      <c r="E82" s="463"/>
      <c r="F82" s="460">
        <f>+'[2]wages and fte calc'!$G$126</f>
        <v>78470.6</v>
      </c>
      <c r="G82" s="459"/>
      <c r="H82" s="460">
        <f>+'[2]wages and fte calc'!$E$126</f>
        <v>2458.68</v>
      </c>
      <c r="I82" s="327">
        <f t="shared" si="1"/>
        <v>1.18</v>
      </c>
    </row>
    <row r="83" spans="1:9" ht="14.25">
      <c r="A83" s="304" t="s">
        <v>599</v>
      </c>
      <c r="B83" s="652" t="s">
        <v>476</v>
      </c>
      <c r="C83" s="653"/>
      <c r="D83" s="654"/>
      <c r="E83" s="463"/>
      <c r="F83" s="460">
        <f>+'[2]wages and fte calc'!$G$135</f>
        <v>2248.29</v>
      </c>
      <c r="G83" s="459"/>
      <c r="H83" s="460">
        <f>+'[2]wages and fte calc'!$E$135</f>
        <v>83.27</v>
      </c>
      <c r="I83" s="327">
        <f t="shared" si="1"/>
        <v>0.04</v>
      </c>
    </row>
    <row r="84" spans="1:9" ht="14.25">
      <c r="A84" s="304" t="s">
        <v>600</v>
      </c>
      <c r="B84" s="386" t="s">
        <v>477</v>
      </c>
      <c r="C84" s="387"/>
      <c r="D84" s="388"/>
      <c r="E84" s="463"/>
      <c r="F84" s="460">
        <f>+'[2]wages and fte calc'!$G$141</f>
        <v>56988.30000000002</v>
      </c>
      <c r="G84" s="459"/>
      <c r="H84" s="460">
        <f>+'[2]wages and fte calc'!$E$141</f>
        <v>2313.075247488574</v>
      </c>
      <c r="I84" s="327">
        <f t="shared" si="1"/>
        <v>1.11</v>
      </c>
    </row>
    <row r="85" spans="1:9" ht="14.25">
      <c r="A85" s="304" t="s">
        <v>601</v>
      </c>
      <c r="B85" s="386" t="s">
        <v>478</v>
      </c>
      <c r="C85" s="387"/>
      <c r="D85" s="388"/>
      <c r="E85" s="463"/>
      <c r="F85" s="460">
        <f>+'[2]wages and fte calc'!$G$182</f>
        <v>9368.58</v>
      </c>
      <c r="G85" s="459"/>
      <c r="H85" s="460">
        <f>+'[2]wages and fte calc'!$E$182</f>
        <v>360.33</v>
      </c>
      <c r="I85" s="327">
        <f t="shared" si="1"/>
        <v>0.17</v>
      </c>
    </row>
    <row r="86" spans="1:9" ht="14.25">
      <c r="A86" s="304" t="s">
        <v>602</v>
      </c>
      <c r="B86" s="386" t="s">
        <v>479</v>
      </c>
      <c r="C86" s="457"/>
      <c r="D86" s="463"/>
      <c r="E86" s="463"/>
      <c r="F86" s="460">
        <f>+'[2]wages and fte calc'!$G$209+'[2]wages and fte calc'!$G$410</f>
        <v>53552.44000000002</v>
      </c>
      <c r="G86" s="459"/>
      <c r="H86" s="460">
        <f>+'[2]wages and fte calc'!$E$209+'[2]wages and fte calc'!$E$410</f>
        <v>2215.07</v>
      </c>
      <c r="I86" s="327">
        <f t="shared" si="1"/>
        <v>1.06</v>
      </c>
    </row>
    <row r="87" spans="1:11" ht="14.25">
      <c r="A87" s="304" t="s">
        <v>603</v>
      </c>
      <c r="B87" s="386" t="s">
        <v>480</v>
      </c>
      <c r="C87" s="457"/>
      <c r="D87" s="463"/>
      <c r="E87" s="463"/>
      <c r="F87" s="460">
        <f>+'[2]wages and fte calc'!$G$367</f>
        <v>32255.59</v>
      </c>
      <c r="G87" s="459"/>
      <c r="H87" s="460">
        <f>+'[2]wages and fte calc'!$E$367</f>
        <v>1504.36</v>
      </c>
      <c r="I87" s="327">
        <f t="shared" si="1"/>
        <v>0.72</v>
      </c>
      <c r="K87" s="519"/>
    </row>
    <row r="88" spans="1:9" ht="14.25">
      <c r="A88" s="304" t="s">
        <v>604</v>
      </c>
      <c r="B88" s="386" t="s">
        <v>481</v>
      </c>
      <c r="C88" s="457"/>
      <c r="D88" s="463"/>
      <c r="E88" s="463"/>
      <c r="F88" s="460">
        <f>+'[2]wages and fte calc'!$G$232</f>
        <v>73761.28</v>
      </c>
      <c r="G88" s="459">
        <f>+'[2]VISITS BY PROVIDER'!$T$54</f>
        <v>705</v>
      </c>
      <c r="H88" s="460">
        <f>+'[2]wages and fte calc'!$E$232</f>
        <v>1957.5</v>
      </c>
      <c r="I88" s="327">
        <f t="shared" si="1"/>
        <v>0.94</v>
      </c>
    </row>
    <row r="89" spans="1:9" ht="24.75" customHeight="1" thickBot="1">
      <c r="A89" s="328"/>
      <c r="B89" s="658" t="s">
        <v>251</v>
      </c>
      <c r="C89" s="659"/>
      <c r="D89" s="660"/>
      <c r="E89" s="329"/>
      <c r="F89" s="311">
        <f>SUM(F46:F88)</f>
        <v>1347318.6600000001</v>
      </c>
      <c r="G89" s="311">
        <f>SUM(G46:G88)</f>
        <v>705</v>
      </c>
      <c r="H89" s="311">
        <f>SUM(H46:H88)</f>
        <v>69956.8964621877</v>
      </c>
      <c r="I89" s="465">
        <f>SUM(I46:I88)</f>
        <v>33.6</v>
      </c>
    </row>
    <row r="90" spans="1:9" ht="15" thickBot="1" thickTop="1">
      <c r="A90" s="345"/>
      <c r="B90" s="346"/>
      <c r="C90" s="347"/>
      <c r="D90" s="348"/>
      <c r="E90" s="348"/>
      <c r="F90" s="349"/>
      <c r="G90" s="350"/>
      <c r="H90" s="351"/>
      <c r="I90" s="352"/>
    </row>
    <row r="92" spans="2:9" ht="14.25">
      <c r="B92" s="520"/>
      <c r="C92" s="520"/>
      <c r="D92" s="520"/>
      <c r="E92" s="520"/>
      <c r="F92" s="521"/>
      <c r="G92" s="520"/>
      <c r="H92" s="521"/>
      <c r="I92" s="520"/>
    </row>
    <row r="93" spans="2:9" ht="14.25">
      <c r="B93" s="520"/>
      <c r="C93" s="520"/>
      <c r="D93" s="520"/>
      <c r="E93" s="520"/>
      <c r="F93" s="520"/>
      <c r="G93" s="520"/>
      <c r="H93" s="520"/>
      <c r="I93" s="520"/>
    </row>
    <row r="94" spans="2:9" ht="14.25">
      <c r="B94" s="520"/>
      <c r="C94" s="520"/>
      <c r="D94" s="520"/>
      <c r="E94" s="520"/>
      <c r="F94" s="520"/>
      <c r="G94" s="520"/>
      <c r="H94" s="520"/>
      <c r="I94" s="520"/>
    </row>
    <row r="95" spans="2:9" ht="14.25">
      <c r="B95" s="520"/>
      <c r="C95" s="520"/>
      <c r="D95" s="520"/>
      <c r="E95" s="521"/>
      <c r="F95" s="521"/>
      <c r="G95" s="520"/>
      <c r="H95" s="520"/>
      <c r="I95" s="520"/>
    </row>
    <row r="96" spans="2:9" ht="14.25">
      <c r="B96" s="520"/>
      <c r="C96" s="520"/>
      <c r="D96" s="520"/>
      <c r="E96" s="520"/>
      <c r="F96" s="521"/>
      <c r="G96" s="520"/>
      <c r="H96" s="520"/>
      <c r="I96" s="520"/>
    </row>
    <row r="97" spans="2:9" ht="14.25">
      <c r="B97" s="520"/>
      <c r="C97" s="520"/>
      <c r="D97" s="520"/>
      <c r="E97" s="520"/>
      <c r="F97" s="520"/>
      <c r="G97" s="520"/>
      <c r="H97" s="520"/>
      <c r="I97" s="520"/>
    </row>
    <row r="98" spans="2:9" ht="14.25">
      <c r="B98" s="520"/>
      <c r="C98" s="520"/>
      <c r="D98" s="520"/>
      <c r="E98" s="520"/>
      <c r="F98" s="520"/>
      <c r="G98" s="520"/>
      <c r="H98" s="520"/>
      <c r="I98" s="520"/>
    </row>
    <row r="99" spans="2:9" ht="14.25">
      <c r="B99" s="520"/>
      <c r="C99" s="520"/>
      <c r="D99" s="520"/>
      <c r="E99" s="520"/>
      <c r="F99" s="520"/>
      <c r="G99" s="520"/>
      <c r="H99" s="520"/>
      <c r="I99" s="520"/>
    </row>
    <row r="100" spans="2:9" ht="14.25">
      <c r="B100" s="520"/>
      <c r="C100" s="520"/>
      <c r="D100" s="520"/>
      <c r="E100" s="520"/>
      <c r="F100" s="520"/>
      <c r="G100" s="520"/>
      <c r="H100" s="520"/>
      <c r="I100" s="520"/>
    </row>
    <row r="101" spans="2:9" ht="14.25">
      <c r="B101" s="520"/>
      <c r="C101" s="520"/>
      <c r="D101" s="520"/>
      <c r="E101" s="520"/>
      <c r="F101" s="520"/>
      <c r="G101" s="520"/>
      <c r="H101" s="520"/>
      <c r="I101" s="520"/>
    </row>
    <row r="102" spans="2:9" ht="14.25">
      <c r="B102" s="520"/>
      <c r="C102" s="520"/>
      <c r="D102" s="520"/>
      <c r="E102" s="520"/>
      <c r="F102" s="521"/>
      <c r="G102" s="520"/>
      <c r="H102" s="520"/>
      <c r="I102" s="520"/>
    </row>
    <row r="103" spans="2:9" ht="14.25">
      <c r="B103" s="520"/>
      <c r="C103" s="520"/>
      <c r="D103" s="520"/>
      <c r="E103" s="520"/>
      <c r="F103" s="521"/>
      <c r="G103" s="520"/>
      <c r="H103" s="520"/>
      <c r="I103" s="520"/>
    </row>
    <row r="104" spans="2:9" ht="14.25">
      <c r="B104" s="520"/>
      <c r="C104" s="520"/>
      <c r="D104" s="520"/>
      <c r="E104" s="520"/>
      <c r="F104" s="520"/>
      <c r="G104" s="520"/>
      <c r="H104" s="520"/>
      <c r="I104" s="520"/>
    </row>
    <row r="105" spans="2:9" ht="14.25">
      <c r="B105" s="520"/>
      <c r="C105" s="520"/>
      <c r="D105" s="520"/>
      <c r="E105" s="520"/>
      <c r="F105" s="520"/>
      <c r="G105" s="520"/>
      <c r="H105" s="520"/>
      <c r="I105" s="520"/>
    </row>
  </sheetData>
  <sheetProtection/>
  <mergeCells count="61">
    <mergeCell ref="B43:D43"/>
    <mergeCell ref="B45:D45"/>
    <mergeCell ref="B46:D46"/>
    <mergeCell ref="B47:D47"/>
    <mergeCell ref="B62:D62"/>
    <mergeCell ref="B89:D89"/>
    <mergeCell ref="B48:D48"/>
    <mergeCell ref="B49:D49"/>
    <mergeCell ref="B50:D50"/>
    <mergeCell ref="B51:D51"/>
    <mergeCell ref="B21:D21"/>
    <mergeCell ref="B35:D35"/>
    <mergeCell ref="B37:D37"/>
    <mergeCell ref="B38:D38"/>
    <mergeCell ref="B39:D39"/>
    <mergeCell ref="B40:D40"/>
    <mergeCell ref="B22:D22"/>
    <mergeCell ref="B23:D23"/>
    <mergeCell ref="A13:D15"/>
    <mergeCell ref="H13:I13"/>
    <mergeCell ref="B17:D17"/>
    <mergeCell ref="B18:D18"/>
    <mergeCell ref="B19:D19"/>
    <mergeCell ref="B20:D20"/>
    <mergeCell ref="A1:I1"/>
    <mergeCell ref="A2:I2"/>
    <mergeCell ref="A3:I3"/>
    <mergeCell ref="A4:I4"/>
    <mergeCell ref="C8:H8"/>
    <mergeCell ref="A12:I12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83:D83"/>
    <mergeCell ref="B77:D77"/>
    <mergeCell ref="B78:D78"/>
    <mergeCell ref="B79:D79"/>
    <mergeCell ref="B80:D80"/>
    <mergeCell ref="B81:D81"/>
    <mergeCell ref="B82:D82"/>
  </mergeCells>
  <printOptions horizontalCentered="1" verticalCentered="1"/>
  <pageMargins left="0.25" right="0.25" top="0.75" bottom="0.75" header="0.3" footer="0.3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Sweeney</dc:creator>
  <cp:keywords/>
  <dc:description/>
  <cp:lastModifiedBy>Godburn, Nicole</cp:lastModifiedBy>
  <cp:lastPrinted>2021-07-29T20:52:53Z</cp:lastPrinted>
  <dcterms:created xsi:type="dcterms:W3CDTF">2021-07-01T18:21:10Z</dcterms:created>
  <dcterms:modified xsi:type="dcterms:W3CDTF">2021-08-26T15:52:07Z</dcterms:modified>
  <cp:category/>
  <cp:version/>
  <cp:contentType/>
  <cp:contentStatus/>
</cp:coreProperties>
</file>