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808" activeTab="0"/>
  </bookViews>
  <sheets>
    <sheet name="P1 Info &amp; Certification" sheetId="1" r:id="rId1"/>
    <sheet name="P2 Service Sites &amp; Rel. Parties" sheetId="2" r:id="rId2"/>
    <sheet name="ATTACHED LIST OF SITES" sheetId="3" r:id="rId3"/>
    <sheet name="RECONCILIATION TO AFS" sheetId="4" r:id="rId4"/>
    <sheet name="Attachment A" sheetId="5" r:id="rId5"/>
    <sheet name="PROJECT - NON FQHC SITE " sheetId="6" r:id="rId6"/>
    <sheet name="P3 Form A-1 Health Care" sheetId="7" r:id="rId7"/>
    <sheet name="P4 Form A-2 - Dental" sheetId="8" r:id="rId8"/>
    <sheet name="P5 Form A-3 - Mental Health" sheetId="9" r:id="rId9"/>
    <sheet name="P6 Form A-4 - Non-Allow Other" sheetId="10" r:id="rId10"/>
    <sheet name="P7 Form A-5 - OH " sheetId="11" r:id="rId11"/>
    <sheet name="P8 Form B-1 Visits-FTE Hlth " sheetId="12" r:id="rId12"/>
    <sheet name="P9 Form B-1 Visits-FTE Hlth2 " sheetId="13" r:id="rId13"/>
    <sheet name="Form B-1 Detail" sheetId="14" r:id="rId14"/>
    <sheet name="P10 Form B-2 Visits-FTE Dental" sheetId="15" r:id="rId15"/>
    <sheet name="Form B-2 Detail" sheetId="16" r:id="rId16"/>
    <sheet name="P11 Form B-3 Visits-FTE Mental " sheetId="17" r:id="rId17"/>
    <sheet name="Form B-3 Detail" sheetId="18" r:id="rId18"/>
    <sheet name="P12 Form B-4 Summary Personnel" sheetId="19" r:id="rId19"/>
    <sheet name="P13 Form C - Adj &amp; Alloc" sheetId="20" r:id="rId20"/>
    <sheet name="P14 Form D-Allow Cost-Visit" sheetId="21" r:id="rId21"/>
    <sheet name="P15 Form E-Revenues" sheetId="22" r:id="rId22"/>
    <sheet name="P16 Form F-Grants-Contributions" sheetId="23" r:id="rId23"/>
    <sheet name="P17 Form G-Cost Disall &amp; Offset" sheetId="24" r:id="rId24"/>
  </sheets>
  <definedNames>
    <definedName name="_xlfn.IFERROR" hidden="1">#NAME?</definedName>
    <definedName name="_xlnm.Print_Area" localSheetId="2">'ATTACHED LIST OF SITES'!$B$2:$G$30</definedName>
    <definedName name="_xlnm.Print_Area" localSheetId="4">'Attachment A'!$BN$2:$BO$58</definedName>
    <definedName name="_xlnm.Print_Area" localSheetId="15">'Form B-2 Detail'!$A$1:$H$39</definedName>
    <definedName name="_xlnm.Print_Area" localSheetId="17">'Form B-3 Detail'!$A$1:$H$68</definedName>
    <definedName name="_xlnm.Print_Area" localSheetId="0">'P1 Info &amp; Certification'!$A$1:$N$50</definedName>
    <definedName name="_xlnm.Print_Area" localSheetId="14">'P10 Form B-2 Visits-FTE Dental'!$A$9:$H$41</definedName>
    <definedName name="_xlnm.Print_Area" localSheetId="16">'P11 Form B-3 Visits-FTE Mental '!$A$17:$H$41</definedName>
    <definedName name="_xlnm.Print_Area" localSheetId="18">'P12 Form B-4 Summary Personnel'!$A$17:$M$41</definedName>
    <definedName name="_xlnm.Print_Area" localSheetId="19">'P13 Form C - Adj &amp; Alloc'!$A$10:$N$38</definedName>
    <definedName name="_xlnm.Print_Area" localSheetId="20">'P14 Form D-Allow Cost-Visit'!$A$1:$N$34</definedName>
    <definedName name="_xlnm.Print_Area" localSheetId="21">'P15 Form E-Revenues'!$A$10:$H$44</definedName>
    <definedName name="_xlnm.Print_Area" localSheetId="22">'P16 Form F-Grants-Contributions'!$A$1:$O$35</definedName>
    <definedName name="_xlnm.Print_Area" localSheetId="23">'P17 Form G-Cost Disall &amp; Offset'!$A$10:$O$42</definedName>
    <definedName name="_xlnm.Print_Area" localSheetId="1">'P2 Service Sites &amp; Rel. Parties'!$A$1:$O$34</definedName>
    <definedName name="_xlnm.Print_Area" localSheetId="6">'P3 Form A-1 Health Care'!$A$1:$J$54</definedName>
    <definedName name="_xlnm.Print_Area" localSheetId="7">'P4 Form A-2 - Dental'!$A$1:$J$50</definedName>
    <definedName name="_xlnm.Print_Area" localSheetId="8">'P5 Form A-3 - Mental Health'!$A$9:$J$46</definedName>
    <definedName name="_xlnm.Print_Area" localSheetId="9">'P6 Form A-4 - Non-Allow Other'!$A$1:$J$39</definedName>
    <definedName name="_xlnm.Print_Area" localSheetId="10">'P7 Form A-5 - OH '!$A$1:$J$54</definedName>
    <definedName name="_xlnm.Print_Area" localSheetId="11">'P8 Form B-1 Visits-FTE Hlth '!$A$10:$I$37</definedName>
    <definedName name="_xlnm.Print_Area" localSheetId="12">'P9 Form B-1 Visits-FTE Hlth2 '!$A$10:$I$39</definedName>
    <definedName name="_xlnm.Print_Area" localSheetId="5">'PROJECT - NON FQHC SITE '!$H$55:$L$63</definedName>
    <definedName name="_xlnm.Print_Area" localSheetId="3">'RECONCILIATION TO AFS'!$A$2:$D$29</definedName>
    <definedName name="_xlnm.Print_Titles" localSheetId="14">'P10 Form B-2 Visits-FTE Dental'!$1:$15</definedName>
    <definedName name="_xlnm.Print_Titles" localSheetId="16">'P11 Form B-3 Visits-FTE Mental '!$1:$15</definedName>
    <definedName name="_xlnm.Print_Titles" localSheetId="18">'P12 Form B-4 Summary Personnel'!$1:$15</definedName>
    <definedName name="_xlnm.Print_Titles" localSheetId="19">'P13 Form C - Adj &amp; Alloc'!$1:$9</definedName>
    <definedName name="_xlnm.Print_Titles" localSheetId="20">'P14 Form D-Allow Cost-Visit'!$1:$9</definedName>
    <definedName name="_xlnm.Print_Titles" localSheetId="21">'P15 Form E-Revenues'!$1:$10</definedName>
    <definedName name="_xlnm.Print_Titles" localSheetId="22">'P16 Form F-Grants-Contributions'!$1:$9</definedName>
    <definedName name="_xlnm.Print_Titles" localSheetId="23">'P17 Form G-Cost Disall &amp; Offset'!$1:$9</definedName>
    <definedName name="_xlnm.Print_Titles" localSheetId="1">'P2 Service Sites &amp; Rel. Parties'!$1:$8</definedName>
    <definedName name="_xlnm.Print_Titles" localSheetId="6">'P3 Form A-1 Health Care'!$1:$8</definedName>
    <definedName name="_xlnm.Print_Titles" localSheetId="7">'P4 Form A-2 - Dental'!$1:$8</definedName>
    <definedName name="_xlnm.Print_Titles" localSheetId="8">'P5 Form A-3 - Mental Health'!$1:$8</definedName>
    <definedName name="_xlnm.Print_Titles" localSheetId="9">'P6 Form A-4 - Non-Allow Other'!$1:$8</definedName>
    <definedName name="_xlnm.Print_Titles" localSheetId="10">'P7 Form A-5 - OH '!$1:$8</definedName>
    <definedName name="_xlnm.Print_Titles" localSheetId="11">'P8 Form B-1 Visits-FTE Hlth '!$1:$15</definedName>
    <definedName name="_xlnm.Print_Titles" localSheetId="12">'P9 Form B-1 Visits-FTE Hlth2 '!$1:$15</definedName>
  </definedNames>
  <calcPr fullCalcOnLoad="1"/>
</workbook>
</file>

<file path=xl/sharedStrings.xml><?xml version="1.0" encoding="utf-8"?>
<sst xmlns="http://schemas.openxmlformats.org/spreadsheetml/2006/main" count="3254" uniqueCount="1008">
  <si>
    <t>Personnel</t>
  </si>
  <si>
    <t>Total</t>
  </si>
  <si>
    <t xml:space="preserve"> </t>
  </si>
  <si>
    <t>Date Submitted:</t>
  </si>
  <si>
    <t>Date Received:</t>
  </si>
  <si>
    <t>3. Reporting Period:</t>
  </si>
  <si>
    <t>From</t>
  </si>
  <si>
    <t>To</t>
  </si>
  <si>
    <t>CERTIFICATION BY OFFICER OR ADMINISTRATOR OF CLINIC</t>
  </si>
  <si>
    <t>Salaried</t>
  </si>
  <si>
    <t/>
  </si>
  <si>
    <t>Reclassified</t>
  </si>
  <si>
    <t>Adjustments</t>
  </si>
  <si>
    <t>Net</t>
  </si>
  <si>
    <t>Other</t>
  </si>
  <si>
    <t>Reclass-</t>
  </si>
  <si>
    <t>Trial Balance</t>
  </si>
  <si>
    <t>Increase</t>
  </si>
  <si>
    <t>Expenses</t>
  </si>
  <si>
    <t>Costs</t>
  </si>
  <si>
    <t>ifications</t>
  </si>
  <si>
    <t>(Col 3 &amp; 4)</t>
  </si>
  <si>
    <t>(Col 5 &amp; 6)</t>
  </si>
  <si>
    <t>Physician</t>
  </si>
  <si>
    <t>Dental</t>
  </si>
  <si>
    <t>NONPROFIT ORGANIZATION</t>
  </si>
  <si>
    <t>GOVERNMENT</t>
  </si>
  <si>
    <t>STATE</t>
  </si>
  <si>
    <t>COUNTY</t>
  </si>
  <si>
    <t>DISTRICT</t>
  </si>
  <si>
    <t>CITY</t>
  </si>
  <si>
    <t>OTHER</t>
  </si>
  <si>
    <t>Provider Name</t>
  </si>
  <si>
    <t>Date</t>
  </si>
  <si>
    <t>Title</t>
  </si>
  <si>
    <t>Signature  (Officer or Administrator of FQHC)</t>
  </si>
  <si>
    <t>City, State, ZIP</t>
  </si>
  <si>
    <t>FQHC Name</t>
  </si>
  <si>
    <t xml:space="preserve">I Hereby Certify That I Have Examined the Accompanying Worksheets Prepared By </t>
  </si>
  <si>
    <t>Street Address</t>
  </si>
  <si>
    <t>Telephone Number</t>
  </si>
  <si>
    <t>Contact Person</t>
  </si>
  <si>
    <t>Medical</t>
  </si>
  <si>
    <t>Mental Health</t>
  </si>
  <si>
    <t>Other (Specify)</t>
  </si>
  <si>
    <t>STATE OF CONNECTICUT</t>
  </si>
  <si>
    <t>DEPARTMENT OF SOCIAL SERVICES</t>
  </si>
  <si>
    <t>ANNUAL REPORT</t>
  </si>
  <si>
    <t>FEDERALLY QUALIFIED HEALTH CENTER (FQHC)</t>
  </si>
  <si>
    <t>1.</t>
  </si>
  <si>
    <t>2.</t>
  </si>
  <si>
    <t>4.</t>
  </si>
  <si>
    <t>(FQHC Name)</t>
  </si>
  <si>
    <t>55 FARMINGTON AVENUE      HARTFORD, CONNECTICUT  06105</t>
  </si>
  <si>
    <t>Reporting Period:</t>
  </si>
  <si>
    <t>6.</t>
  </si>
  <si>
    <t>7.</t>
  </si>
  <si>
    <t>Clinic/Provider No.</t>
  </si>
  <si>
    <t>Location</t>
  </si>
  <si>
    <t>FQHC Name:</t>
  </si>
  <si>
    <t>I</t>
  </si>
  <si>
    <t>II</t>
  </si>
  <si>
    <t>III</t>
  </si>
  <si>
    <t>IV</t>
  </si>
  <si>
    <t>V</t>
  </si>
  <si>
    <t>VI</t>
  </si>
  <si>
    <t>VII</t>
  </si>
  <si>
    <t>Staff Cost</t>
  </si>
  <si>
    <t>Physician Assistant</t>
  </si>
  <si>
    <t xml:space="preserve">Other - Specify </t>
  </si>
  <si>
    <t>a.</t>
  </si>
  <si>
    <t>b.</t>
  </si>
  <si>
    <t>c.</t>
  </si>
  <si>
    <t>d.</t>
  </si>
  <si>
    <t>COST CENTER</t>
  </si>
  <si>
    <t>E.</t>
  </si>
  <si>
    <t>Medical Supplies</t>
  </si>
  <si>
    <t>Transportation</t>
  </si>
  <si>
    <t>Depreciation - Medical Equipment</t>
  </si>
  <si>
    <t>Professional Liability Insurance</t>
  </si>
  <si>
    <t>e.</t>
  </si>
  <si>
    <t>f.</t>
  </si>
  <si>
    <t>3.</t>
  </si>
  <si>
    <t>A.</t>
  </si>
  <si>
    <t>B.</t>
  </si>
  <si>
    <t>(Excluding Dental, Mental Health &amp; Other)</t>
  </si>
  <si>
    <t>Dentist</t>
  </si>
  <si>
    <t>Dental Hygienst</t>
  </si>
  <si>
    <t>Depreciation - Dental Equipment</t>
  </si>
  <si>
    <t>Psychologist</t>
  </si>
  <si>
    <t>Social Worker</t>
  </si>
  <si>
    <t>C.</t>
  </si>
  <si>
    <t>D.</t>
  </si>
  <si>
    <t>Service</t>
  </si>
  <si>
    <t>Clinical Diagnostic Lab</t>
  </si>
  <si>
    <t>Battered Women</t>
  </si>
  <si>
    <t>Homeless</t>
  </si>
  <si>
    <t>Non-FQHC Sites</t>
  </si>
  <si>
    <t>Subtotal Other Direct Dental Care Cost</t>
  </si>
  <si>
    <t>Subtotal Direct Health Care Cost</t>
  </si>
  <si>
    <t>Subtotal Other Direct Health Care Cost</t>
  </si>
  <si>
    <t>Subtotal Direct Dental Care Cost</t>
  </si>
  <si>
    <t>F.</t>
  </si>
  <si>
    <t>G.</t>
  </si>
  <si>
    <t>OVERHEAD - FACILITY COST</t>
  </si>
  <si>
    <t>Rent</t>
  </si>
  <si>
    <t>Insurance</t>
  </si>
  <si>
    <t>Interest on Mortgage or Loans</t>
  </si>
  <si>
    <t>Utilities</t>
  </si>
  <si>
    <t>Depreciation - Building</t>
  </si>
  <si>
    <t>Depreciation - Equipment</t>
  </si>
  <si>
    <t>Housekeeping &amp; Maintenance</t>
  </si>
  <si>
    <t>g.</t>
  </si>
  <si>
    <t>i.</t>
  </si>
  <si>
    <t>h.</t>
  </si>
  <si>
    <t>H.</t>
  </si>
  <si>
    <t>OVERHEAD - ADMINISTRATIVE COST</t>
  </si>
  <si>
    <t>Office Salaries</t>
  </si>
  <si>
    <t>Depreciation - Office Equipment</t>
  </si>
  <si>
    <t>Office Supplies</t>
  </si>
  <si>
    <t>Legal</t>
  </si>
  <si>
    <t>Accounting</t>
  </si>
  <si>
    <t>Telephone</t>
  </si>
  <si>
    <t>Interest - Capital Loans</t>
  </si>
  <si>
    <t>j.</t>
  </si>
  <si>
    <t>k.</t>
  </si>
  <si>
    <t>I.</t>
  </si>
  <si>
    <t>J.</t>
  </si>
  <si>
    <t>II.</t>
  </si>
  <si>
    <t>III.</t>
  </si>
  <si>
    <t>COST ADJUSTMENT AND ALLOCATION</t>
  </si>
  <si>
    <t>K.</t>
  </si>
  <si>
    <t>Total Direct Costs (A+B)</t>
  </si>
  <si>
    <t>Portion of Title XIX Services (A/C)</t>
  </si>
  <si>
    <t>Overhead Cost Applicable to Title XIX Services (DxE)</t>
  </si>
  <si>
    <t>Total Title XIX Services Cost (A+F)</t>
  </si>
  <si>
    <t>Allowable Title XIX Overhead Cost (F+I)</t>
  </si>
  <si>
    <t>Direct Costs</t>
  </si>
  <si>
    <t>L.</t>
  </si>
  <si>
    <t>Direct Costs as a % of Total</t>
  </si>
  <si>
    <t>Health Care Services (K1/K4)</t>
  </si>
  <si>
    <t>Dental Services (K2/K4)</t>
  </si>
  <si>
    <t>Mental Health Services (K3/K4)</t>
  </si>
  <si>
    <t>M.</t>
  </si>
  <si>
    <t>Allocated Allowable Overhead Cost</t>
  </si>
  <si>
    <t>Health Care Services (JxL1)</t>
  </si>
  <si>
    <t>Dental Services (JxL2)</t>
  </si>
  <si>
    <t>Mental Health Services (JxL3)</t>
  </si>
  <si>
    <r>
      <t>Health Care Cost (</t>
    </r>
    <r>
      <rPr>
        <b/>
        <u val="single"/>
        <sz val="10"/>
        <rFont val="Helv"/>
        <family val="0"/>
      </rPr>
      <t>Excluding Dental and Mental Health)</t>
    </r>
  </si>
  <si>
    <t>Total Allowable Health Care Cost (A+B)</t>
  </si>
  <si>
    <t>Total Allowable Dental Cost (A+B)</t>
  </si>
  <si>
    <t>Total Allowable Mental Health Cost (A+B)</t>
  </si>
  <si>
    <t>REVENUES</t>
  </si>
  <si>
    <t>Form E (Revenues)</t>
  </si>
  <si>
    <t>Services Excluding Dental, Mental Health &amp; Other</t>
  </si>
  <si>
    <t>Total                     (Col. I thru IV)</t>
  </si>
  <si>
    <t>5.</t>
  </si>
  <si>
    <t>Medicaid</t>
  </si>
  <si>
    <t>Private</t>
  </si>
  <si>
    <t>Medicare</t>
  </si>
  <si>
    <t>Total (1 thru 6)</t>
  </si>
  <si>
    <t>8.</t>
  </si>
  <si>
    <t>9.</t>
  </si>
  <si>
    <t>10.</t>
  </si>
  <si>
    <t>11.</t>
  </si>
  <si>
    <t>Contributions</t>
  </si>
  <si>
    <t>Grants</t>
  </si>
  <si>
    <t>Interest</t>
  </si>
  <si>
    <t>Donations</t>
  </si>
  <si>
    <t>Other - Specify</t>
  </si>
  <si>
    <t>Total (1 thru 7)</t>
  </si>
  <si>
    <t>ACTUAL</t>
  </si>
  <si>
    <r>
      <t xml:space="preserve">Services </t>
    </r>
    <r>
      <rPr>
        <b/>
        <i/>
        <sz val="10"/>
        <rFont val="Helv"/>
        <family val="0"/>
      </rPr>
      <t>(</t>
    </r>
    <r>
      <rPr>
        <b/>
        <i/>
        <u val="single"/>
        <sz val="10"/>
        <rFont val="Helv"/>
        <family val="0"/>
      </rPr>
      <t>Excluding</t>
    </r>
    <r>
      <rPr>
        <b/>
        <i/>
        <sz val="10"/>
        <rFont val="Helv"/>
        <family val="0"/>
      </rPr>
      <t xml:space="preserve"> Dental, Mental Health and Other)</t>
    </r>
  </si>
  <si>
    <t>Total (1 thru 4)</t>
  </si>
  <si>
    <r>
      <t xml:space="preserve">Grants </t>
    </r>
    <r>
      <rPr>
        <b/>
        <i/>
        <sz val="10"/>
        <rFont val="Helv"/>
        <family val="0"/>
      </rPr>
      <t>(Excluding PHS)</t>
    </r>
  </si>
  <si>
    <t>COST DISALLOWANCE AND OFFSET</t>
  </si>
  <si>
    <t>Entertainment</t>
  </si>
  <si>
    <t>Fines and penalties</t>
  </si>
  <si>
    <t>Bad debt</t>
  </si>
  <si>
    <t>12.</t>
  </si>
  <si>
    <t>13.</t>
  </si>
  <si>
    <t>14.</t>
  </si>
  <si>
    <t>15.</t>
  </si>
  <si>
    <t>16.</t>
  </si>
  <si>
    <t>Advertising, except for recruitment of personnel</t>
  </si>
  <si>
    <t>Contingent reserves</t>
  </si>
  <si>
    <t>Legal, Accounting and professional services incurred in connection with rehearing, arbitration, or judicial proceedings pertaining to the reimbursement approved by the Commissioner</t>
  </si>
  <si>
    <t>Fundraising</t>
  </si>
  <si>
    <t>Amortization of goodwill</t>
  </si>
  <si>
    <t>Directors fees</t>
  </si>
  <si>
    <t>Membership dues for public relations</t>
  </si>
  <si>
    <t>Cost not related to patient care</t>
  </si>
  <si>
    <t>Pass through expenses</t>
  </si>
  <si>
    <t>Total (1 thru 15)</t>
  </si>
  <si>
    <t>Refunds - Medicaid Outreach</t>
  </si>
  <si>
    <t>Rent Income</t>
  </si>
  <si>
    <t>In-Kind Medical Supplies</t>
  </si>
  <si>
    <t>In-Kind Dental Supplies</t>
  </si>
  <si>
    <t>In-Kind Computer Supplies</t>
  </si>
  <si>
    <t>In-Kind Advertising</t>
  </si>
  <si>
    <t>Total Cost Disallowance and Offset (A16+B7)</t>
  </si>
  <si>
    <t>Cost Disallowance</t>
  </si>
  <si>
    <t>Form C (Cost Adjustment &amp; Allocation)</t>
  </si>
  <si>
    <t>FTEs</t>
  </si>
  <si>
    <t>(2080 hrs = 1 FTE)</t>
  </si>
  <si>
    <t>Total Hours</t>
  </si>
  <si>
    <t>PHYSICIAN ASSISTANT</t>
  </si>
  <si>
    <t>PHYSICIAN SERVICES UNDER CONTRACT</t>
  </si>
  <si>
    <t>DENTIST</t>
  </si>
  <si>
    <t>DENTAL HYGIENIST</t>
  </si>
  <si>
    <t>PSYCHOLOGIST</t>
  </si>
  <si>
    <t>SOCIAL WORKER</t>
  </si>
  <si>
    <t>Type of Control  (Check One Only)</t>
  </si>
  <si>
    <t>FQHC Owned By:</t>
  </si>
  <si>
    <t>Other Direct Health Care Cost</t>
  </si>
  <si>
    <t xml:space="preserve">FQHC Medicaid Provider Number: </t>
  </si>
  <si>
    <t>Depreciation - Mental Health Equipment</t>
  </si>
  <si>
    <t>Radiology</t>
  </si>
  <si>
    <t>Printed Name</t>
  </si>
  <si>
    <t>Form A-1 (Direct Health Care Cost)</t>
  </si>
  <si>
    <t>Form A-2 (Direct Dental Care Cost)</t>
  </si>
  <si>
    <t>Other Direct Dental Care Cost</t>
  </si>
  <si>
    <t>Dental Supplies</t>
  </si>
  <si>
    <t>Form A-3 (Direct Mental Health Care Cost)</t>
  </si>
  <si>
    <t>Subtotal Direct Mental Health Care Cost</t>
  </si>
  <si>
    <t>Other Direct Mental Health Care Cost</t>
  </si>
  <si>
    <t>Subtotal Other Direct Mental Health Care Cost</t>
  </si>
  <si>
    <t>Subtotal Overhead - Facility Cost</t>
  </si>
  <si>
    <t>Subtotal Overhead - Administrative Cost</t>
  </si>
  <si>
    <t>PHYSICIAN</t>
  </si>
  <si>
    <t>Direct Cost Title XIX Services (P5 - Form A-3, Line D, Col. VII)</t>
  </si>
  <si>
    <t>Direct Cost Other Services (P6 - Form A-4, Line E.1.i, Col. VII)</t>
  </si>
  <si>
    <t>Total Overhead Cost (P7 - Form A-5, Line I, Col. VII)</t>
  </si>
  <si>
    <t>Thirty Percent (30%) of Total Title XIX Svc Cost (Gx.30)</t>
  </si>
  <si>
    <t>Health Care Services (P3 - Form A-1, Line A3, Col. VII)</t>
  </si>
  <si>
    <t>Dental Services (P4 - Form A-2, Line B3, Col. VII)</t>
  </si>
  <si>
    <t>Mental Health Services (P5 - Form A-3, Line C3, Col. VII)</t>
  </si>
  <si>
    <t>Total Direct Costs (K1 thru K3)</t>
  </si>
  <si>
    <t>Total Allowable Title XIX Overhead Cost (M1 thru M3)</t>
  </si>
  <si>
    <t>Direct Health Care Cost  (P3 - Form A-1, Line A3, Col. VII)</t>
  </si>
  <si>
    <t>Direct Dental Care Cost (P4 - Form A-2, Line B3, Col. VII)</t>
  </si>
  <si>
    <t>Direct Mental Health Care Cost (P5 - Form A-3, Line C3, Col. VII)</t>
  </si>
  <si>
    <t>Patient Cash/Self Pay</t>
  </si>
  <si>
    <t>Operating Revenue</t>
  </si>
  <si>
    <t>Other Revenue</t>
  </si>
  <si>
    <t>Other Revenue                                            (Include revenue generated by non-approved FQHC sites)</t>
  </si>
  <si>
    <t>Form F (Grants and Contributions)</t>
  </si>
  <si>
    <r>
      <t>GRANTS AND CONTRIBUTIONS</t>
    </r>
    <r>
      <rPr>
        <b/>
        <i/>
        <sz val="10"/>
        <rFont val="Helv"/>
        <family val="0"/>
      </rPr>
      <t xml:space="preserve"> (EXCLUDING THE PUBLIC HEALTH SERVICES GRANTS)</t>
    </r>
  </si>
  <si>
    <t>Form G (Cost Disallowance and Offset)</t>
  </si>
  <si>
    <t>Cost of actions to collect receivables</t>
  </si>
  <si>
    <r>
      <t xml:space="preserve">Cost Offset </t>
    </r>
    <r>
      <rPr>
        <b/>
        <i/>
        <sz val="10"/>
        <rFont val="Helv"/>
        <family val="0"/>
      </rPr>
      <t>(Expense Recovery)</t>
    </r>
  </si>
  <si>
    <t>DIRECT HEALTH CARE COST</t>
  </si>
  <si>
    <t>DIRECT DENTAL CARE COST</t>
  </si>
  <si>
    <t>DIRECT MENTAL HEALTH CARE COST</t>
  </si>
  <si>
    <t>Encounters</t>
  </si>
  <si>
    <t>Total Physician Encounters, Staff Hours and FTEs</t>
  </si>
  <si>
    <t>Total Physician Assistant Encounters, Hours and FTEs</t>
  </si>
  <si>
    <t>Total Dentist Encounters, Staff Hours and FTEs</t>
  </si>
  <si>
    <t>Total Dental Hygienist Encounters, Hours and FTEs</t>
  </si>
  <si>
    <t>Total Psychologist Encounters, Staff Hours and FTEs</t>
  </si>
  <si>
    <t>Total Social Worker Encounters, Hours and FTEs</t>
  </si>
  <si>
    <t>Form D (Allowable Cost per Encounter)</t>
  </si>
  <si>
    <t>ALLOWABLE COST PER ENCOUNTER</t>
  </si>
  <si>
    <t>Allowable Health Care Cost Per Encounter (C/D)</t>
  </si>
  <si>
    <t>Allowable Dental Cost Per Encounter (C/D)</t>
  </si>
  <si>
    <t>Allowable Mental Health Cost Per Encounter (C/D)</t>
  </si>
  <si>
    <t>Compensation</t>
  </si>
  <si>
    <r>
      <t xml:space="preserve">HEALTH CARE COMPENSATION, ENCOUNTERS, HOURS, &amp; FTEs </t>
    </r>
    <r>
      <rPr>
        <b/>
        <i/>
        <sz val="10"/>
        <rFont val="Arial"/>
        <family val="2"/>
      </rPr>
      <t>(Excluding Dental, Mental Health, and Other)</t>
    </r>
  </si>
  <si>
    <t>Provide itemized de-identified list (e.g., Physician 1)</t>
  </si>
  <si>
    <t>General Practitioner</t>
  </si>
  <si>
    <t>Specialty</t>
  </si>
  <si>
    <t>Total Employee Hours and FTEs</t>
  </si>
  <si>
    <t>Employee</t>
  </si>
  <si>
    <t>HEALTH CARE COMPENSATION, ENCOUNTERS, HOURS, AND FTEs BY PRACTITIONER</t>
  </si>
  <si>
    <t>Form B-1 (Compensation, Encounters, Hours, FTEs - Health Care)</t>
  </si>
  <si>
    <r>
      <t xml:space="preserve">Form B-1 </t>
    </r>
    <r>
      <rPr>
        <b/>
        <i/>
        <sz val="10"/>
        <rFont val="Arial"/>
        <family val="2"/>
      </rPr>
      <t xml:space="preserve">Continued </t>
    </r>
    <r>
      <rPr>
        <b/>
        <sz val="10"/>
        <rFont val="Arial"/>
        <family val="2"/>
      </rPr>
      <t>(Compensation, Encounters, Hours, FTEs - Health Care)</t>
    </r>
  </si>
  <si>
    <t>Total Nurse Practioner</t>
  </si>
  <si>
    <t>Total Physician Services Under Contract</t>
  </si>
  <si>
    <t>Total Other Health Care Practitioner</t>
  </si>
  <si>
    <t>Provide itemized de-identified list (e.g., Dentist 1)</t>
  </si>
  <si>
    <t>Provide itemized de-identified list (e.g., Psychologist 1)</t>
  </si>
  <si>
    <t>DENTAL CARE COMPENSATION, ENCOUNTERS, HOURS, &amp; FTEs</t>
  </si>
  <si>
    <t>MENTAL HEALTH SERVICES COMPENSATION, ENCOUNTERS, HOURS, &amp; FTEs</t>
  </si>
  <si>
    <t>MENTAL HEALTH SERVICES COMPENSATION, ENCOUNTERS, HOURS, AND FTEs BY PRACTITIONER</t>
  </si>
  <si>
    <t>DENTAL SERVICES COMPENSATION, ENCOUNTERS, HOURS, AND FTEs BY PRACTITIONER</t>
  </si>
  <si>
    <t>Form B-2 (Compensation, Encounters, Hours, FTEs - Dental Care)</t>
  </si>
  <si>
    <t>Form B-3 (Compensation, Encounters, Hours, FTEs - Mental Health Care)</t>
  </si>
  <si>
    <t>NURSE (APRN, MIDWIFE, RN)</t>
  </si>
  <si>
    <t>Nurse (APRN, Midwife, RN)</t>
  </si>
  <si>
    <r>
      <t>FQHC Certified              Yes</t>
    </r>
    <r>
      <rPr>
        <b/>
        <i/>
        <sz val="10"/>
        <rFont val="Helv"/>
        <family val="0"/>
      </rPr>
      <t>/ No</t>
    </r>
  </si>
  <si>
    <t>RECLASSIFICATIONS AND ADJUSTMENTS OF TRIAL BALANCE OF EXPENSES</t>
  </si>
  <si>
    <t>(Decrease)</t>
  </si>
  <si>
    <t>Allowable Overhead Cost (P13 - Form C, Line M1)</t>
  </si>
  <si>
    <t>Allowable Overhead Cost (P13 - Form C, Line M2)</t>
  </si>
  <si>
    <t>Allowable Overhead Cost (P13 - Form C, Line M3)</t>
  </si>
  <si>
    <t>Select One:</t>
  </si>
  <si>
    <r>
      <rPr>
        <b/>
        <sz val="11"/>
        <rFont val="Helv"/>
        <family val="0"/>
      </rPr>
      <t xml:space="preserve">Related Parties:  </t>
    </r>
    <r>
      <rPr>
        <sz val="11"/>
        <rFont val="Helv"/>
        <family val="0"/>
      </rPr>
      <t xml:space="preserve"> Related party information is reported on the following, which accompanies this cost report submission:</t>
    </r>
  </si>
  <si>
    <t>C.  Not applicable.  The FQHC does not have any related party individuals or organizations.</t>
  </si>
  <si>
    <t>A.  Copy of Medicare Cost Report (CMS 222-92) Worksheet A-2-1, Statement of Costs of Services from Related Organizations.</t>
  </si>
  <si>
    <t>B.  Schedule of related parties that contains the same information as Medicare Cost Report (CMS 222-92) Worksheet A-2-1.</t>
  </si>
  <si>
    <t>SELECT ONE OF THE FOLLOWING OPTIONS:</t>
  </si>
  <si>
    <t>DENTAL PRACTITIONERS</t>
  </si>
  <si>
    <t>MENTAL HEALTH PRACTITIONERS</t>
  </si>
  <si>
    <t>HEALTH CARE PRACTITIONERS</t>
  </si>
  <si>
    <t>OTHER MENTAL HEALTH PRACTITIONER</t>
  </si>
  <si>
    <t>Total Dental</t>
  </si>
  <si>
    <t>Total Mental Health</t>
  </si>
  <si>
    <t>Total Health Care</t>
  </si>
  <si>
    <t>Number of</t>
  </si>
  <si>
    <t>Practitioners</t>
  </si>
  <si>
    <t>Compensation Range</t>
  </si>
  <si>
    <t>High</t>
  </si>
  <si>
    <t>Low</t>
  </si>
  <si>
    <t>Turnover</t>
  </si>
  <si>
    <t>Departures</t>
  </si>
  <si>
    <t>Hires</t>
  </si>
  <si>
    <t>Employee Hours and FTEs</t>
  </si>
  <si>
    <t>FTEs (2,080</t>
  </si>
  <si>
    <t>hrs = 1 FTE)</t>
  </si>
  <si>
    <t>VIII</t>
  </si>
  <si>
    <t>IX</t>
  </si>
  <si>
    <t>PSYCHIATRIST</t>
  </si>
  <si>
    <t>SUMMARY COMPENSATION, ENCOUNTERS, HOURS, AND FTEs BY PRACTITIONER TYPE</t>
  </si>
  <si>
    <t>OTHER HEALTH PROFESSIONALS</t>
  </si>
  <si>
    <t>OTHER ALLIED HEALTH PROFESSIONALS</t>
  </si>
  <si>
    <t>LICENSED CLINICAL SOCIAL WORKER</t>
  </si>
  <si>
    <t>OTHER DENTAL PRACTITIONERS</t>
  </si>
  <si>
    <t>PSYCHIATRIC APRN</t>
  </si>
  <si>
    <t>Laboratory</t>
  </si>
  <si>
    <t>Physician-Administered Drugs</t>
  </si>
  <si>
    <t>Prescription Drugs/Pharmacy</t>
  </si>
  <si>
    <t>WIC</t>
  </si>
  <si>
    <t>NON-ALLOWABLE DIRECT OTHER SERVICE COST</t>
  </si>
  <si>
    <t xml:space="preserve">Total Non-Allowable Direct Other Service Cost </t>
  </si>
  <si>
    <t>TOTAL DIRECT HEALTH CARE COST (1e &amp; 2i)</t>
  </si>
  <si>
    <t>TOTAL DIRECT MENTAL HEALTH CARE COST (1d &amp; 2f)</t>
  </si>
  <si>
    <t>TOTAL DIRECT DENTAL CARE COST (1d &amp; 2f)</t>
  </si>
  <si>
    <t>TOTAL DIRECT COST BEFORE NON-ALLOWABLE SERVICES</t>
  </si>
  <si>
    <t>TOTAL OVERHEAD COST (Gi+Hk)</t>
  </si>
  <si>
    <r>
      <t>GRAND TOTAL COSTS</t>
    </r>
    <r>
      <rPr>
        <b/>
        <vertAlign val="superscript"/>
        <sz val="10"/>
        <rFont val="Helv"/>
        <family val="0"/>
      </rPr>
      <t>2</t>
    </r>
    <r>
      <rPr>
        <b/>
        <sz val="10"/>
        <rFont val="Helv"/>
        <family val="0"/>
      </rPr>
      <t xml:space="preserve"> (F+I)</t>
    </r>
  </si>
  <si>
    <r>
      <rPr>
        <b/>
        <i/>
        <vertAlign val="superscript"/>
        <sz val="8"/>
        <rFont val="Helv"/>
        <family val="0"/>
      </rPr>
      <t xml:space="preserve">2 </t>
    </r>
    <r>
      <rPr>
        <b/>
        <i/>
        <sz val="8"/>
        <rFont val="Helv"/>
        <family val="0"/>
      </rPr>
      <t>Reconciliation schedule is required if Line J, Column III does not agree to the Audited Financial Statements</t>
    </r>
  </si>
  <si>
    <r>
      <rPr>
        <b/>
        <sz val="11"/>
        <rFont val="Helv"/>
        <family val="0"/>
      </rPr>
      <t xml:space="preserve">Service Sites:  </t>
    </r>
    <r>
      <rPr>
        <sz val="11"/>
        <rFont val="Helv"/>
        <family val="0"/>
      </rPr>
      <t>List all service sites of the FQHC, including all FQHC-certified sites and any other non-FQHC service sites.  Indicate whether the service site is FQHC certified.  If a site or sites are not FQHC-certified, the associated costs should be reported on Form A-4 as non-allowable costs.</t>
    </r>
  </si>
  <si>
    <t>Form A-4 (Non-Allowable Direct Other Service Cost)</t>
  </si>
  <si>
    <t>Form A-5 (Overhead Cost)</t>
  </si>
  <si>
    <t>TOTAL DIRECT COST (D+E1i)</t>
  </si>
  <si>
    <t>OTHER HEALTH CARE PRACTITIONER</t>
  </si>
  <si>
    <t>OTHER DENTAL PRACTITIONER</t>
  </si>
  <si>
    <t>Total Other Dental Practitioner Encounters, Hours and FTEs</t>
  </si>
  <si>
    <t>Total Other Mental Health Practitioner Encounters, Hours and FTEs</t>
  </si>
  <si>
    <t>Form B-4 (Summary Compensation, Encounters, Hours, FTEs)</t>
  </si>
  <si>
    <t>OTHER MENTAL HEALTH PRACTITIONERS</t>
  </si>
  <si>
    <t>Encounters (P12 - Form B-4, Health Care Total)</t>
  </si>
  <si>
    <t>Encounters (P12 - Form B-4, Dental Total)</t>
  </si>
  <si>
    <t>Encounters (P12 - Form B-4, Mental Health Total)</t>
  </si>
  <si>
    <t>Cost Adjustment (Lower of H-F or Zero)</t>
  </si>
  <si>
    <t>Total (1 thru 5)</t>
  </si>
  <si>
    <t>Total (1 thru 10)</t>
  </si>
  <si>
    <t>Total Revenue (A6+B11+C7)</t>
  </si>
  <si>
    <t>OTHER HEALTH CARE PRACTITIONERS</t>
  </si>
  <si>
    <t>Advertising-Help Wanted</t>
  </si>
  <si>
    <t>COMMUNITY HEALTH CENTER, INC.</t>
  </si>
  <si>
    <t>575 MAIN STREET</t>
  </si>
  <si>
    <t>MIDDLETOWN, CT  06457</t>
  </si>
  <si>
    <t>004236346</t>
  </si>
  <si>
    <t>004236354</t>
  </si>
  <si>
    <t>004236338</t>
  </si>
  <si>
    <t>x</t>
  </si>
  <si>
    <t>Community Health Center Inc.</t>
  </si>
  <si>
    <t>675 Main Street, Middletown CT 06457</t>
  </si>
  <si>
    <t>Yes</t>
  </si>
  <si>
    <t>1164463840</t>
  </si>
  <si>
    <t>One Shaw's Cove, New London CT 06320</t>
  </si>
  <si>
    <t>1982889309</t>
  </si>
  <si>
    <t>85 Lafayette Street, New Britain CT 06051</t>
  </si>
  <si>
    <t>1912182338</t>
  </si>
  <si>
    <t>134 State Street, Meriden CT 06450</t>
  </si>
  <si>
    <t>1720263148</t>
  </si>
  <si>
    <t>114 East Main Street, Clinton CT 06413</t>
  </si>
  <si>
    <t>144735862</t>
  </si>
  <si>
    <t>49 Day Street, Norwalk CT 06854</t>
  </si>
  <si>
    <t>1972788321</t>
  </si>
  <si>
    <t>481 Gold Star Hwy, Groton CT 06340</t>
  </si>
  <si>
    <t>147334851</t>
  </si>
  <si>
    <t>8 Delay Street, Danbury CT 06810</t>
  </si>
  <si>
    <t>1518139500</t>
  </si>
  <si>
    <t>5 N. Main Street, Enfield CT 06082</t>
  </si>
  <si>
    <t>1679761027</t>
  </si>
  <si>
    <t>141 Franklin Street, Stamford CT 06901</t>
  </si>
  <si>
    <t>1730311143</t>
  </si>
  <si>
    <t>59 North Main Street, Bristol CT 06010</t>
  </si>
  <si>
    <t>1356676514</t>
  </si>
  <si>
    <t>51 North Elm Street, Waterbury CT 06702</t>
  </si>
  <si>
    <t>1972866556</t>
  </si>
  <si>
    <t>Community Health Center Inc., W.Y.A. Masters Manna</t>
  </si>
  <si>
    <t>46 N. Plains Industrial Road, Wallingford CT 06492</t>
  </si>
  <si>
    <t>1952591851</t>
  </si>
  <si>
    <t>Community Health Center Inc., W.Y.A. Prudence Crandall</t>
  </si>
  <si>
    <t>594 Burritt Street, New Britain CT 06051</t>
  </si>
  <si>
    <t>Community Health Center Inc., W.Y.A. Shelter Now</t>
  </si>
  <si>
    <t>43 St. Casimir Drive, Meriden CT 06450</t>
  </si>
  <si>
    <t>Community Health Center Inc., W.Y.A. Friendship Center</t>
  </si>
  <si>
    <t>241 Arch Street, New Britain CT 06050</t>
  </si>
  <si>
    <t>Community Health Center Inc., W.Y.A. Eddy Shelter</t>
  </si>
  <si>
    <t>1 LaBella Circle, Middletown CT 06457</t>
  </si>
  <si>
    <t>Community Health Center Inc., W.Y.A. New London</t>
  </si>
  <si>
    <t>427 Huntington Avenue,  New London CT 06320</t>
  </si>
  <si>
    <t>1548677982</t>
  </si>
  <si>
    <t>Community Health Center Inc., W.Y.A. City of Danbury Emergency Shelter</t>
  </si>
  <si>
    <t>41 New Street, Danbury, CT 06810</t>
  </si>
  <si>
    <t>76 New Britain Avenue, Hartford, CT 06106</t>
  </si>
  <si>
    <t>None</t>
  </si>
  <si>
    <t>Other Direct Healthcare Costs</t>
  </si>
  <si>
    <t>Other Direct Dental Care Costs</t>
  </si>
  <si>
    <t>Other Direct Mental Health Care Costs</t>
  </si>
  <si>
    <t>Non-Allowable Other Costs</t>
  </si>
  <si>
    <t>Overhead - Adminstrative Other Costs</t>
  </si>
  <si>
    <t>Reclass of Public Relations and Weitzman</t>
  </si>
  <si>
    <t>Line</t>
  </si>
  <si>
    <t>A2h</t>
  </si>
  <si>
    <t>B2e</t>
  </si>
  <si>
    <t>C2e</t>
  </si>
  <si>
    <t>Hj</t>
  </si>
  <si>
    <t>Adj</t>
  </si>
  <si>
    <t>Visits</t>
  </si>
  <si>
    <t>%</t>
  </si>
  <si>
    <t>Grand Total</t>
  </si>
  <si>
    <t>Sal</t>
  </si>
  <si>
    <t>Ben</t>
  </si>
  <si>
    <t>A2a</t>
  </si>
  <si>
    <t>A2c</t>
  </si>
  <si>
    <t>B2a</t>
  </si>
  <si>
    <t>B2c</t>
  </si>
  <si>
    <t>C2c</t>
  </si>
  <si>
    <t>Ga</t>
  </si>
  <si>
    <t>Gb</t>
  </si>
  <si>
    <t>Gc</t>
  </si>
  <si>
    <t>Gd</t>
  </si>
  <si>
    <t>Ge</t>
  </si>
  <si>
    <t>Gg</t>
  </si>
  <si>
    <t>Gh</t>
  </si>
  <si>
    <t>Hc</t>
  </si>
  <si>
    <t>Hd</t>
  </si>
  <si>
    <t>He</t>
  </si>
  <si>
    <t>Hg</t>
  </si>
  <si>
    <t>See Attachment A</t>
  </si>
  <si>
    <t>Cost Center</t>
  </si>
  <si>
    <t>Salary</t>
  </si>
  <si>
    <t>Benefits</t>
  </si>
  <si>
    <t>Dental Salary and Benefits Other</t>
  </si>
  <si>
    <t>Mental Health Salary and Benefits Other</t>
  </si>
  <si>
    <t>Water/Sewer/Sanitation</t>
  </si>
  <si>
    <t>A2b</t>
  </si>
  <si>
    <t>B2b</t>
  </si>
  <si>
    <t>C2b</t>
  </si>
  <si>
    <t>210100</t>
  </si>
  <si>
    <t>210300</t>
  </si>
  <si>
    <t>210400</t>
  </si>
  <si>
    <t>210500</t>
  </si>
  <si>
    <t>210600</t>
  </si>
  <si>
    <t>210700</t>
  </si>
  <si>
    <t>210800</t>
  </si>
  <si>
    <t>210900</t>
  </si>
  <si>
    <t>211000</t>
  </si>
  <si>
    <t>211100</t>
  </si>
  <si>
    <t>211200</t>
  </si>
  <si>
    <t>211300</t>
  </si>
  <si>
    <t>211400</t>
  </si>
  <si>
    <t>220100</t>
  </si>
  <si>
    <t>220300</t>
  </si>
  <si>
    <t>220700</t>
  </si>
  <si>
    <t>240100</t>
  </si>
  <si>
    <t>270100</t>
  </si>
  <si>
    <t>SBHC Reclass Medical to Mental Health</t>
  </si>
  <si>
    <t>See Form B-1 Detail</t>
  </si>
  <si>
    <t>RN</t>
  </si>
  <si>
    <t>APRN</t>
  </si>
  <si>
    <t>See Form B-2 Detail</t>
  </si>
  <si>
    <t>See Form B-3 Detail</t>
  </si>
  <si>
    <t>LCSW</t>
  </si>
  <si>
    <t>PsyD</t>
  </si>
  <si>
    <t>PhD</t>
  </si>
  <si>
    <t>LPC</t>
  </si>
  <si>
    <t>LMFT</t>
  </si>
  <si>
    <t>Bonding</t>
  </si>
  <si>
    <t>340B</t>
  </si>
  <si>
    <t>Consulting</t>
  </si>
  <si>
    <t>Investment Income</t>
  </si>
  <si>
    <t>Allocated Direct Support Staff</t>
  </si>
  <si>
    <t>Bad Debt</t>
  </si>
  <si>
    <t>Eh2</t>
  </si>
  <si>
    <t>Reclass of Bad Debt</t>
  </si>
  <si>
    <t>310100</t>
  </si>
  <si>
    <t>310200</t>
  </si>
  <si>
    <t>310300</t>
  </si>
  <si>
    <t>310400</t>
  </si>
  <si>
    <t>310600</t>
  </si>
  <si>
    <t>310800</t>
  </si>
  <si>
    <t>310900</t>
  </si>
  <si>
    <t>311200</t>
  </si>
  <si>
    <t>311300</t>
  </si>
  <si>
    <t>311400</t>
  </si>
  <si>
    <t>320100</t>
  </si>
  <si>
    <t>320300</t>
  </si>
  <si>
    <t>320400</t>
  </si>
  <si>
    <t>320600</t>
  </si>
  <si>
    <t>320800</t>
  </si>
  <si>
    <t>320900</t>
  </si>
  <si>
    <t>321000</t>
  </si>
  <si>
    <t>410100</t>
  </si>
  <si>
    <t>410300</t>
  </si>
  <si>
    <t>410400</t>
  </si>
  <si>
    <t>410500</t>
  </si>
  <si>
    <t>410600</t>
  </si>
  <si>
    <t>410700</t>
  </si>
  <si>
    <t>410800</t>
  </si>
  <si>
    <t>410900</t>
  </si>
  <si>
    <t>411000</t>
  </si>
  <si>
    <t>411100</t>
  </si>
  <si>
    <t>411200</t>
  </si>
  <si>
    <t>411300</t>
  </si>
  <si>
    <t>411400</t>
  </si>
  <si>
    <t>A1a</t>
  </si>
  <si>
    <t>A1b</t>
  </si>
  <si>
    <t>A1c</t>
  </si>
  <si>
    <t>A1d</t>
  </si>
  <si>
    <t>B1a</t>
  </si>
  <si>
    <t>B1b</t>
  </si>
  <si>
    <t>B1c</t>
  </si>
  <si>
    <t>C1a</t>
  </si>
  <si>
    <t>C1b</t>
  </si>
  <si>
    <t>C1c</t>
  </si>
  <si>
    <t>E1d</t>
  </si>
  <si>
    <t>E1e</t>
  </si>
  <si>
    <t>Ha</t>
  </si>
  <si>
    <t>Hours</t>
  </si>
  <si>
    <t>Salaries</t>
  </si>
  <si>
    <t>Payroll and Benefits</t>
  </si>
  <si>
    <t>MEDICAL</t>
  </si>
  <si>
    <t xml:space="preserve">DENTAL </t>
  </si>
  <si>
    <t>MEDICAID</t>
  </si>
  <si>
    <t>MEDICARE</t>
  </si>
  <si>
    <t>PRIVATE</t>
  </si>
  <si>
    <t>GRANTS</t>
  </si>
  <si>
    <t>DONATIONS</t>
  </si>
  <si>
    <t>BONDING</t>
  </si>
  <si>
    <t>340b</t>
  </si>
  <si>
    <t>CONSULTING</t>
  </si>
  <si>
    <t>INVESTMENT INCOME</t>
  </si>
  <si>
    <t>RENTAL INCOME</t>
  </si>
  <si>
    <t>INTEREST AND DIVIDENDS</t>
  </si>
  <si>
    <t>Medical Salary and Benefits Other</t>
  </si>
  <si>
    <t>CONTRACTED</t>
  </si>
  <si>
    <t>CADC</t>
  </si>
  <si>
    <t>ACCT</t>
  </si>
  <si>
    <t>B1c  DATA</t>
  </si>
  <si>
    <t>A1d NUMBERS</t>
  </si>
  <si>
    <t>C1c TOTAL</t>
  </si>
  <si>
    <t>ALLOCATED TOTAL</t>
  </si>
  <si>
    <t>TOTAL</t>
  </si>
  <si>
    <t>250100</t>
  </si>
  <si>
    <t>800000</t>
  </si>
  <si>
    <t>800600</t>
  </si>
  <si>
    <t>TOTAL DENTAL</t>
  </si>
  <si>
    <t>100100</t>
  </si>
  <si>
    <t>100600</t>
  </si>
  <si>
    <t>101100</t>
  </si>
  <si>
    <t>Reclass Public Relations and Weitzman</t>
  </si>
  <si>
    <t>M</t>
  </si>
  <si>
    <t>D</t>
  </si>
  <si>
    <t>MH</t>
  </si>
  <si>
    <t>100900</t>
  </si>
  <si>
    <t>211500</t>
  </si>
  <si>
    <t>COMMUNITY HEALTH CENTER INC.</t>
  </si>
  <si>
    <t>FQHC Certified              Yes/ No</t>
  </si>
  <si>
    <t>22 Fifth Street, Stamford, CT 06905</t>
  </si>
  <si>
    <t xml:space="preserve">COMPLETE CLINIC SITE LISTING FOR - </t>
  </si>
  <si>
    <t>TOTAL REVENUES</t>
  </si>
  <si>
    <t>Administrative Assistant</t>
  </si>
  <si>
    <t>Care Coordinator</t>
  </si>
  <si>
    <t>Case Manager, Community Based Services</t>
  </si>
  <si>
    <t>Diabetes Educator</t>
  </si>
  <si>
    <t>Lead Dietitian</t>
  </si>
  <si>
    <t>Medical Assistant</t>
  </si>
  <si>
    <t>Operations Manager</t>
  </si>
  <si>
    <t>Patient Services Associate</t>
  </si>
  <si>
    <t>Patient Services Associate II</t>
  </si>
  <si>
    <t>Psychiatrist</t>
  </si>
  <si>
    <t>TOTAL MENTAL HEALTH</t>
  </si>
  <si>
    <t>FORM A-1</t>
  </si>
  <si>
    <t>FORM A-5</t>
  </si>
  <si>
    <t>NON-ALLOWABLE A-4</t>
  </si>
  <si>
    <t>FORM A-3</t>
  </si>
  <si>
    <t>DENTAL A-2</t>
  </si>
  <si>
    <t>MEDICAL  A-1</t>
  </si>
  <si>
    <t>C2a</t>
  </si>
  <si>
    <t>ADVERTISING</t>
  </si>
  <si>
    <t>COMPUTER TIME</t>
  </si>
  <si>
    <t>CONTINUING ED</t>
  </si>
  <si>
    <t>CONTRACTUAL EXPENSES</t>
  </si>
  <si>
    <t>DATA STORAGE EXPENSE</t>
  </si>
  <si>
    <t>DENTAL LAB</t>
  </si>
  <si>
    <t>EQUIP RENTAL</t>
  </si>
  <si>
    <t>HEALTH FAIR EXPENSE</t>
  </si>
  <si>
    <t>LEGAL FEES</t>
  </si>
  <si>
    <t>LICENSES - CERT EXP</t>
  </si>
  <si>
    <t>LITERATURE</t>
  </si>
  <si>
    <t>MAINT - REPAIR EXP</t>
  </si>
  <si>
    <t>MAINT CONTRACTS</t>
  </si>
  <si>
    <t>MEETINGS &amp; CONF</t>
  </si>
  <si>
    <t>MEMBERSHIP DUES</t>
  </si>
  <si>
    <t>MINOR EQUIP</t>
  </si>
  <si>
    <t>OFFICE SUPPLIES</t>
  </si>
  <si>
    <t>OTHER EXPENSE</t>
  </si>
  <si>
    <t>OTHER SUPPLIES</t>
  </si>
  <si>
    <t>PRINTING EXPENSE</t>
  </si>
  <si>
    <t>PROPERTY TAXES</t>
  </si>
  <si>
    <t>RENT EXPENSE</t>
  </si>
  <si>
    <t>TELEPHONE EXP</t>
  </si>
  <si>
    <t>TEMP HELP EXPENSE</t>
  </si>
  <si>
    <t>TRANSLATION SERVICES</t>
  </si>
  <si>
    <t>TRAVEL EXP</t>
  </si>
  <si>
    <t>UTILITIES</t>
  </si>
  <si>
    <t>WATER - SEWER EXP</t>
  </si>
  <si>
    <t>DEPREC EXP</t>
  </si>
  <si>
    <t>BLDG ALLOCATIONS</t>
  </si>
  <si>
    <t>RECRUITMENT COSTS</t>
  </si>
  <si>
    <t>USES RATIOS FROM VISTS (ABOVE)</t>
  </si>
  <si>
    <t>411500</t>
  </si>
  <si>
    <t>120500</t>
  </si>
  <si>
    <t>800200</t>
  </si>
  <si>
    <t>801300</t>
  </si>
  <si>
    <t>Medical Assistant - SBHC</t>
  </si>
  <si>
    <t>Outreach &amp; Development Specialist</t>
  </si>
  <si>
    <t>Pharmacist</t>
  </si>
  <si>
    <t>Program Administrative Assistant</t>
  </si>
  <si>
    <t>Program Specialist</t>
  </si>
  <si>
    <t>Quality Improvement Director</t>
  </si>
  <si>
    <t>200000</t>
  </si>
  <si>
    <t>MENTAL HLTH</t>
  </si>
  <si>
    <t>A-STAFF CONTR FEES</t>
  </si>
  <si>
    <t>B-STAFF CONTR FEES</t>
  </si>
  <si>
    <t>C-STAFF CONTR FEES</t>
  </si>
  <si>
    <t>CONTRACTED STAFF EXPENSE</t>
  </si>
  <si>
    <t>DENTAL</t>
  </si>
  <si>
    <t>See Attachment A - Contracted Staff Costs</t>
  </si>
  <si>
    <t>Program Manager</t>
  </si>
  <si>
    <t>Psychiatric Nurse Practitioner</t>
  </si>
  <si>
    <t>Psychiatric Nurse Practitioner - Resident</t>
  </si>
  <si>
    <t>PAYROLL SERVICES</t>
  </si>
  <si>
    <t>PHARMACY EXPENSE</t>
  </si>
  <si>
    <t>Access to Care Coordinator</t>
  </si>
  <si>
    <t>AmeriCorps Member</t>
  </si>
  <si>
    <t>Outreach Worker</t>
  </si>
  <si>
    <t>Program Coordinator</t>
  </si>
  <si>
    <t>Program Manager, SBHC</t>
  </si>
  <si>
    <t>Referral Coordinator</t>
  </si>
  <si>
    <t>Dental Assistant</t>
  </si>
  <si>
    <t>100200</t>
  </si>
  <si>
    <t>School Based Costs</t>
  </si>
  <si>
    <t>NET PATIENT REVENUE</t>
  </si>
  <si>
    <t>MEDICAID SUPPLEMENTAL</t>
  </si>
  <si>
    <t>OTHER INCOME</t>
  </si>
  <si>
    <t>PATIENT / SELF PAY</t>
  </si>
  <si>
    <t xml:space="preserve">OTHER </t>
  </si>
  <si>
    <t>Medicaid Supplemental</t>
  </si>
  <si>
    <t xml:space="preserve">PHYSICIAN ASSISTANT </t>
  </si>
  <si>
    <t xml:space="preserve">SPLIT - </t>
  </si>
  <si>
    <t>BAD DEBTS RECLASSED FROM REVENUE</t>
  </si>
  <si>
    <t>AFFILIATES EXPENSES</t>
  </si>
  <si>
    <t>CECN</t>
  </si>
  <si>
    <t>CGC</t>
  </si>
  <si>
    <t>REALTY II</t>
  </si>
  <si>
    <t>REALTY I</t>
  </si>
  <si>
    <t>NIMAA</t>
  </si>
  <si>
    <t>NURSE PRACTITIONERS</t>
  </si>
  <si>
    <t>Total Expenses per Medicaid Cost Report for Community Health Center</t>
  </si>
  <si>
    <t>PR ONLY</t>
  </si>
  <si>
    <t>WEITZMAN</t>
  </si>
  <si>
    <t>Reclass Public Rel &amp; Weitzman</t>
  </si>
  <si>
    <t>DO</t>
  </si>
  <si>
    <t>DIFFERENCE   /  IMMATERIAL</t>
  </si>
  <si>
    <t>LMSW</t>
  </si>
  <si>
    <t>MSW</t>
  </si>
  <si>
    <t>CM</t>
  </si>
  <si>
    <t>LPC, LADC</t>
  </si>
  <si>
    <t>MD</t>
  </si>
  <si>
    <t xml:space="preserve">401 Shippan Avenue, Stamford, CT </t>
  </si>
  <si>
    <t>103 West Broad Street, Stamford, CT</t>
  </si>
  <si>
    <t>81 Holly Hill Lane, Greenwich, CT</t>
  </si>
  <si>
    <t>DC</t>
  </si>
  <si>
    <t>Staff Nurse</t>
  </si>
  <si>
    <t>Triage Nurse</t>
  </si>
  <si>
    <t>Licensed Practical Nurse</t>
  </si>
  <si>
    <t>Nurse Manager</t>
  </si>
  <si>
    <t>Nurse Practitioner</t>
  </si>
  <si>
    <t>Nurse Supervisor</t>
  </si>
  <si>
    <t>Community Partner Specialist</t>
  </si>
  <si>
    <t>RN Care Coordinator</t>
  </si>
  <si>
    <t>Nurse Practitioner - Resident</t>
  </si>
  <si>
    <t>CE</t>
  </si>
  <si>
    <t>DPM</t>
  </si>
  <si>
    <t>RD</t>
  </si>
  <si>
    <t>PRACTITIONER</t>
  </si>
  <si>
    <t>Dental Hygienist</t>
  </si>
  <si>
    <t>Manager SBHC Dental Hygiene</t>
  </si>
  <si>
    <t>MENTAL HEALTH</t>
  </si>
  <si>
    <t>Chief Nursing Officer</t>
  </si>
  <si>
    <t>A1d  DATA</t>
  </si>
  <si>
    <t>TOTAL MEDICAL</t>
  </si>
  <si>
    <t>SBHC Costs</t>
  </si>
  <si>
    <t>Total A1a-A1d</t>
  </si>
  <si>
    <t>Total B1a-B1c</t>
  </si>
  <si>
    <t>Total C1a-C2e</t>
  </si>
  <si>
    <t>A1d (allocated)</t>
  </si>
  <si>
    <t>B1c (allocated)</t>
  </si>
  <si>
    <t>C1c (allocated)</t>
  </si>
  <si>
    <t>Contracted Medical Staff</t>
  </si>
  <si>
    <t>Medical Equipment Depreciation</t>
  </si>
  <si>
    <t>A2d</t>
  </si>
  <si>
    <t>Professional Liability Ins</t>
  </si>
  <si>
    <t>BAD DEBT</t>
  </si>
  <si>
    <t>Reclass of PR &amp; Weitzman</t>
  </si>
  <si>
    <t>Contracted Dental Staff</t>
  </si>
  <si>
    <t>Dental Equipment Depreciation</t>
  </si>
  <si>
    <t>B2d</t>
  </si>
  <si>
    <t>Contracted Mental Health Staff</t>
  </si>
  <si>
    <t>MH Equipment Depreciation</t>
  </si>
  <si>
    <t>C2d</t>
  </si>
  <si>
    <t>E1h</t>
  </si>
  <si>
    <t>TOTAL EXPENSES</t>
  </si>
  <si>
    <t>By Line Item</t>
  </si>
  <si>
    <t>Subtotals</t>
  </si>
  <si>
    <t>PER FORM A-5 GRAND TOTAL COSTS</t>
  </si>
  <si>
    <t>FROM GL</t>
  </si>
  <si>
    <t>FY2021</t>
  </si>
  <si>
    <t>Allocated Direct Support Staff   - ALLOCATION</t>
  </si>
  <si>
    <t>FY21 Fringe Rate:</t>
  </si>
  <si>
    <t>Vaccine Staff Nurse</t>
  </si>
  <si>
    <t>CGC Case Manager, Behavioral Health</t>
  </si>
  <si>
    <t>CGC Psychology Intern</t>
  </si>
  <si>
    <t>Chief Psychiatry Officer</t>
  </si>
  <si>
    <t>Medical Director, Psychiatry DNU (inactive)</t>
  </si>
  <si>
    <t>Psychology Intern - CGC (DNU) (inactive)</t>
  </si>
  <si>
    <t>Psychology Resident Trainee</t>
  </si>
  <si>
    <t>CLIENT SUPPORT - MEDICAL</t>
  </si>
  <si>
    <t>CLIENT SUPPORT - MISC</t>
  </si>
  <si>
    <t>CLIENT SUPPORT - TRANS</t>
  </si>
  <si>
    <t>CLEANING - HOUSEKEEPING</t>
  </si>
  <si>
    <t>CLIENT SUPPORT - DENTAL</t>
  </si>
  <si>
    <t>ADMINISTRATIVE EXPENSE</t>
  </si>
  <si>
    <t>310000</t>
  </si>
  <si>
    <t>400000</t>
  </si>
  <si>
    <t>411600</t>
  </si>
  <si>
    <t>411700</t>
  </si>
  <si>
    <t>TOTAL EXPENSES PER FY2021 AFS (CONSOLIDATED)</t>
  </si>
  <si>
    <t>On Site Dental Director</t>
  </si>
  <si>
    <t>Discipline</t>
  </si>
  <si>
    <t>SBHC</t>
  </si>
  <si>
    <t>UNKNOWN</t>
  </si>
  <si>
    <t>TOTALS</t>
  </si>
  <si>
    <t>Behavioral Health</t>
  </si>
  <si>
    <t>PER BILL CUBE</t>
  </si>
  <si>
    <t>RATIOS</t>
  </si>
  <si>
    <t xml:space="preserve">SBHC SPLIT - </t>
  </si>
  <si>
    <t>BEH HEALTH</t>
  </si>
  <si>
    <t>SBHC TOTAL</t>
  </si>
  <si>
    <t>FY2021   - ( FROM BC FY2021 SUMMARY FILE )</t>
  </si>
  <si>
    <t>LIABILITY INSURANCE - TOTAL</t>
  </si>
  <si>
    <t>POSTAGE</t>
  </si>
  <si>
    <t>MED EQUIP DEPR</t>
  </si>
  <si>
    <t>MED OTHER DIRECT</t>
  </si>
  <si>
    <t>RECLASS TO MENTAL HEALTH</t>
  </si>
  <si>
    <t>SBHC Medical</t>
  </si>
  <si>
    <t>SBHC Mental Health</t>
  </si>
  <si>
    <t>500000</t>
  </si>
  <si>
    <t>510000</t>
  </si>
  <si>
    <t>510100</t>
  </si>
  <si>
    <t>510200</t>
  </si>
  <si>
    <t>510300</t>
  </si>
  <si>
    <t>510400</t>
  </si>
  <si>
    <t>510500</t>
  </si>
  <si>
    <t>510600</t>
  </si>
  <si>
    <t>510700</t>
  </si>
  <si>
    <t>510800</t>
  </si>
  <si>
    <t>511000</t>
  </si>
  <si>
    <t>511600</t>
  </si>
  <si>
    <t>543100</t>
  </si>
  <si>
    <t>543200</t>
  </si>
  <si>
    <t>543300</t>
  </si>
  <si>
    <t>543400</t>
  </si>
  <si>
    <t>543500</t>
  </si>
  <si>
    <t>543600</t>
  </si>
  <si>
    <t>543700</t>
  </si>
  <si>
    <t>543800</t>
  </si>
  <si>
    <t>543900</t>
  </si>
  <si>
    <t>544100</t>
  </si>
  <si>
    <t>544400</t>
  </si>
  <si>
    <t>544500</t>
  </si>
  <si>
    <t>544600</t>
  </si>
  <si>
    <t>544700</t>
  </si>
  <si>
    <t>544800</t>
  </si>
  <si>
    <t>545000</t>
  </si>
  <si>
    <t>545100</t>
  </si>
  <si>
    <t>545500</t>
  </si>
  <si>
    <t>545600</t>
  </si>
  <si>
    <t>545900</t>
  </si>
  <si>
    <t>546000</t>
  </si>
  <si>
    <t>546100</t>
  </si>
  <si>
    <t>546400</t>
  </si>
  <si>
    <t>546700</t>
  </si>
  <si>
    <t>546710</t>
  </si>
  <si>
    <t>546720</t>
  </si>
  <si>
    <t>546800</t>
  </si>
  <si>
    <t>546900</t>
  </si>
  <si>
    <t>547200</t>
  </si>
  <si>
    <t>547300</t>
  </si>
  <si>
    <t>547400</t>
  </si>
  <si>
    <t>549000</t>
  </si>
  <si>
    <t>549100</t>
  </si>
  <si>
    <t>549200</t>
  </si>
  <si>
    <t>550000</t>
  </si>
  <si>
    <t>551000</t>
  </si>
  <si>
    <t>552000</t>
  </si>
  <si>
    <t>553000</t>
  </si>
  <si>
    <t>554000</t>
  </si>
  <si>
    <t>555000</t>
  </si>
  <si>
    <t>560000</t>
  </si>
  <si>
    <t>561000</t>
  </si>
  <si>
    <t>561100</t>
  </si>
  <si>
    <t>561200</t>
  </si>
  <si>
    <t>561300</t>
  </si>
  <si>
    <t>561600</t>
  </si>
  <si>
    <t>561700</t>
  </si>
  <si>
    <t>561800</t>
  </si>
  <si>
    <t>561900</t>
  </si>
  <si>
    <t>562000</t>
  </si>
  <si>
    <t>562200</t>
  </si>
  <si>
    <t>562300</t>
  </si>
  <si>
    <t>562400</t>
  </si>
  <si>
    <t>562500</t>
  </si>
  <si>
    <t>563000</t>
  </si>
  <si>
    <t>563100</t>
  </si>
  <si>
    <t>563200</t>
  </si>
  <si>
    <t>563300</t>
  </si>
  <si>
    <t>563400</t>
  </si>
  <si>
    <t>563500</t>
  </si>
  <si>
    <t>563600</t>
  </si>
  <si>
    <t>563700</t>
  </si>
  <si>
    <t>563800</t>
  </si>
  <si>
    <t>563900</t>
  </si>
  <si>
    <t>564000</t>
  </si>
  <si>
    <t>564100</t>
  </si>
  <si>
    <t>564200</t>
  </si>
  <si>
    <t>564400</t>
  </si>
  <si>
    <t>564500</t>
  </si>
  <si>
    <t>564600</t>
  </si>
  <si>
    <t>564700</t>
  </si>
  <si>
    <t>564800</t>
  </si>
  <si>
    <t>564900</t>
  </si>
  <si>
    <t>565000</t>
  </si>
  <si>
    <t>565100</t>
  </si>
  <si>
    <t>565200</t>
  </si>
  <si>
    <t>565300</t>
  </si>
  <si>
    <t>565400</t>
  </si>
  <si>
    <t>565500</t>
  </si>
  <si>
    <t>565600</t>
  </si>
  <si>
    <t>565900</t>
  </si>
  <si>
    <t>566000</t>
  </si>
  <si>
    <t>566100</t>
  </si>
  <si>
    <t>566600</t>
  </si>
  <si>
    <t>SBHC SPLIT</t>
  </si>
  <si>
    <t>WEITZMAN &amp; PUBLIC RELATIONS</t>
  </si>
  <si>
    <t>DIFFERENCE</t>
  </si>
  <si>
    <t>CHC EXPENSES</t>
  </si>
  <si>
    <t>Sum of Ending Balance</t>
  </si>
  <si>
    <t>A1d -Contractual Exp</t>
  </si>
  <si>
    <t>ADJ</t>
  </si>
  <si>
    <t>BENEFITS</t>
  </si>
  <si>
    <t>BAD DEBTS</t>
  </si>
  <si>
    <t>RECLASS FROM MED TO MH</t>
  </si>
  <si>
    <t>Sub-totals</t>
  </si>
  <si>
    <t>Non-Allowable</t>
  </si>
  <si>
    <t>Totals</t>
  </si>
  <si>
    <t>Grand Totals</t>
  </si>
  <si>
    <t>Total Salary and Benefits - FS</t>
  </si>
  <si>
    <t>TRANSPORTATION</t>
  </si>
  <si>
    <t>OTHER 2e</t>
  </si>
  <si>
    <t>OTHER 2h</t>
  </si>
  <si>
    <t>GRAND TOTAL</t>
  </si>
  <si>
    <t>Total Contracted Providers Encounters, Hours, and FTEs</t>
  </si>
  <si>
    <t>Licensed Practical Nurse, By Any Means</t>
  </si>
  <si>
    <t>Licensed Practical Nurse, COVID/Vaccine LPN</t>
  </si>
  <si>
    <t>Licensed Practical Nurse, Primary Care Support</t>
  </si>
  <si>
    <t>Licensed Practical Nurse, Vaccine LPN</t>
  </si>
  <si>
    <t>Nurse Practitioner - Urgent Care</t>
  </si>
  <si>
    <t>COVID/Vaccine Staff Nurse</t>
  </si>
  <si>
    <t>Certified Nurse Midwife</t>
  </si>
  <si>
    <t>Regional Director, Medical- SBHC</t>
  </si>
  <si>
    <t>MBBS</t>
  </si>
  <si>
    <t>Lpc</t>
  </si>
  <si>
    <t>MS</t>
  </si>
  <si>
    <t>CGC CEO/Clinical Director</t>
  </si>
  <si>
    <t xml:space="preserve">Psychology Intern - CGC </t>
  </si>
  <si>
    <t>RDH</t>
  </si>
  <si>
    <t>CLINICAL SPECIALIST</t>
  </si>
  <si>
    <t>STAFF NURSE</t>
  </si>
  <si>
    <t>HOME VISITOR</t>
  </si>
  <si>
    <t>LPN</t>
  </si>
  <si>
    <t>PRENATAL SR MGR</t>
  </si>
  <si>
    <t>ELIMINATIONS</t>
  </si>
  <si>
    <t>PER ATTACHMENT A</t>
  </si>
  <si>
    <t>DIFFERENCE FORM A-5 TO ATTACHMENT A</t>
  </si>
  <si>
    <t>TOTAL DIFFERNCE</t>
  </si>
  <si>
    <t>COVID SUPPORT</t>
  </si>
  <si>
    <t>Medical Assistant (NIMAA)</t>
  </si>
  <si>
    <t>Participant Experience Lead</t>
  </si>
  <si>
    <t>Program Director</t>
  </si>
  <si>
    <t>Program Manager, All of Us Research</t>
  </si>
  <si>
    <t>100800</t>
  </si>
  <si>
    <t>200100</t>
  </si>
  <si>
    <t>800300</t>
  </si>
  <si>
    <t>DENTAL STAFF</t>
  </si>
  <si>
    <t>ALLOCATED +++</t>
  </si>
  <si>
    <t xml:space="preserve">Psychiatric Nurses - </t>
  </si>
  <si>
    <t xml:space="preserve">Psychiatrists - </t>
  </si>
  <si>
    <t>Total Psychiatrists</t>
  </si>
  <si>
    <t>TOTAL OTHER MH PRACTITIONERS</t>
  </si>
  <si>
    <t>TOTAL PSYCH NURSES</t>
  </si>
  <si>
    <t>REVISED A1a - A1b</t>
  </si>
  <si>
    <t>GL TRIAL BALANCE REPORT BY MEDICAID LINE</t>
  </si>
  <si>
    <t>Project</t>
  </si>
  <si>
    <t>TTL</t>
  </si>
  <si>
    <t xml:space="preserve"> OVERHEAD</t>
  </si>
  <si>
    <t>COVID-19  TESTING</t>
  </si>
  <si>
    <t>SAL &amp; BENEFITS</t>
  </si>
  <si>
    <t>TTL SAL &amp; BEN</t>
  </si>
  <si>
    <t>NON SALARY EXPENSE</t>
  </si>
  <si>
    <t>DIRECT</t>
  </si>
  <si>
    <t>INDIRECT</t>
  </si>
  <si>
    <t>MEDICAID LINE NON SAL</t>
  </si>
  <si>
    <t>MEDICAL SAL &amp; BEN</t>
  </si>
  <si>
    <t>DENTAL SAL &amp; BEN</t>
  </si>
  <si>
    <t xml:space="preserve">SAL &amp; BEN </t>
  </si>
  <si>
    <t>TOTAL DIRECT</t>
  </si>
  <si>
    <t>ADJ MEDICAL</t>
  </si>
  <si>
    <t>ADJ DENTAL</t>
  </si>
  <si>
    <t>ADJ BEH HLTH</t>
  </si>
  <si>
    <t>OVERHEAD</t>
  </si>
  <si>
    <t>FACILITY</t>
  </si>
  <si>
    <t>ADMINISTRATIVE</t>
  </si>
  <si>
    <t>TTL OVERHEAD</t>
  </si>
  <si>
    <t>DIRECT COSTS</t>
  </si>
  <si>
    <t>INDIRECT COSTS</t>
  </si>
  <si>
    <t>TOTAL INDIRECT</t>
  </si>
  <si>
    <t>GRAND TTL COVID 19 TEST SITE COSTS</t>
  </si>
  <si>
    <t>BREAK OUT OF DIRECT VS INDIRECT COSTS OF SALARY &amp; BENEFITS</t>
  </si>
  <si>
    <t>DIRECT = 80%</t>
  </si>
  <si>
    <t>INDIRECT = 20%</t>
  </si>
  <si>
    <t>COMMUNITY HEALTH CENTER INC</t>
  </si>
  <si>
    <t xml:space="preserve">     DIRECT COSTS </t>
  </si>
  <si>
    <t xml:space="preserve">     OVERHEAD</t>
  </si>
  <si>
    <t xml:space="preserve">     INDIRECT COSTS</t>
  </si>
  <si>
    <t>COVID-19 Vaccine Revenue</t>
  </si>
  <si>
    <t>AUDIT FEES</t>
  </si>
  <si>
    <t>CORP ALLOCATIONS</t>
  </si>
  <si>
    <t>DENTAL SUPPLIES</t>
  </si>
  <si>
    <t>GENERAL LIAB INS EXP</t>
  </si>
  <si>
    <t>INTEREST EXP</t>
  </si>
  <si>
    <t>MEDICAL LAB EXPENSES</t>
  </si>
  <si>
    <t>MEDICAL SUPPLIES &amp; EXPENSE</t>
  </si>
  <si>
    <t>PAYROLL</t>
  </si>
  <si>
    <t>GENERAL LIAB INS EXP - MEDICAL</t>
  </si>
  <si>
    <t>GENERAL LIAB INS EXP - DENTAL</t>
  </si>
  <si>
    <t>GENERAL LIAB INS EXP - MENTAL HEALTH</t>
  </si>
  <si>
    <t>ALL - ALL EXPENSES  BY ACCOUNT</t>
  </si>
  <si>
    <t>ACCOUNT TYPE</t>
  </si>
  <si>
    <t>Mark Keeley</t>
  </si>
  <si>
    <t>Chief Financial Officer</t>
  </si>
  <si>
    <t>JASON PNIEWSKI</t>
  </si>
  <si>
    <t>CONTROLLER</t>
  </si>
  <si>
    <t>860-347-6971  /  PNIEWSJ@CHC1.COM</t>
  </si>
  <si>
    <t>Reclassed Costs for Non-FQHC Scope Projects  :</t>
  </si>
  <si>
    <t>Reclassed Costs for Non-FQHC Scope Projects :</t>
  </si>
  <si>
    <t xml:space="preserve">Reclassed Costs for Non-FQHC Scope Projects  : </t>
  </si>
  <si>
    <t>Reclassed Costs for Non-FQHC Scope Projects - Salaries</t>
  </si>
  <si>
    <t>Reclassed Costs for Non-FQHC Scope Projects  : Contract Staff</t>
  </si>
  <si>
    <t xml:space="preserve">Reclassed Costs for Non-FQHC Scope Projects - </t>
  </si>
  <si>
    <t xml:space="preserve">RECLASSED COSTS TO NON-ALLOWABLE FOR NON-FQHC SCOPE PROJECTS </t>
  </si>
  <si>
    <t xml:space="preserve">   COVAC Operations Administrator</t>
  </si>
  <si>
    <t xml:space="preserve">   COVAC Operations Data Coordinator</t>
  </si>
  <si>
    <t xml:space="preserve">   COVID Clinical Testing Specialist</t>
  </si>
  <si>
    <t xml:space="preserve">   COVID Mass Vaccination Team Leader</t>
  </si>
  <si>
    <t xml:space="preserve">   COVID Testing Support Associate</t>
  </si>
  <si>
    <t xml:space="preserve">   COVID/Vaccine Staff Nurse</t>
  </si>
  <si>
    <t xml:space="preserve">   Dietitian</t>
  </si>
  <si>
    <t xml:space="preserve">   Home Visitor</t>
  </si>
  <si>
    <t xml:space="preserve">   Perinatal Support Worker</t>
  </si>
  <si>
    <t xml:space="preserve">   Pharmacy Assistant Coordinator</t>
  </si>
  <si>
    <t xml:space="preserve">   Podiatrist</t>
  </si>
  <si>
    <t xml:space="preserve">   Program Manager, CKP</t>
  </si>
  <si>
    <t xml:space="preserve">   Senior Medical Assistant</t>
  </si>
  <si>
    <t xml:space="preserve">   Senior Medical Assistant - SBHC</t>
  </si>
  <si>
    <t xml:space="preserve">   Senior Operations Manager</t>
  </si>
  <si>
    <t xml:space="preserve">   Senior Patient Services Associate</t>
  </si>
  <si>
    <t xml:space="preserve">   Senior Program Manager, Prenatal</t>
  </si>
  <si>
    <t xml:space="preserve">   Supervisor, Indexing Team</t>
  </si>
  <si>
    <t xml:space="preserve">   Vaccine Clinical Specialist</t>
  </si>
  <si>
    <t xml:space="preserve">   Vaccine Staff Nurse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</si>
</sst>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General_)"/>
    <numFmt numFmtId="166" formatCode="0_)"/>
    <numFmt numFmtId="167" formatCode="0.0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0.00_);\(0.00\)"/>
    <numFmt numFmtId="171" formatCode="[$-409]dddd\,\ mmmm\ dd\,\ yyyy"/>
    <numFmt numFmtId="172" formatCode="0_);\(0\)"/>
    <numFmt numFmtId="173" formatCode="mm/dd/yyyy"/>
    <numFmt numFmtId="174" formatCode="mm/dd/yy;@"/>
    <numFmt numFmtId="175" formatCode="0.0%"/>
    <numFmt numFmtId="176" formatCode="0.000%"/>
    <numFmt numFmtId="177" formatCode="0.0000%"/>
    <numFmt numFmtId="178" formatCode="0.00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#,##0.00;\(#,###,##0.00\)"/>
    <numFmt numFmtId="184" formatCode="_(* #,##0.00_);_(* \(#,##0.00\);_(* \-??_);_(@_)"/>
    <numFmt numFmtId="185" formatCode="&quot;$&quot;#,##0.00;\(&quot;$&quot;#,##0.00\)"/>
    <numFmt numFmtId="186" formatCode="#,##0.00000000_);[Red]\(#,##0.00000000\)"/>
    <numFmt numFmtId="187" formatCode="_(* #,##0.000_);_(* \(#,##0.000\);_(* &quot;-&quot;??_);_(@_)"/>
    <numFmt numFmtId="188" formatCode="_(* #,##0.0000_);_(* \(#,##0.0000\);_(* &quot;-&quot;??_);_(@_)"/>
    <numFmt numFmtId="189" formatCode="#,##0.0"/>
    <numFmt numFmtId="190" formatCode="#,##0.0_);\(#,##0.0\)"/>
    <numFmt numFmtId="191" formatCode="#,##0.0_);[Red]\(#,##0.0\)"/>
    <numFmt numFmtId="192" formatCode="_(* #,##0.000_);_(* \(#,##0.000\);_(* &quot;-&quot;???_);_(@_)"/>
    <numFmt numFmtId="193" formatCode="#,##0.000"/>
    <numFmt numFmtId="194" formatCode="_(* #,##0.00000_);_(* \(#,##0.00000\);_(* &quot;-&quot;??_);_(@_)"/>
    <numFmt numFmtId="195" formatCode="_(* #,##0.000000_);_(* \(#,##0.000000\);_(* &quot;-&quot;??_);_(@_)"/>
    <numFmt numFmtId="196" formatCode="_(* #,##0.0000000_);_(* \(#,##0.0000000\);_(* &quot;-&quot;??_);_(@_)"/>
    <numFmt numFmtId="197" formatCode="_(&quot;$&quot;* #,##0.0_);_(&quot;$&quot;* \(#,##0.0\);_(&quot;$&quot;* &quot;-&quot;??_);_(@_)"/>
    <numFmt numFmtId="198" formatCode="[$-409]dddd\,\ mmmm\ d\,\ yyyy"/>
    <numFmt numFmtId="199" formatCode="[$-409]h:mm:ss\ AM/PM"/>
    <numFmt numFmtId="200" formatCode="#,##0.00;\(#,##0.00\)"/>
    <numFmt numFmtId="201" formatCode="#,##0.0000000_);\(#,##0.0000000\)"/>
    <numFmt numFmtId="202" formatCode="0.0000"/>
    <numFmt numFmtId="203" formatCode="#,##0;\(#,##0\)"/>
    <numFmt numFmtId="204" formatCode="0.000"/>
  </numFmts>
  <fonts count="1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Helv"/>
      <family val="0"/>
    </font>
    <font>
      <sz val="10"/>
      <name val="Helv"/>
      <family val="0"/>
    </font>
    <font>
      <b/>
      <sz val="8"/>
      <name val="Helv"/>
      <family val="0"/>
    </font>
    <font>
      <sz val="8"/>
      <name val="Helv"/>
      <family val="0"/>
    </font>
    <font>
      <sz val="8"/>
      <name val="Arial"/>
      <family val="2"/>
    </font>
    <font>
      <b/>
      <sz val="10"/>
      <color indexed="8"/>
      <name val="Helv"/>
      <family val="0"/>
    </font>
    <font>
      <sz val="10"/>
      <color indexed="8"/>
      <name val="Helv"/>
      <family val="0"/>
    </font>
    <font>
      <sz val="8"/>
      <color indexed="8"/>
      <name val="Helv"/>
      <family val="0"/>
    </font>
    <font>
      <sz val="8"/>
      <color indexed="12"/>
      <name val="Helv"/>
      <family val="0"/>
    </font>
    <font>
      <b/>
      <i/>
      <sz val="10"/>
      <name val="Arial"/>
      <family val="2"/>
    </font>
    <font>
      <b/>
      <sz val="11"/>
      <name val="Helv"/>
      <family val="0"/>
    </font>
    <font>
      <sz val="11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8"/>
      <name val="Helv"/>
      <family val="0"/>
    </font>
    <font>
      <b/>
      <sz val="9"/>
      <name val="Helv"/>
      <family val="0"/>
    </font>
    <font>
      <b/>
      <u val="single"/>
      <sz val="12"/>
      <name val="Helv"/>
      <family val="0"/>
    </font>
    <font>
      <b/>
      <i/>
      <sz val="12"/>
      <name val="Helv"/>
      <family val="0"/>
    </font>
    <font>
      <b/>
      <sz val="11"/>
      <name val="Arial"/>
      <family val="2"/>
    </font>
    <font>
      <b/>
      <vertAlign val="superscript"/>
      <sz val="10"/>
      <name val="Helv"/>
      <family val="0"/>
    </font>
    <font>
      <b/>
      <i/>
      <sz val="10"/>
      <name val="Helv"/>
      <family val="0"/>
    </font>
    <font>
      <b/>
      <sz val="12"/>
      <color indexed="8"/>
      <name val="Helv"/>
      <family val="0"/>
    </font>
    <font>
      <b/>
      <i/>
      <sz val="8"/>
      <name val="Helv"/>
      <family val="0"/>
    </font>
    <font>
      <b/>
      <i/>
      <vertAlign val="superscript"/>
      <sz val="8"/>
      <name val="Helv"/>
      <family val="0"/>
    </font>
    <font>
      <b/>
      <u val="single"/>
      <sz val="10"/>
      <name val="Helv"/>
      <family val="0"/>
    </font>
    <font>
      <b/>
      <i/>
      <u val="single"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0"/>
      <name val="MS Sans Serif"/>
      <family val="2"/>
    </font>
    <font>
      <b/>
      <sz val="12"/>
      <color indexed="8"/>
      <name val="Arial"/>
      <family val="2"/>
    </font>
    <font>
      <b/>
      <sz val="16"/>
      <name val="Helv"/>
      <family val="0"/>
    </font>
    <font>
      <b/>
      <u val="single"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  <font>
      <b/>
      <u val="single"/>
      <sz val="9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9"/>
      <name val="Helv"/>
      <family val="0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1"/>
      <name val="Calibri"/>
      <family val="2"/>
    </font>
    <font>
      <b/>
      <sz val="12"/>
      <color indexed="10"/>
      <name val="Calibri"/>
      <family val="2"/>
    </font>
    <font>
      <b/>
      <sz val="10"/>
      <color indexed="60"/>
      <name val="Arial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Arial"/>
      <family val="2"/>
    </font>
    <font>
      <b/>
      <sz val="9"/>
      <name val="Calibri"/>
      <family val="2"/>
    </font>
    <font>
      <b/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Helv"/>
      <family val="0"/>
    </font>
    <font>
      <b/>
      <sz val="10"/>
      <color theme="1"/>
      <name val="Arial"/>
      <family val="2"/>
    </font>
    <font>
      <b/>
      <sz val="10"/>
      <color theme="4" tint="-0.4999699890613556"/>
      <name val="Arial"/>
      <family val="2"/>
    </font>
    <font>
      <b/>
      <sz val="12"/>
      <color rgb="FFFF0000"/>
      <name val="Calibri"/>
      <family val="2"/>
    </font>
    <font>
      <b/>
      <sz val="10"/>
      <color theme="5" tint="-0.2499700039625167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29" fillId="3" borderId="0" applyNumberFormat="0" applyBorder="0" applyAlignment="0" applyProtection="0"/>
    <xf numFmtId="0" fontId="76" fillId="2" borderId="0" applyNumberFormat="0" applyBorder="0" applyAlignment="0" applyProtection="0"/>
    <xf numFmtId="0" fontId="76" fillId="4" borderId="0" applyNumberFormat="0" applyBorder="0" applyAlignment="0" applyProtection="0"/>
    <xf numFmtId="0" fontId="29" fillId="5" borderId="0" applyNumberFormat="0" applyBorder="0" applyAlignment="0" applyProtection="0"/>
    <xf numFmtId="0" fontId="76" fillId="4" borderId="0" applyNumberFormat="0" applyBorder="0" applyAlignment="0" applyProtection="0"/>
    <xf numFmtId="0" fontId="76" fillId="6" borderId="0" applyNumberFormat="0" applyBorder="0" applyAlignment="0" applyProtection="0"/>
    <xf numFmtId="0" fontId="29" fillId="7" borderId="0" applyNumberFormat="0" applyBorder="0" applyAlignment="0" applyProtection="0"/>
    <xf numFmtId="0" fontId="76" fillId="6" borderId="0" applyNumberFormat="0" applyBorder="0" applyAlignment="0" applyProtection="0"/>
    <xf numFmtId="0" fontId="76" fillId="8" borderId="0" applyNumberFormat="0" applyBorder="0" applyAlignment="0" applyProtection="0"/>
    <xf numFmtId="0" fontId="29" fillId="9" borderId="0" applyNumberFormat="0" applyBorder="0" applyAlignment="0" applyProtection="0"/>
    <xf numFmtId="0" fontId="76" fillId="8" borderId="0" applyNumberFormat="0" applyBorder="0" applyAlignment="0" applyProtection="0"/>
    <xf numFmtId="0" fontId="76" fillId="10" borderId="0" applyNumberFormat="0" applyBorder="0" applyAlignment="0" applyProtection="0"/>
    <xf numFmtId="0" fontId="29" fillId="11" borderId="0" applyNumberFormat="0" applyBorder="0" applyAlignment="0" applyProtection="0"/>
    <xf numFmtId="0" fontId="76" fillId="10" borderId="0" applyNumberFormat="0" applyBorder="0" applyAlignment="0" applyProtection="0"/>
    <xf numFmtId="0" fontId="76" fillId="12" borderId="0" applyNumberFormat="0" applyBorder="0" applyAlignment="0" applyProtection="0"/>
    <xf numFmtId="0" fontId="29" fillId="13" borderId="0" applyNumberFormat="0" applyBorder="0" applyAlignment="0" applyProtection="0"/>
    <xf numFmtId="0" fontId="76" fillId="12" borderId="0" applyNumberFormat="0" applyBorder="0" applyAlignment="0" applyProtection="0"/>
    <xf numFmtId="0" fontId="76" fillId="14" borderId="0" applyNumberFormat="0" applyBorder="0" applyAlignment="0" applyProtection="0"/>
    <xf numFmtId="0" fontId="29" fillId="15" borderId="0" applyNumberFormat="0" applyBorder="0" applyAlignment="0" applyProtection="0"/>
    <xf numFmtId="0" fontId="76" fillId="14" borderId="0" applyNumberFormat="0" applyBorder="0" applyAlignment="0" applyProtection="0"/>
    <xf numFmtId="0" fontId="76" fillId="16" borderId="0" applyNumberFormat="0" applyBorder="0" applyAlignment="0" applyProtection="0"/>
    <xf numFmtId="0" fontId="29" fillId="17" borderId="0" applyNumberFormat="0" applyBorder="0" applyAlignment="0" applyProtection="0"/>
    <xf numFmtId="0" fontId="76" fillId="16" borderId="0" applyNumberFormat="0" applyBorder="0" applyAlignment="0" applyProtection="0"/>
    <xf numFmtId="0" fontId="76" fillId="18" borderId="0" applyNumberFormat="0" applyBorder="0" applyAlignment="0" applyProtection="0"/>
    <xf numFmtId="0" fontId="29" fillId="19" borderId="0" applyNumberFormat="0" applyBorder="0" applyAlignment="0" applyProtection="0"/>
    <xf numFmtId="0" fontId="76" fillId="18" borderId="0" applyNumberFormat="0" applyBorder="0" applyAlignment="0" applyProtection="0"/>
    <xf numFmtId="0" fontId="76" fillId="20" borderId="0" applyNumberFormat="0" applyBorder="0" applyAlignment="0" applyProtection="0"/>
    <xf numFmtId="0" fontId="29" fillId="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29" fillId="15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29" fillId="23" borderId="0" applyNumberFormat="0" applyBorder="0" applyAlignment="0" applyProtection="0"/>
    <xf numFmtId="0" fontId="76" fillId="22" borderId="0" applyNumberFormat="0" applyBorder="0" applyAlignment="0" applyProtection="0"/>
    <xf numFmtId="0" fontId="77" fillId="24" borderId="0" applyNumberFormat="0" applyBorder="0" applyAlignment="0" applyProtection="0"/>
    <xf numFmtId="0" fontId="30" fillId="25" borderId="0" applyNumberFormat="0" applyBorder="0" applyAlignment="0" applyProtection="0"/>
    <xf numFmtId="0" fontId="77" fillId="24" borderId="0" applyNumberFormat="0" applyBorder="0" applyAlignment="0" applyProtection="0"/>
    <xf numFmtId="0" fontId="77" fillId="26" borderId="0" applyNumberFormat="0" applyBorder="0" applyAlignment="0" applyProtection="0"/>
    <xf numFmtId="0" fontId="30" fillId="17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30" fillId="19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30" fillId="29" borderId="0" applyNumberFormat="0" applyBorder="0" applyAlignment="0" applyProtection="0"/>
    <xf numFmtId="0" fontId="77" fillId="28" borderId="0" applyNumberFormat="0" applyBorder="0" applyAlignment="0" applyProtection="0"/>
    <xf numFmtId="0" fontId="77" fillId="30" borderId="0" applyNumberFormat="0" applyBorder="0" applyAlignment="0" applyProtection="0"/>
    <xf numFmtId="0" fontId="30" fillId="31" borderId="0" applyNumberFormat="0" applyBorder="0" applyAlignment="0" applyProtection="0"/>
    <xf numFmtId="0" fontId="77" fillId="30" borderId="0" applyNumberFormat="0" applyBorder="0" applyAlignment="0" applyProtection="0"/>
    <xf numFmtId="0" fontId="77" fillId="32" borderId="0" applyNumberFormat="0" applyBorder="0" applyAlignment="0" applyProtection="0"/>
    <xf numFmtId="0" fontId="30" fillId="33" borderId="0" applyNumberFormat="0" applyBorder="0" applyAlignment="0" applyProtection="0"/>
    <xf numFmtId="0" fontId="77" fillId="32" borderId="0" applyNumberFormat="0" applyBorder="0" applyAlignment="0" applyProtection="0"/>
    <xf numFmtId="0" fontId="77" fillId="34" borderId="0" applyNumberFormat="0" applyBorder="0" applyAlignment="0" applyProtection="0"/>
    <xf numFmtId="0" fontId="30" fillId="35" borderId="0" applyNumberFormat="0" applyBorder="0" applyAlignment="0" applyProtection="0"/>
    <xf numFmtId="0" fontId="77" fillId="34" borderId="0" applyNumberFormat="0" applyBorder="0" applyAlignment="0" applyProtection="0"/>
    <xf numFmtId="0" fontId="77" fillId="36" borderId="0" applyNumberFormat="0" applyBorder="0" applyAlignment="0" applyProtection="0"/>
    <xf numFmtId="0" fontId="30" fillId="37" borderId="0" applyNumberFormat="0" applyBorder="0" applyAlignment="0" applyProtection="0"/>
    <xf numFmtId="0" fontId="77" fillId="36" borderId="0" applyNumberFormat="0" applyBorder="0" applyAlignment="0" applyProtection="0"/>
    <xf numFmtId="0" fontId="77" fillId="38" borderId="0" applyNumberFormat="0" applyBorder="0" applyAlignment="0" applyProtection="0"/>
    <xf numFmtId="0" fontId="30" fillId="39" borderId="0" applyNumberFormat="0" applyBorder="0" applyAlignment="0" applyProtection="0"/>
    <xf numFmtId="0" fontId="77" fillId="38" borderId="0" applyNumberFormat="0" applyBorder="0" applyAlignment="0" applyProtection="0"/>
    <xf numFmtId="0" fontId="77" fillId="40" borderId="0" applyNumberFormat="0" applyBorder="0" applyAlignment="0" applyProtection="0"/>
    <xf numFmtId="0" fontId="30" fillId="29" borderId="0" applyNumberFormat="0" applyBorder="0" applyAlignment="0" applyProtection="0"/>
    <xf numFmtId="0" fontId="77" fillId="40" borderId="0" applyNumberFormat="0" applyBorder="0" applyAlignment="0" applyProtection="0"/>
    <xf numFmtId="0" fontId="77" fillId="41" borderId="0" applyNumberFormat="0" applyBorder="0" applyAlignment="0" applyProtection="0"/>
    <xf numFmtId="0" fontId="30" fillId="31" borderId="0" applyNumberFormat="0" applyBorder="0" applyAlignment="0" applyProtection="0"/>
    <xf numFmtId="0" fontId="77" fillId="41" borderId="0" applyNumberFormat="0" applyBorder="0" applyAlignment="0" applyProtection="0"/>
    <xf numFmtId="0" fontId="77" fillId="42" borderId="0" applyNumberFormat="0" applyBorder="0" applyAlignment="0" applyProtection="0"/>
    <xf numFmtId="0" fontId="30" fillId="43" borderId="0" applyNumberFormat="0" applyBorder="0" applyAlignment="0" applyProtection="0"/>
    <xf numFmtId="0" fontId="77" fillId="42" borderId="0" applyNumberFormat="0" applyBorder="0" applyAlignment="0" applyProtection="0"/>
    <xf numFmtId="0" fontId="78" fillId="44" borderId="0" applyNumberFormat="0" applyBorder="0" applyAlignment="0" applyProtection="0"/>
    <xf numFmtId="0" fontId="31" fillId="5" borderId="0" applyNumberFormat="0" applyBorder="0" applyAlignment="0" applyProtection="0"/>
    <xf numFmtId="0" fontId="78" fillId="44" borderId="0" applyNumberFormat="0" applyBorder="0" applyAlignment="0" applyProtection="0"/>
    <xf numFmtId="0" fontId="79" fillId="45" borderId="1" applyNumberFormat="0" applyAlignment="0" applyProtection="0"/>
    <xf numFmtId="0" fontId="32" fillId="46" borderId="2" applyNumberFormat="0" applyAlignment="0" applyProtection="0"/>
    <xf numFmtId="0" fontId="79" fillId="45" borderId="1" applyNumberFormat="0" applyAlignment="0" applyProtection="0"/>
    <xf numFmtId="0" fontId="80" fillId="47" borderId="3" applyNumberFormat="0" applyAlignment="0" applyProtection="0"/>
    <xf numFmtId="0" fontId="33" fillId="48" borderId="4" applyNumberFormat="0" applyAlignment="0" applyProtection="0"/>
    <xf numFmtId="0" fontId="80" fillId="4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184" fontId="0" fillId="0" borderId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83" fontId="48" fillId="0" borderId="0">
      <alignment/>
      <protection/>
    </xf>
    <xf numFmtId="0" fontId="84" fillId="49" borderId="0" applyNumberFormat="0" applyBorder="0" applyAlignment="0" applyProtection="0"/>
    <xf numFmtId="0" fontId="35" fillId="7" borderId="0" applyNumberFormat="0" applyBorder="0" applyAlignment="0" applyProtection="0"/>
    <xf numFmtId="0" fontId="84" fillId="49" borderId="0" applyNumberFormat="0" applyBorder="0" applyAlignment="0" applyProtection="0"/>
    <xf numFmtId="0" fontId="85" fillId="0" borderId="5" applyNumberFormat="0" applyFill="0" applyAlignment="0" applyProtection="0"/>
    <xf numFmtId="0" fontId="36" fillId="0" borderId="6" applyNumberFormat="0" applyFill="0" applyAlignment="0" applyProtection="0"/>
    <xf numFmtId="0" fontId="85" fillId="0" borderId="5" applyNumberFormat="0" applyFill="0" applyAlignment="0" applyProtection="0"/>
    <xf numFmtId="0" fontId="86" fillId="0" borderId="7" applyNumberFormat="0" applyFill="0" applyAlignment="0" applyProtection="0"/>
    <xf numFmtId="0" fontId="37" fillId="0" borderId="8" applyNumberFormat="0" applyFill="0" applyAlignment="0" applyProtection="0"/>
    <xf numFmtId="0" fontId="86" fillId="0" borderId="7" applyNumberFormat="0" applyFill="0" applyAlignment="0" applyProtection="0"/>
    <xf numFmtId="0" fontId="87" fillId="0" borderId="9" applyNumberFormat="0" applyFill="0" applyAlignment="0" applyProtection="0"/>
    <xf numFmtId="0" fontId="38" fillId="0" borderId="10" applyNumberFormat="0" applyFill="0" applyAlignment="0" applyProtection="0"/>
    <xf numFmtId="0" fontId="87" fillId="0" borderId="9" applyNumberFormat="0" applyFill="0" applyAlignment="0" applyProtection="0"/>
    <xf numFmtId="0" fontId="8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50" borderId="1" applyNumberFormat="0" applyAlignment="0" applyProtection="0"/>
    <xf numFmtId="0" fontId="39" fillId="13" borderId="2" applyNumberFormat="0" applyAlignment="0" applyProtection="0"/>
    <xf numFmtId="0" fontId="89" fillId="50" borderId="1" applyNumberFormat="0" applyAlignment="0" applyProtection="0"/>
    <xf numFmtId="0" fontId="90" fillId="0" borderId="11" applyNumberFormat="0" applyFill="0" applyAlignment="0" applyProtection="0"/>
    <xf numFmtId="0" fontId="40" fillId="0" borderId="12" applyNumberFormat="0" applyFill="0" applyAlignment="0" applyProtection="0"/>
    <xf numFmtId="0" fontId="90" fillId="0" borderId="11" applyNumberFormat="0" applyFill="0" applyAlignment="0" applyProtection="0"/>
    <xf numFmtId="0" fontId="91" fillId="51" borderId="0" applyNumberFormat="0" applyBorder="0" applyAlignment="0" applyProtection="0"/>
    <xf numFmtId="0" fontId="41" fillId="52" borderId="0" applyNumberFormat="0" applyBorder="0" applyAlignment="0" applyProtection="0"/>
    <xf numFmtId="0" fontId="91" fillId="51" borderId="0" applyNumberFormat="0" applyBorder="0" applyAlignment="0" applyProtection="0"/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76" fillId="0" borderId="0">
      <alignment/>
      <protection/>
    </xf>
    <xf numFmtId="0" fontId="81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76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76" fillId="0" borderId="0">
      <alignment/>
      <protection/>
    </xf>
    <xf numFmtId="0" fontId="47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81" fillId="0" borderId="0">
      <alignment/>
      <protection/>
    </xf>
    <xf numFmtId="0" fontId="76" fillId="0" borderId="0">
      <alignment/>
      <protection/>
    </xf>
    <xf numFmtId="0" fontId="49" fillId="0" borderId="0">
      <alignment/>
      <protection/>
    </xf>
    <xf numFmtId="165" fontId="4" fillId="0" borderId="0">
      <alignment/>
      <protection/>
    </xf>
    <xf numFmtId="166" fontId="4" fillId="0" borderId="0">
      <alignment/>
      <protection/>
    </xf>
    <xf numFmtId="0" fontId="0" fillId="53" borderId="13" applyNumberFormat="0" applyFont="0" applyAlignment="0" applyProtection="0"/>
    <xf numFmtId="0" fontId="29" fillId="54" borderId="14" applyNumberFormat="0" applyFont="0" applyAlignment="0" applyProtection="0"/>
    <xf numFmtId="0" fontId="76" fillId="53" borderId="13" applyNumberFormat="0" applyFont="0" applyAlignment="0" applyProtection="0"/>
    <xf numFmtId="0" fontId="93" fillId="45" borderId="15" applyNumberFormat="0" applyAlignment="0" applyProtection="0"/>
    <xf numFmtId="0" fontId="42" fillId="46" borderId="16" applyNumberFormat="0" applyAlignment="0" applyProtection="0"/>
    <xf numFmtId="0" fontId="93" fillId="45" borderId="1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Border="0" applyAlignment="0">
      <protection/>
    </xf>
    <xf numFmtId="0" fontId="47" fillId="0" borderId="0" applyNumberFormat="0" applyBorder="0" applyAlignment="0">
      <protection/>
    </xf>
    <xf numFmtId="0" fontId="50" fillId="0" borderId="0" applyNumberFormat="0" applyBorder="0" applyAlignment="0">
      <protection/>
    </xf>
    <xf numFmtId="0" fontId="50" fillId="0" borderId="0" applyNumberFormat="0" applyBorder="0" applyAlignment="0">
      <protection/>
    </xf>
    <xf numFmtId="0" fontId="50" fillId="0" borderId="0" applyNumberFormat="0" applyBorder="0" applyAlignment="0">
      <protection/>
    </xf>
    <xf numFmtId="0" fontId="9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17" applyNumberFormat="0" applyFill="0" applyAlignment="0" applyProtection="0"/>
    <xf numFmtId="0" fontId="44" fillId="0" borderId="18" applyNumberFormat="0" applyFill="0" applyAlignment="0" applyProtection="0"/>
    <xf numFmtId="0" fontId="95" fillId="0" borderId="17" applyNumberFormat="0" applyFill="0" applyAlignment="0" applyProtection="0"/>
    <xf numFmtId="0" fontId="9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6" fillId="0" borderId="0" applyNumberFormat="0" applyFill="0" applyBorder="0" applyAlignment="0" applyProtection="0"/>
  </cellStyleXfs>
  <cellXfs count="1319">
    <xf numFmtId="0" fontId="0" fillId="0" borderId="0" xfId="0" applyAlignment="1">
      <alignment/>
    </xf>
    <xf numFmtId="166" fontId="5" fillId="52" borderId="19" xfId="182" applyFont="1" applyFill="1" applyBorder="1" applyAlignment="1" applyProtection="1">
      <alignment horizontal="center"/>
      <protection/>
    </xf>
    <xf numFmtId="164" fontId="5" fillId="52" borderId="19" xfId="96" applyNumberFormat="1" applyFont="1" applyFill="1" applyBorder="1" applyAlignment="1" applyProtection="1">
      <alignment horizontal="center"/>
      <protection/>
    </xf>
    <xf numFmtId="166" fontId="5" fillId="0" borderId="20" xfId="182" applyFont="1" applyBorder="1" applyAlignment="1" applyProtection="1">
      <alignment horizontal="center"/>
      <protection/>
    </xf>
    <xf numFmtId="164" fontId="5" fillId="0" borderId="21" xfId="96" applyNumberFormat="1" applyFont="1" applyBorder="1" applyAlignment="1" applyProtection="1" quotePrefix="1">
      <alignment horizontal="center"/>
      <protection/>
    </xf>
    <xf numFmtId="164" fontId="5" fillId="0" borderId="21" xfId="96" applyNumberFormat="1" applyFont="1" applyBorder="1" applyAlignment="1" applyProtection="1">
      <alignment horizontal="center"/>
      <protection/>
    </xf>
    <xf numFmtId="166" fontId="5" fillId="0" borderId="21" xfId="182" applyFont="1" applyBorder="1" applyAlignment="1" applyProtection="1">
      <alignment horizontal="center"/>
      <protection/>
    </xf>
    <xf numFmtId="166" fontId="5" fillId="52" borderId="22" xfId="182" applyFont="1" applyFill="1" applyBorder="1" applyAlignment="1" applyProtection="1">
      <alignment horizontal="left"/>
      <protection/>
    </xf>
    <xf numFmtId="166" fontId="6" fillId="55" borderId="22" xfId="182" applyFont="1" applyFill="1" applyBorder="1" applyProtection="1">
      <alignment/>
      <protection/>
    </xf>
    <xf numFmtId="164" fontId="6" fillId="55" borderId="22" xfId="96" applyNumberFormat="1" applyFont="1" applyFill="1" applyBorder="1" applyAlignment="1" applyProtection="1">
      <alignment/>
      <protection/>
    </xf>
    <xf numFmtId="166" fontId="6" fillId="54" borderId="22" xfId="182" applyFont="1" applyFill="1" applyBorder="1" applyAlignment="1" applyProtection="1">
      <alignment horizontal="left"/>
      <protection/>
    </xf>
    <xf numFmtId="166" fontId="5" fillId="54" borderId="20" xfId="182" applyFont="1" applyFill="1" applyBorder="1" applyAlignment="1" applyProtection="1" quotePrefix="1">
      <alignment horizontal="left"/>
      <protection/>
    </xf>
    <xf numFmtId="165" fontId="4" fillId="56" borderId="0" xfId="181" applyFill="1" applyProtection="1">
      <alignment/>
      <protection/>
    </xf>
    <xf numFmtId="165" fontId="4" fillId="56" borderId="0" xfId="181" applyFill="1" applyBorder="1" applyProtection="1">
      <alignment/>
      <protection/>
    </xf>
    <xf numFmtId="0" fontId="0" fillId="56" borderId="0" xfId="0" applyFill="1" applyAlignment="1" applyProtection="1">
      <alignment/>
      <protection/>
    </xf>
    <xf numFmtId="165" fontId="3" fillId="56" borderId="0" xfId="181" applyFont="1" applyFill="1" applyProtection="1">
      <alignment/>
      <protection/>
    </xf>
    <xf numFmtId="166" fontId="8" fillId="56" borderId="0" xfId="182" applyFont="1" applyFill="1" applyProtection="1">
      <alignment/>
      <protection/>
    </xf>
    <xf numFmtId="166" fontId="8" fillId="56" borderId="0" xfId="182" applyFont="1" applyFill="1" applyAlignment="1" applyProtection="1">
      <alignment horizontal="right"/>
      <protection/>
    </xf>
    <xf numFmtId="166" fontId="9" fillId="56" borderId="0" xfId="182" applyFont="1" applyFill="1" applyProtection="1">
      <alignment/>
      <protection/>
    </xf>
    <xf numFmtId="166" fontId="10" fillId="56" borderId="0" xfId="182" applyFont="1" applyFill="1" applyProtection="1">
      <alignment/>
      <protection/>
    </xf>
    <xf numFmtId="164" fontId="10" fillId="56" borderId="0" xfId="96" applyNumberFormat="1" applyFont="1" applyFill="1" applyAlignment="1" applyProtection="1">
      <alignment/>
      <protection/>
    </xf>
    <xf numFmtId="166" fontId="10" fillId="56" borderId="0" xfId="182" applyFont="1" applyFill="1" applyAlignment="1" applyProtection="1">
      <alignment horizontal="right"/>
      <protection/>
    </xf>
    <xf numFmtId="166" fontId="4" fillId="56" borderId="0" xfId="182" applyFill="1" applyProtection="1">
      <alignment/>
      <protection/>
    </xf>
    <xf numFmtId="166" fontId="6" fillId="56" borderId="23" xfId="182" applyFont="1" applyFill="1" applyBorder="1" applyAlignment="1" applyProtection="1">
      <alignment horizontal="left"/>
      <protection/>
    </xf>
    <xf numFmtId="166" fontId="6" fillId="56" borderId="0" xfId="182" applyFont="1" applyFill="1" applyBorder="1" applyAlignment="1" applyProtection="1">
      <alignment horizontal="left"/>
      <protection/>
    </xf>
    <xf numFmtId="37" fontId="11" fillId="56" borderId="24" xfId="182" applyNumberFormat="1" applyFont="1" applyFill="1" applyBorder="1" applyAlignment="1" applyProtection="1">
      <alignment/>
      <protection locked="0"/>
    </xf>
    <xf numFmtId="166" fontId="6" fillId="56" borderId="0" xfId="182" applyFont="1" applyFill="1" applyBorder="1" applyAlignment="1" applyProtection="1" quotePrefix="1">
      <alignment horizontal="left"/>
      <protection/>
    </xf>
    <xf numFmtId="0" fontId="7" fillId="56" borderId="0" xfId="0" applyFont="1" applyFill="1" applyBorder="1" applyAlignment="1" applyProtection="1">
      <alignment/>
      <protection/>
    </xf>
    <xf numFmtId="37" fontId="6" fillId="56" borderId="23" xfId="182" applyNumberFormat="1" applyFont="1" applyFill="1" applyBorder="1" applyProtection="1">
      <alignment/>
      <protection/>
    </xf>
    <xf numFmtId="37" fontId="11" fillId="56" borderId="23" xfId="182" applyNumberFormat="1" applyFont="1" applyFill="1" applyBorder="1" applyProtection="1">
      <alignment/>
      <protection locked="0"/>
    </xf>
    <xf numFmtId="166" fontId="3" fillId="56" borderId="0" xfId="182" applyFont="1" applyFill="1" applyAlignment="1" applyProtection="1">
      <alignment horizontal="center"/>
      <protection/>
    </xf>
    <xf numFmtId="164" fontId="4" fillId="56" borderId="0" xfId="96" applyNumberFormat="1" applyFont="1" applyFill="1" applyAlignment="1" applyProtection="1">
      <alignment/>
      <protection/>
    </xf>
    <xf numFmtId="165" fontId="3" fillId="56" borderId="0" xfId="181" applyFont="1" applyFill="1" applyBorder="1" applyAlignment="1" applyProtection="1">
      <alignment horizontal="left"/>
      <protection/>
    </xf>
    <xf numFmtId="166" fontId="4" fillId="56" borderId="0" xfId="182" applyFill="1" applyBorder="1" applyProtection="1">
      <alignment/>
      <protection/>
    </xf>
    <xf numFmtId="37" fontId="11" fillId="56" borderId="25" xfId="96" applyNumberFormat="1" applyFont="1" applyFill="1" applyBorder="1" applyAlignment="1" applyProtection="1">
      <alignment/>
      <protection locked="0"/>
    </xf>
    <xf numFmtId="37" fontId="6" fillId="56" borderId="25" xfId="96" applyNumberFormat="1" applyFont="1" applyFill="1" applyBorder="1" applyAlignment="1" applyProtection="1">
      <alignment/>
      <protection/>
    </xf>
    <xf numFmtId="37" fontId="6" fillId="56" borderId="24" xfId="96" applyNumberFormat="1" applyFont="1" applyFill="1" applyBorder="1" applyAlignment="1" applyProtection="1">
      <alignment/>
      <protection/>
    </xf>
    <xf numFmtId="37" fontId="11" fillId="56" borderId="26" xfId="96" applyNumberFormat="1" applyFont="1" applyFill="1" applyBorder="1" applyAlignment="1" applyProtection="1">
      <alignment/>
      <protection locked="0"/>
    </xf>
    <xf numFmtId="37" fontId="11" fillId="56" borderId="24" xfId="96" applyNumberFormat="1" applyFont="1" applyFill="1" applyBorder="1" applyAlignment="1" applyProtection="1">
      <alignment/>
      <protection locked="0"/>
    </xf>
    <xf numFmtId="37" fontId="11" fillId="56" borderId="23" xfId="96" applyNumberFormat="1" applyFont="1" applyFill="1" applyBorder="1" applyAlignment="1" applyProtection="1">
      <alignment/>
      <protection locked="0"/>
    </xf>
    <xf numFmtId="37" fontId="6" fillId="56" borderId="23" xfId="96" applyNumberFormat="1" applyFont="1" applyFill="1" applyBorder="1" applyAlignment="1" applyProtection="1">
      <alignment/>
      <protection/>
    </xf>
    <xf numFmtId="37" fontId="11" fillId="56" borderId="27" xfId="96" applyNumberFormat="1" applyFont="1" applyFill="1" applyBorder="1" applyAlignment="1" applyProtection="1">
      <alignment/>
      <protection locked="0"/>
    </xf>
    <xf numFmtId="165" fontId="4" fillId="56" borderId="0" xfId="181" applyFont="1" applyFill="1" applyBorder="1" applyAlignment="1" applyProtection="1">
      <alignment horizontal="left"/>
      <protection/>
    </xf>
    <xf numFmtId="165" fontId="4" fillId="56" borderId="0" xfId="181" applyFill="1" applyBorder="1" applyAlignment="1" applyProtection="1">
      <alignment horizontal="left" vertical="top" wrapText="1"/>
      <protection locked="0"/>
    </xf>
    <xf numFmtId="165" fontId="3" fillId="56" borderId="0" xfId="181" applyFont="1" applyFill="1" applyBorder="1" applyAlignment="1" applyProtection="1">
      <alignment/>
      <protection/>
    </xf>
    <xf numFmtId="165" fontId="13" fillId="56" borderId="0" xfId="181" applyFont="1" applyFill="1" applyBorder="1" applyAlignment="1" applyProtection="1">
      <alignment horizontal="left"/>
      <protection/>
    </xf>
    <xf numFmtId="165" fontId="16" fillId="56" borderId="0" xfId="181" applyFont="1" applyFill="1" applyBorder="1" applyAlignment="1" applyProtection="1" quotePrefix="1">
      <alignment horizontal="left"/>
      <protection/>
    </xf>
    <xf numFmtId="165" fontId="16" fillId="56" borderId="0" xfId="181" applyFont="1" applyFill="1" applyBorder="1" applyAlignment="1" applyProtection="1">
      <alignment horizontal="left"/>
      <protection/>
    </xf>
    <xf numFmtId="165" fontId="16" fillId="56" borderId="0" xfId="181" applyFont="1" applyFill="1" applyAlignment="1" applyProtection="1" quotePrefix="1">
      <alignment horizontal="right"/>
      <protection/>
    </xf>
    <xf numFmtId="165" fontId="13" fillId="56" borderId="0" xfId="181" applyFont="1" applyFill="1" applyBorder="1" applyAlignment="1" applyProtection="1">
      <alignment/>
      <protection locked="0"/>
    </xf>
    <xf numFmtId="14" fontId="13" fillId="56" borderId="28" xfId="181" applyNumberFormat="1" applyFont="1" applyFill="1" applyBorder="1" applyAlignment="1" applyProtection="1">
      <alignment horizontal="right"/>
      <protection locked="0"/>
    </xf>
    <xf numFmtId="165" fontId="13" fillId="56" borderId="0" xfId="181" applyFont="1" applyFill="1" applyBorder="1" applyAlignment="1" applyProtection="1">
      <alignment horizontal="center"/>
      <protection locked="0"/>
    </xf>
    <xf numFmtId="14" fontId="13" fillId="56" borderId="0" xfId="181" applyNumberFormat="1" applyFont="1" applyFill="1" applyBorder="1" applyAlignment="1" applyProtection="1">
      <alignment horizontal="right"/>
      <protection locked="0"/>
    </xf>
    <xf numFmtId="165" fontId="16" fillId="56" borderId="28" xfId="181" applyFont="1" applyFill="1" applyBorder="1" applyAlignment="1" applyProtection="1">
      <alignment horizontal="left"/>
      <protection locked="0"/>
    </xf>
    <xf numFmtId="165" fontId="13" fillId="56" borderId="28" xfId="181" applyFont="1" applyFill="1" applyBorder="1" applyAlignment="1" applyProtection="1">
      <alignment horizontal="left"/>
      <protection locked="0"/>
    </xf>
    <xf numFmtId="165" fontId="16" fillId="57" borderId="29" xfId="181" applyFont="1" applyFill="1" applyBorder="1" applyProtection="1">
      <alignment/>
      <protection/>
    </xf>
    <xf numFmtId="165" fontId="16" fillId="56" borderId="30" xfId="181" applyFont="1" applyFill="1" applyBorder="1" applyAlignment="1" applyProtection="1">
      <alignment horizontal="left"/>
      <protection/>
    </xf>
    <xf numFmtId="165" fontId="16" fillId="56" borderId="31" xfId="181" applyFont="1" applyFill="1" applyBorder="1" applyAlignment="1" applyProtection="1">
      <alignment horizontal="left"/>
      <protection/>
    </xf>
    <xf numFmtId="165" fontId="16" fillId="56" borderId="32" xfId="181" applyFont="1" applyFill="1" applyBorder="1" applyAlignment="1" applyProtection="1">
      <alignment/>
      <protection/>
    </xf>
    <xf numFmtId="165" fontId="16" fillId="56" borderId="33" xfId="181" applyFont="1" applyFill="1" applyBorder="1" applyAlignment="1" applyProtection="1">
      <alignment horizontal="left"/>
      <protection/>
    </xf>
    <xf numFmtId="165" fontId="13" fillId="56" borderId="0" xfId="181" applyFont="1" applyFill="1" applyBorder="1" applyAlignment="1" applyProtection="1">
      <alignment horizontal="right"/>
      <protection/>
    </xf>
    <xf numFmtId="0" fontId="21" fillId="56" borderId="0" xfId="0" applyFont="1" applyFill="1" applyBorder="1" applyAlignment="1" applyProtection="1">
      <alignment horizontal="right"/>
      <protection/>
    </xf>
    <xf numFmtId="14" fontId="13" fillId="56" borderId="34" xfId="181" applyNumberFormat="1" applyFont="1" applyFill="1" applyBorder="1" applyAlignment="1" applyProtection="1">
      <alignment horizontal="right"/>
      <protection locked="0"/>
    </xf>
    <xf numFmtId="14" fontId="13" fillId="56" borderId="35" xfId="181" applyNumberFormat="1" applyFont="1" applyFill="1" applyBorder="1" applyAlignment="1" applyProtection="1">
      <alignment horizontal="right"/>
      <protection locked="0"/>
    </xf>
    <xf numFmtId="165" fontId="16" fillId="56" borderId="32" xfId="181" applyFont="1" applyFill="1" applyBorder="1" applyAlignment="1" applyProtection="1">
      <alignment horizontal="left"/>
      <protection/>
    </xf>
    <xf numFmtId="165" fontId="16" fillId="56" borderId="0" xfId="181" applyFont="1" applyFill="1" applyBorder="1" applyProtection="1">
      <alignment/>
      <protection/>
    </xf>
    <xf numFmtId="165" fontId="16" fillId="56" borderId="35" xfId="181" applyFont="1" applyFill="1" applyBorder="1" applyProtection="1">
      <alignment/>
      <protection/>
    </xf>
    <xf numFmtId="165" fontId="13" fillId="56" borderId="0" xfId="181" applyFont="1" applyFill="1" applyBorder="1" applyAlignment="1" applyProtection="1">
      <alignment/>
      <protection/>
    </xf>
    <xf numFmtId="0" fontId="21" fillId="56" borderId="0" xfId="0" applyFont="1" applyFill="1" applyBorder="1" applyAlignment="1" applyProtection="1">
      <alignment/>
      <protection/>
    </xf>
    <xf numFmtId="165" fontId="19" fillId="52" borderId="30" xfId="181" applyFont="1" applyFill="1" applyBorder="1" applyAlignment="1" applyProtection="1">
      <alignment horizontal="centerContinuous"/>
      <protection/>
    </xf>
    <xf numFmtId="165" fontId="19" fillId="52" borderId="31" xfId="181" applyFont="1" applyFill="1" applyBorder="1" applyAlignment="1" applyProtection="1">
      <alignment horizontal="centerContinuous"/>
      <protection/>
    </xf>
    <xf numFmtId="165" fontId="16" fillId="52" borderId="31" xfId="181" applyFont="1" applyFill="1" applyBorder="1" applyAlignment="1" applyProtection="1">
      <alignment horizontal="centerContinuous"/>
      <protection/>
    </xf>
    <xf numFmtId="165" fontId="16" fillId="52" borderId="36" xfId="181" applyFont="1" applyFill="1" applyBorder="1" applyAlignment="1" applyProtection="1">
      <alignment horizontal="centerContinuous"/>
      <protection/>
    </xf>
    <xf numFmtId="165" fontId="15" fillId="56" borderId="0" xfId="181" applyFont="1" applyFill="1" applyBorder="1" applyAlignment="1" applyProtection="1">
      <alignment/>
      <protection/>
    </xf>
    <xf numFmtId="165" fontId="16" fillId="56" borderId="30" xfId="181" applyFont="1" applyFill="1" applyBorder="1" applyAlignment="1" applyProtection="1">
      <alignment/>
      <protection/>
    </xf>
    <xf numFmtId="165" fontId="18" fillId="56" borderId="0" xfId="181" applyFont="1" applyFill="1" applyBorder="1" applyAlignment="1" applyProtection="1">
      <alignment/>
      <protection/>
    </xf>
    <xf numFmtId="165" fontId="18" fillId="56" borderId="0" xfId="181" applyFont="1" applyFill="1" applyBorder="1" applyAlignment="1" applyProtection="1">
      <alignment horizontal="center"/>
      <protection/>
    </xf>
    <xf numFmtId="165" fontId="3" fillId="56" borderId="31" xfId="181" applyFont="1" applyFill="1" applyBorder="1" applyAlignment="1" applyProtection="1">
      <alignment horizontal="left"/>
      <protection/>
    </xf>
    <xf numFmtId="165" fontId="3" fillId="56" borderId="31" xfId="181" applyFont="1" applyFill="1" applyBorder="1" applyAlignment="1" applyProtection="1">
      <alignment horizontal="right"/>
      <protection/>
    </xf>
    <xf numFmtId="165" fontId="4" fillId="56" borderId="31" xfId="181" applyFill="1" applyBorder="1" applyProtection="1">
      <alignment/>
      <protection/>
    </xf>
    <xf numFmtId="165" fontId="3" fillId="56" borderId="36" xfId="181" applyFont="1" applyFill="1" applyBorder="1" applyAlignment="1" applyProtection="1">
      <alignment horizontal="left"/>
      <protection/>
    </xf>
    <xf numFmtId="165" fontId="4" fillId="56" borderId="35" xfId="181" applyFill="1" applyBorder="1" applyProtection="1">
      <alignment/>
      <protection/>
    </xf>
    <xf numFmtId="165" fontId="3" fillId="56" borderId="31" xfId="181" applyFont="1" applyFill="1" applyBorder="1" applyAlignment="1" applyProtection="1">
      <alignment horizontal="center"/>
      <protection/>
    </xf>
    <xf numFmtId="165" fontId="4" fillId="56" borderId="32" xfId="181" applyFill="1" applyBorder="1" applyProtection="1">
      <alignment/>
      <protection/>
    </xf>
    <xf numFmtId="165" fontId="3" fillId="56" borderId="29" xfId="181" applyFont="1" applyFill="1" applyBorder="1" applyAlignment="1" applyProtection="1">
      <alignment vertical="top"/>
      <protection/>
    </xf>
    <xf numFmtId="165" fontId="18" fillId="56" borderId="0" xfId="181" applyFont="1" applyFill="1" applyBorder="1" applyAlignment="1" applyProtection="1">
      <alignment horizontal="center"/>
      <protection/>
    </xf>
    <xf numFmtId="14" fontId="3" fillId="56" borderId="37" xfId="181" applyNumberFormat="1" applyFont="1" applyFill="1" applyBorder="1" applyAlignment="1" applyProtection="1">
      <alignment horizontal="center"/>
      <protection/>
    </xf>
    <xf numFmtId="166" fontId="9" fillId="56" borderId="0" xfId="182" applyFont="1" applyFill="1" applyBorder="1" applyProtection="1">
      <alignment/>
      <protection/>
    </xf>
    <xf numFmtId="165" fontId="3" fillId="56" borderId="0" xfId="181" applyFont="1" applyFill="1" applyBorder="1" applyAlignment="1" applyProtection="1">
      <alignment horizontal="right"/>
      <protection/>
    </xf>
    <xf numFmtId="165" fontId="3" fillId="56" borderId="0" xfId="181" applyFont="1" applyFill="1" applyBorder="1" applyAlignment="1" applyProtection="1">
      <alignment horizontal="center"/>
      <protection/>
    </xf>
    <xf numFmtId="165" fontId="4" fillId="56" borderId="0" xfId="181" applyFill="1" applyBorder="1" applyAlignment="1" applyProtection="1">
      <alignment vertical="top"/>
      <protection/>
    </xf>
    <xf numFmtId="41" fontId="3" fillId="56" borderId="0" xfId="181" applyNumberFormat="1" applyFont="1" applyFill="1" applyBorder="1" applyAlignment="1" applyProtection="1">
      <alignment vertical="top"/>
      <protection locked="0"/>
    </xf>
    <xf numFmtId="14" fontId="3" fillId="56" borderId="0" xfId="181" applyNumberFormat="1" applyFont="1" applyFill="1" applyBorder="1" applyAlignment="1" applyProtection="1">
      <alignment/>
      <protection/>
    </xf>
    <xf numFmtId="165" fontId="3" fillId="56" borderId="30" xfId="181" applyFont="1" applyFill="1" applyBorder="1" applyAlignment="1" applyProtection="1">
      <alignment horizontal="left"/>
      <protection/>
    </xf>
    <xf numFmtId="14" fontId="3" fillId="56" borderId="37" xfId="181" applyNumberFormat="1" applyFont="1" applyFill="1" applyBorder="1" applyAlignment="1" applyProtection="1">
      <alignment/>
      <protection/>
    </xf>
    <xf numFmtId="14" fontId="3" fillId="56" borderId="31" xfId="181" applyNumberFormat="1" applyFont="1" applyFill="1" applyBorder="1" applyAlignment="1" applyProtection="1">
      <alignment horizontal="right"/>
      <protection/>
    </xf>
    <xf numFmtId="14" fontId="3" fillId="56" borderId="31" xfId="181" applyNumberFormat="1" applyFont="1" applyFill="1" applyBorder="1" applyAlignment="1" applyProtection="1">
      <alignment/>
      <protection/>
    </xf>
    <xf numFmtId="165" fontId="3" fillId="56" borderId="38" xfId="181" applyFont="1" applyFill="1" applyBorder="1" applyAlignment="1" applyProtection="1">
      <alignment vertical="top"/>
      <protection/>
    </xf>
    <xf numFmtId="41" fontId="3" fillId="56" borderId="29" xfId="181" applyNumberFormat="1" applyFont="1" applyFill="1" applyBorder="1" applyAlignment="1" applyProtection="1">
      <alignment vertical="top"/>
      <protection locked="0"/>
    </xf>
    <xf numFmtId="41" fontId="3" fillId="56" borderId="39" xfId="181" applyNumberFormat="1" applyFont="1" applyFill="1" applyBorder="1" applyAlignment="1" applyProtection="1">
      <alignment vertical="top"/>
      <protection locked="0"/>
    </xf>
    <xf numFmtId="166" fontId="6" fillId="55" borderId="40" xfId="182" applyFont="1" applyFill="1" applyBorder="1" applyProtection="1">
      <alignment/>
      <protection/>
    </xf>
    <xf numFmtId="164" fontId="6" fillId="55" borderId="40" xfId="96" applyNumberFormat="1" applyFont="1" applyFill="1" applyBorder="1" applyAlignment="1" applyProtection="1">
      <alignment/>
      <protection/>
    </xf>
    <xf numFmtId="0" fontId="0" fillId="52" borderId="41" xfId="0" applyFill="1" applyBorder="1" applyAlignment="1" applyProtection="1">
      <alignment/>
      <protection/>
    </xf>
    <xf numFmtId="166" fontId="6" fillId="56" borderId="42" xfId="182" applyFont="1" applyFill="1" applyBorder="1" applyAlignment="1" applyProtection="1">
      <alignment horizontal="left"/>
      <protection/>
    </xf>
    <xf numFmtId="37" fontId="11" fillId="56" borderId="43" xfId="96" applyNumberFormat="1" applyFont="1" applyFill="1" applyBorder="1" applyAlignment="1" applyProtection="1">
      <alignment/>
      <protection locked="0"/>
    </xf>
    <xf numFmtId="37" fontId="11" fillId="56" borderId="44" xfId="182" applyNumberFormat="1" applyFont="1" applyFill="1" applyBorder="1" applyProtection="1">
      <alignment/>
      <protection locked="0"/>
    </xf>
    <xf numFmtId="37" fontId="11" fillId="56" borderId="45" xfId="182" applyNumberFormat="1" applyFont="1" applyFill="1" applyBorder="1" applyAlignment="1" applyProtection="1">
      <alignment/>
      <protection locked="0"/>
    </xf>
    <xf numFmtId="166" fontId="6" fillId="54" borderId="28" xfId="182" applyFont="1" applyFill="1" applyBorder="1" applyAlignment="1" applyProtection="1">
      <alignment horizontal="left"/>
      <protection/>
    </xf>
    <xf numFmtId="37" fontId="11" fillId="56" borderId="42" xfId="182" applyNumberFormat="1" applyFont="1" applyFill="1" applyBorder="1" applyAlignment="1" applyProtection="1">
      <alignment/>
      <protection locked="0"/>
    </xf>
    <xf numFmtId="37" fontId="6" fillId="54" borderId="22" xfId="182" applyNumberFormat="1" applyFont="1" applyFill="1" applyBorder="1" applyProtection="1">
      <alignment/>
      <protection/>
    </xf>
    <xf numFmtId="37" fontId="11" fillId="56" borderId="46" xfId="182" applyNumberFormat="1" applyFont="1" applyFill="1" applyBorder="1" applyAlignment="1" applyProtection="1">
      <alignment/>
      <protection locked="0"/>
    </xf>
    <xf numFmtId="166" fontId="5" fillId="54" borderId="22" xfId="182" applyFont="1" applyFill="1" applyBorder="1" applyAlignment="1" applyProtection="1">
      <alignment horizontal="left"/>
      <protection/>
    </xf>
    <xf numFmtId="166" fontId="24" fillId="56" borderId="0" xfId="182" applyFont="1" applyFill="1" applyAlignment="1" applyProtection="1">
      <alignment horizontal="right"/>
      <protection/>
    </xf>
    <xf numFmtId="166" fontId="8" fillId="56" borderId="38" xfId="182" applyFont="1" applyFill="1" applyBorder="1" applyProtection="1">
      <alignment/>
      <protection/>
    </xf>
    <xf numFmtId="166" fontId="10" fillId="56" borderId="29" xfId="182" applyFont="1" applyFill="1" applyBorder="1" applyProtection="1">
      <alignment/>
      <protection/>
    </xf>
    <xf numFmtId="164" fontId="10" fillId="56" borderId="29" xfId="96" applyNumberFormat="1" applyFont="1" applyFill="1" applyBorder="1" applyAlignment="1" applyProtection="1">
      <alignment/>
      <protection/>
    </xf>
    <xf numFmtId="166" fontId="10" fillId="56" borderId="39" xfId="182" applyFont="1" applyFill="1" applyBorder="1" applyProtection="1">
      <alignment/>
      <protection/>
    </xf>
    <xf numFmtId="166" fontId="5" fillId="52" borderId="30" xfId="182" applyFont="1" applyFill="1" applyBorder="1" applyAlignment="1" applyProtection="1">
      <alignment horizontal="center"/>
      <protection/>
    </xf>
    <xf numFmtId="166" fontId="5" fillId="52" borderId="31" xfId="182" applyFont="1" applyFill="1" applyBorder="1" applyAlignment="1" applyProtection="1">
      <alignment horizontal="center"/>
      <protection/>
    </xf>
    <xf numFmtId="166" fontId="5" fillId="52" borderId="36" xfId="182" applyFont="1" applyFill="1" applyBorder="1" applyAlignment="1" applyProtection="1">
      <alignment horizontal="center"/>
      <protection/>
    </xf>
    <xf numFmtId="166" fontId="6" fillId="52" borderId="38" xfId="182" applyFont="1" applyFill="1" applyBorder="1" applyProtection="1">
      <alignment/>
      <protection/>
    </xf>
    <xf numFmtId="166" fontId="6" fillId="52" borderId="29" xfId="182" applyFont="1" applyFill="1" applyBorder="1" applyProtection="1">
      <alignment/>
      <protection/>
    </xf>
    <xf numFmtId="166" fontId="6" fillId="52" borderId="39" xfId="182" applyFont="1" applyFill="1" applyBorder="1" applyProtection="1">
      <alignment/>
      <protection/>
    </xf>
    <xf numFmtId="165" fontId="3" fillId="56" borderId="32" xfId="181" applyFont="1" applyFill="1" applyBorder="1" applyAlignment="1" applyProtection="1">
      <alignment horizontal="left"/>
      <protection/>
    </xf>
    <xf numFmtId="165" fontId="3" fillId="56" borderId="32" xfId="181" applyFont="1" applyFill="1" applyBorder="1" applyAlignment="1" applyProtection="1">
      <alignment vertical="top"/>
      <protection/>
    </xf>
    <xf numFmtId="166" fontId="4" fillId="56" borderId="0" xfId="182" applyFill="1" applyAlignment="1" applyProtection="1">
      <alignment horizontal="right"/>
      <protection/>
    </xf>
    <xf numFmtId="166" fontId="3" fillId="56" borderId="0" xfId="182" applyFont="1" applyFill="1" applyProtection="1">
      <alignment/>
      <protection/>
    </xf>
    <xf numFmtId="166" fontId="5" fillId="54" borderId="28" xfId="182" applyFont="1" applyFill="1" applyBorder="1" applyAlignment="1" applyProtection="1">
      <alignment horizontal="left"/>
      <protection/>
    </xf>
    <xf numFmtId="37" fontId="5" fillId="54" borderId="47" xfId="182" applyNumberFormat="1" applyFont="1" applyFill="1" applyBorder="1" applyProtection="1">
      <alignment/>
      <protection/>
    </xf>
    <xf numFmtId="37" fontId="5" fillId="54" borderId="20" xfId="182" applyNumberFormat="1" applyFont="1" applyFill="1" applyBorder="1" applyProtection="1">
      <alignment/>
      <protection/>
    </xf>
    <xf numFmtId="166" fontId="5" fillId="54" borderId="48" xfId="182" applyFont="1" applyFill="1" applyBorder="1" applyAlignment="1" applyProtection="1" quotePrefix="1">
      <alignment horizontal="left"/>
      <protection/>
    </xf>
    <xf numFmtId="37" fontId="6" fillId="54" borderId="48" xfId="182" applyNumberFormat="1" applyFont="1" applyFill="1" applyBorder="1" applyProtection="1">
      <alignment/>
      <protection/>
    </xf>
    <xf numFmtId="166" fontId="6" fillId="55" borderId="28" xfId="182" applyFont="1" applyFill="1" applyBorder="1" applyProtection="1">
      <alignment/>
      <protection/>
    </xf>
    <xf numFmtId="164" fontId="6" fillId="55" borderId="28" xfId="96" applyNumberFormat="1" applyFont="1" applyFill="1" applyBorder="1" applyAlignment="1" applyProtection="1">
      <alignment/>
      <protection/>
    </xf>
    <xf numFmtId="166" fontId="6" fillId="56" borderId="0" xfId="182" applyFont="1" applyFill="1" applyBorder="1" applyAlignment="1" applyProtection="1">
      <alignment horizontal="right"/>
      <protection/>
    </xf>
    <xf numFmtId="37" fontId="11" fillId="56" borderId="0" xfId="182" applyNumberFormat="1" applyFont="1" applyFill="1" applyBorder="1" applyProtection="1">
      <alignment/>
      <protection locked="0"/>
    </xf>
    <xf numFmtId="37" fontId="6" fillId="56" borderId="0" xfId="182" applyNumberFormat="1" applyFont="1" applyFill="1" applyBorder="1" applyProtection="1">
      <alignment/>
      <protection/>
    </xf>
    <xf numFmtId="166" fontId="6" fillId="56" borderId="0" xfId="182" applyFont="1" applyFill="1" applyBorder="1" applyAlignment="1" applyProtection="1">
      <alignment horizontal="left"/>
      <protection/>
    </xf>
    <xf numFmtId="37" fontId="11" fillId="56" borderId="26" xfId="182" applyNumberFormat="1" applyFont="1" applyFill="1" applyBorder="1" applyProtection="1">
      <alignment/>
      <protection locked="0"/>
    </xf>
    <xf numFmtId="37" fontId="11" fillId="56" borderId="0" xfId="96" applyNumberFormat="1" applyFont="1" applyFill="1" applyBorder="1" applyAlignment="1" applyProtection="1">
      <alignment/>
      <protection locked="0"/>
    </xf>
    <xf numFmtId="166" fontId="6" fillId="0" borderId="0" xfId="182" applyFont="1" applyFill="1" applyBorder="1" applyProtection="1">
      <alignment/>
      <protection/>
    </xf>
    <xf numFmtId="164" fontId="6" fillId="0" borderId="0" xfId="96" applyNumberFormat="1" applyFont="1" applyFill="1" applyBorder="1" applyAlignment="1" applyProtection="1">
      <alignment/>
      <protection/>
    </xf>
    <xf numFmtId="166" fontId="4" fillId="0" borderId="0" xfId="182" applyFill="1" applyProtection="1">
      <alignment/>
      <protection/>
    </xf>
    <xf numFmtId="0" fontId="1" fillId="0" borderId="41" xfId="0" applyFont="1" applyBorder="1" applyAlignment="1" applyProtection="1">
      <alignment horizontal="center"/>
      <protection/>
    </xf>
    <xf numFmtId="0" fontId="1" fillId="0" borderId="41" xfId="0" applyFont="1" applyBorder="1" applyAlignment="1" applyProtection="1" quotePrefix="1">
      <alignment horizontal="center"/>
      <protection/>
    </xf>
    <xf numFmtId="41" fontId="3" fillId="56" borderId="0" xfId="181" applyNumberFormat="1" applyFont="1" applyFill="1" applyBorder="1" applyAlignment="1" applyProtection="1">
      <alignment horizontal="left" vertical="top"/>
      <protection locked="0"/>
    </xf>
    <xf numFmtId="0" fontId="0" fillId="56" borderId="0" xfId="0" applyFill="1" applyBorder="1" applyAlignment="1" applyProtection="1">
      <alignment/>
      <protection/>
    </xf>
    <xf numFmtId="14" fontId="3" fillId="56" borderId="0" xfId="181" applyNumberFormat="1" applyFont="1" applyFill="1" applyBorder="1" applyAlignment="1" applyProtection="1">
      <alignment horizontal="center"/>
      <protection/>
    </xf>
    <xf numFmtId="165" fontId="18" fillId="56" borderId="31" xfId="181" applyFont="1" applyFill="1" applyBorder="1" applyAlignment="1" applyProtection="1">
      <alignment horizontal="center"/>
      <protection/>
    </xf>
    <xf numFmtId="0" fontId="1" fillId="56" borderId="0" xfId="0" applyFont="1" applyFill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165" fontId="4" fillId="56" borderId="0" xfId="181" applyFill="1" applyAlignment="1" applyProtection="1">
      <alignment horizontal="right"/>
      <protection/>
    </xf>
    <xf numFmtId="165" fontId="3" fillId="56" borderId="30" xfId="181" applyFont="1" applyFill="1" applyBorder="1" applyAlignment="1" applyProtection="1">
      <alignment horizontal="right"/>
      <protection/>
    </xf>
    <xf numFmtId="165" fontId="3" fillId="56" borderId="32" xfId="181" applyFont="1" applyFill="1" applyBorder="1" applyAlignment="1" applyProtection="1">
      <alignment horizontal="right"/>
      <protection/>
    </xf>
    <xf numFmtId="165" fontId="3" fillId="56" borderId="38" xfId="181" applyFont="1" applyFill="1" applyBorder="1" applyAlignment="1" applyProtection="1">
      <alignment horizontal="right" vertical="top"/>
      <protection/>
    </xf>
    <xf numFmtId="0" fontId="0" fillId="56" borderId="0" xfId="0" applyFill="1" applyAlignment="1" applyProtection="1">
      <alignment horizontal="right"/>
      <protection/>
    </xf>
    <xf numFmtId="0" fontId="0" fillId="56" borderId="0" xfId="0" applyFill="1" applyBorder="1" applyAlignment="1" applyProtection="1">
      <alignment horizontal="right"/>
      <protection/>
    </xf>
    <xf numFmtId="165" fontId="14" fillId="56" borderId="0" xfId="181" applyFont="1" applyFill="1" applyBorder="1" applyAlignment="1" applyProtection="1">
      <alignment horizontal="left"/>
      <protection/>
    </xf>
    <xf numFmtId="165" fontId="3" fillId="56" borderId="0" xfId="181" applyFont="1" applyFill="1" applyBorder="1" applyProtection="1">
      <alignment/>
      <protection/>
    </xf>
    <xf numFmtId="165" fontId="3" fillId="56" borderId="0" xfId="181" applyFont="1" applyFill="1" applyBorder="1" applyAlignment="1" applyProtection="1">
      <alignment wrapText="1"/>
      <protection/>
    </xf>
    <xf numFmtId="165" fontId="23" fillId="56" borderId="0" xfId="181" applyFont="1" applyFill="1" applyBorder="1" applyAlignment="1" applyProtection="1">
      <alignment wrapText="1"/>
      <protection/>
    </xf>
    <xf numFmtId="165" fontId="4" fillId="56" borderId="0" xfId="181" applyFont="1" applyFill="1" applyBorder="1" applyAlignment="1" applyProtection="1">
      <alignment vertical="top" wrapText="1"/>
      <protection/>
    </xf>
    <xf numFmtId="165" fontId="3" fillId="56" borderId="0" xfId="181" applyFont="1" applyFill="1" applyBorder="1" applyAlignment="1" applyProtection="1">
      <alignment horizontal="left" wrapText="1"/>
      <protection/>
    </xf>
    <xf numFmtId="165" fontId="3" fillId="56" borderId="0" xfId="181" applyFont="1" applyFill="1" applyBorder="1" applyAlignment="1" applyProtection="1" quotePrefix="1">
      <alignment wrapText="1"/>
      <protection/>
    </xf>
    <xf numFmtId="165" fontId="3" fillId="56" borderId="0" xfId="181" applyFont="1" applyFill="1" applyBorder="1" applyAlignment="1" applyProtection="1" quotePrefix="1">
      <alignment horizontal="right" wrapText="1"/>
      <protection/>
    </xf>
    <xf numFmtId="165" fontId="3" fillId="0" borderId="0" xfId="181" applyFont="1" applyFill="1" applyBorder="1" applyProtection="1">
      <alignment/>
      <protection/>
    </xf>
    <xf numFmtId="165" fontId="3" fillId="0" borderId="0" xfId="181" applyFont="1" applyFill="1" applyProtection="1">
      <alignment/>
      <protection/>
    </xf>
    <xf numFmtId="165" fontId="4" fillId="0" borderId="0" xfId="181" applyFill="1" applyBorder="1" applyProtection="1">
      <alignment/>
      <protection/>
    </xf>
    <xf numFmtId="165" fontId="4" fillId="0" borderId="0" xfId="181" applyFill="1" applyProtection="1">
      <alignment/>
      <protection/>
    </xf>
    <xf numFmtId="0" fontId="1" fillId="52" borderId="49" xfId="0" applyFont="1" applyFill="1" applyBorder="1" applyAlignment="1" applyProtection="1">
      <alignment horizontal="center"/>
      <protection/>
    </xf>
    <xf numFmtId="0" fontId="1" fillId="52" borderId="42" xfId="0" applyFont="1" applyFill="1" applyBorder="1" applyAlignment="1" applyProtection="1">
      <alignment horizontal="center"/>
      <protection/>
    </xf>
    <xf numFmtId="0" fontId="1" fillId="52" borderId="41" xfId="0" applyFont="1" applyFill="1" applyBorder="1" applyAlignment="1" applyProtection="1">
      <alignment horizontal="center" wrapText="1"/>
      <protection/>
    </xf>
    <xf numFmtId="0" fontId="1" fillId="52" borderId="41" xfId="0" applyFont="1" applyFill="1" applyBorder="1" applyAlignment="1" applyProtection="1">
      <alignment horizontal="center"/>
      <protection/>
    </xf>
    <xf numFmtId="0" fontId="0" fillId="0" borderId="50" xfId="0" applyFont="1" applyBorder="1" applyAlignment="1" applyProtection="1">
      <alignment horizontal="left"/>
      <protection/>
    </xf>
    <xf numFmtId="0" fontId="0" fillId="0" borderId="51" xfId="0" applyFont="1" applyBorder="1" applyAlignment="1" applyProtection="1">
      <alignment horizontal="left"/>
      <protection/>
    </xf>
    <xf numFmtId="165" fontId="3" fillId="56" borderId="52" xfId="181" applyFont="1" applyFill="1" applyBorder="1" applyAlignment="1" applyProtection="1">
      <alignment horizontal="center"/>
      <protection/>
    </xf>
    <xf numFmtId="165" fontId="3" fillId="56" borderId="44" xfId="181" applyFont="1" applyFill="1" applyBorder="1" applyAlignment="1" applyProtection="1">
      <alignment wrapText="1"/>
      <protection/>
    </xf>
    <xf numFmtId="165" fontId="3" fillId="56" borderId="32" xfId="181" applyFont="1" applyFill="1" applyBorder="1" applyAlignment="1" applyProtection="1">
      <alignment wrapText="1"/>
      <protection/>
    </xf>
    <xf numFmtId="165" fontId="23" fillId="56" borderId="32" xfId="181" applyFont="1" applyFill="1" applyBorder="1" applyAlignment="1" applyProtection="1">
      <alignment wrapText="1"/>
      <protection/>
    </xf>
    <xf numFmtId="165" fontId="4" fillId="56" borderId="32" xfId="181" applyFont="1" applyFill="1" applyBorder="1" applyAlignment="1" applyProtection="1">
      <alignment vertical="top"/>
      <protection locked="0"/>
    </xf>
    <xf numFmtId="165" fontId="4" fillId="56" borderId="32" xfId="181" applyFont="1" applyFill="1" applyBorder="1" applyAlignment="1" applyProtection="1">
      <alignment vertical="top" wrapText="1"/>
      <protection/>
    </xf>
    <xf numFmtId="165" fontId="4" fillId="56" borderId="38" xfId="181" applyFill="1" applyBorder="1" applyProtection="1">
      <alignment/>
      <protection/>
    </xf>
    <xf numFmtId="165" fontId="4" fillId="56" borderId="29" xfId="181" applyFill="1" applyBorder="1" applyProtection="1">
      <alignment/>
      <protection/>
    </xf>
    <xf numFmtId="165" fontId="4" fillId="56" borderId="39" xfId="181" applyFill="1" applyBorder="1" applyProtection="1">
      <alignment/>
      <protection/>
    </xf>
    <xf numFmtId="165" fontId="3" fillId="56" borderId="53" xfId="181" applyFont="1" applyFill="1" applyBorder="1" applyAlignment="1" applyProtection="1">
      <alignment horizontal="center"/>
      <protection/>
    </xf>
    <xf numFmtId="165" fontId="3" fillId="56" borderId="29" xfId="181" applyFont="1" applyFill="1" applyBorder="1" applyAlignment="1" applyProtection="1">
      <alignment wrapText="1"/>
      <protection/>
    </xf>
    <xf numFmtId="165" fontId="3" fillId="56" borderId="54" xfId="181" applyFont="1" applyFill="1" applyBorder="1" applyAlignment="1" applyProtection="1">
      <alignment wrapText="1"/>
      <protection/>
    </xf>
    <xf numFmtId="165" fontId="4" fillId="56" borderId="32" xfId="181" applyFont="1" applyFill="1" applyBorder="1" applyAlignment="1" applyProtection="1">
      <alignment horizontal="center" wrapText="1"/>
      <protection/>
    </xf>
    <xf numFmtId="165" fontId="3" fillId="56" borderId="0" xfId="181" applyFont="1" applyFill="1" applyBorder="1" applyAlignment="1" applyProtection="1" quotePrefix="1">
      <alignment vertical="top" wrapText="1"/>
      <protection/>
    </xf>
    <xf numFmtId="166" fontId="3" fillId="56" borderId="28" xfId="182" applyFont="1" applyFill="1" applyBorder="1" applyAlignment="1" applyProtection="1">
      <alignment horizontal="center"/>
      <protection/>
    </xf>
    <xf numFmtId="166" fontId="6" fillId="57" borderId="40" xfId="182" applyFont="1" applyFill="1" applyBorder="1" applyProtection="1">
      <alignment/>
      <protection/>
    </xf>
    <xf numFmtId="164" fontId="6" fillId="57" borderId="40" xfId="96" applyNumberFormat="1" applyFont="1" applyFill="1" applyBorder="1" applyAlignment="1" applyProtection="1">
      <alignment/>
      <protection/>
    </xf>
    <xf numFmtId="166" fontId="6" fillId="57" borderId="22" xfId="182" applyFont="1" applyFill="1" applyBorder="1" applyProtection="1">
      <alignment/>
      <protection/>
    </xf>
    <xf numFmtId="165" fontId="3" fillId="56" borderId="32" xfId="181" applyFont="1" applyFill="1" applyBorder="1" applyAlignment="1" applyProtection="1">
      <alignment horizontal="center"/>
      <protection/>
    </xf>
    <xf numFmtId="165" fontId="3" fillId="56" borderId="35" xfId="181" applyFont="1" applyFill="1" applyBorder="1" applyAlignment="1" applyProtection="1">
      <alignment horizontal="center"/>
      <protection/>
    </xf>
    <xf numFmtId="165" fontId="3" fillId="56" borderId="29" xfId="181" applyFont="1" applyFill="1" applyBorder="1" applyAlignment="1" applyProtection="1" quotePrefix="1">
      <alignment horizontal="right" wrapText="1"/>
      <protection/>
    </xf>
    <xf numFmtId="165" fontId="3" fillId="56" borderId="29" xfId="181" applyFont="1" applyFill="1" applyBorder="1" applyAlignment="1" applyProtection="1">
      <alignment horizontal="left" wrapText="1"/>
      <protection/>
    </xf>
    <xf numFmtId="165" fontId="16" fillId="56" borderId="0" xfId="181" applyFont="1" applyFill="1" applyBorder="1" applyAlignment="1" applyProtection="1">
      <alignment horizontal="right"/>
      <protection/>
    </xf>
    <xf numFmtId="165" fontId="16" fillId="56" borderId="0" xfId="181" applyFont="1" applyFill="1" applyBorder="1" applyAlignment="1" applyProtection="1">
      <alignment/>
      <protection/>
    </xf>
    <xf numFmtId="165" fontId="4" fillId="56" borderId="30" xfId="181" applyFill="1" applyBorder="1" applyProtection="1">
      <alignment/>
      <protection/>
    </xf>
    <xf numFmtId="165" fontId="4" fillId="56" borderId="29" xfId="181" applyFill="1" applyBorder="1" applyAlignment="1" applyProtection="1">
      <alignment vertical="top"/>
      <protection/>
    </xf>
    <xf numFmtId="0" fontId="0" fillId="56" borderId="30" xfId="0" applyFill="1" applyBorder="1" applyAlignment="1" applyProtection="1">
      <alignment horizontal="right"/>
      <protection/>
    </xf>
    <xf numFmtId="0" fontId="0" fillId="56" borderId="31" xfId="0" applyFill="1" applyBorder="1" applyAlignment="1" applyProtection="1">
      <alignment/>
      <protection/>
    </xf>
    <xf numFmtId="0" fontId="0" fillId="56" borderId="36" xfId="0" applyFill="1" applyBorder="1" applyAlignment="1" applyProtection="1">
      <alignment/>
      <protection/>
    </xf>
    <xf numFmtId="0" fontId="1" fillId="52" borderId="55" xfId="0" applyFont="1" applyFill="1" applyBorder="1" applyAlignment="1" applyProtection="1">
      <alignment horizontal="center"/>
      <protection/>
    </xf>
    <xf numFmtId="0" fontId="1" fillId="52" borderId="56" xfId="0" applyFont="1" applyFill="1" applyBorder="1" applyAlignment="1" applyProtection="1">
      <alignment horizontal="center"/>
      <protection/>
    </xf>
    <xf numFmtId="0" fontId="1" fillId="0" borderId="57" xfId="0" applyFont="1" applyBorder="1" applyAlignment="1" applyProtection="1">
      <alignment horizontal="center"/>
      <protection/>
    </xf>
    <xf numFmtId="0" fontId="1" fillId="52" borderId="58" xfId="0" applyFont="1" applyFill="1" applyBorder="1" applyAlignment="1" applyProtection="1">
      <alignment horizontal="right" wrapText="1"/>
      <protection/>
    </xf>
    <xf numFmtId="0" fontId="1" fillId="52" borderId="59" xfId="0" applyFont="1" applyFill="1" applyBorder="1" applyAlignment="1" applyProtection="1">
      <alignment horizontal="right" wrapText="1"/>
      <protection/>
    </xf>
    <xf numFmtId="0" fontId="0" fillId="56" borderId="38" xfId="0" applyFill="1" applyBorder="1" applyAlignment="1" applyProtection="1">
      <alignment horizontal="right"/>
      <protection/>
    </xf>
    <xf numFmtId="0" fontId="0" fillId="56" borderId="29" xfId="0" applyFill="1" applyBorder="1" applyAlignment="1" applyProtection="1">
      <alignment/>
      <protection/>
    </xf>
    <xf numFmtId="0" fontId="0" fillId="56" borderId="39" xfId="0" applyFill="1" applyBorder="1" applyAlignment="1" applyProtection="1">
      <alignment/>
      <protection/>
    </xf>
    <xf numFmtId="166" fontId="5" fillId="52" borderId="35" xfId="182" applyFont="1" applyFill="1" applyBorder="1" applyAlignment="1" applyProtection="1">
      <alignment horizontal="center"/>
      <protection/>
    </xf>
    <xf numFmtId="166" fontId="3" fillId="52" borderId="60" xfId="182" applyFont="1" applyFill="1" applyBorder="1" applyAlignment="1" applyProtection="1">
      <alignment horizontal="right"/>
      <protection/>
    </xf>
    <xf numFmtId="166" fontId="3" fillId="52" borderId="61" xfId="182" applyFont="1" applyFill="1" applyBorder="1" applyAlignment="1" applyProtection="1">
      <alignment horizontal="right"/>
      <protection/>
    </xf>
    <xf numFmtId="166" fontId="6" fillId="55" borderId="62" xfId="182" applyFont="1" applyFill="1" applyBorder="1" applyProtection="1">
      <alignment/>
      <protection/>
    </xf>
    <xf numFmtId="0" fontId="0" fillId="52" borderId="58" xfId="0" applyFont="1" applyFill="1" applyBorder="1" applyAlignment="1" applyProtection="1" quotePrefix="1">
      <alignment horizontal="right"/>
      <protection/>
    </xf>
    <xf numFmtId="166" fontId="6" fillId="55" borderId="63" xfId="182" applyFont="1" applyFill="1" applyBorder="1" applyProtection="1">
      <alignment/>
      <protection/>
    </xf>
    <xf numFmtId="166" fontId="6" fillId="56" borderId="64" xfId="182" applyFont="1" applyFill="1" applyBorder="1" applyAlignment="1" applyProtection="1">
      <alignment horizontal="right"/>
      <protection/>
    </xf>
    <xf numFmtId="37" fontId="6" fillId="56" borderId="63" xfId="96" applyNumberFormat="1" applyFont="1" applyFill="1" applyBorder="1" applyAlignment="1" applyProtection="1">
      <alignment/>
      <protection/>
    </xf>
    <xf numFmtId="166" fontId="6" fillId="56" borderId="65" xfId="182" applyFont="1" applyFill="1" applyBorder="1" applyAlignment="1" applyProtection="1">
      <alignment horizontal="right"/>
      <protection/>
    </xf>
    <xf numFmtId="37" fontId="6" fillId="56" borderId="35" xfId="96" applyNumberFormat="1" applyFont="1" applyFill="1" applyBorder="1" applyAlignment="1" applyProtection="1">
      <alignment/>
      <protection/>
    </xf>
    <xf numFmtId="37" fontId="6" fillId="56" borderId="66" xfId="96" applyNumberFormat="1" applyFont="1" applyFill="1" applyBorder="1" applyAlignment="1" applyProtection="1">
      <alignment/>
      <protection/>
    </xf>
    <xf numFmtId="167" fontId="6" fillId="56" borderId="65" xfId="182" applyNumberFormat="1" applyFont="1" applyFill="1" applyBorder="1" applyAlignment="1" applyProtection="1">
      <alignment horizontal="right"/>
      <protection/>
    </xf>
    <xf numFmtId="166" fontId="5" fillId="54" borderId="67" xfId="182" applyFont="1" applyFill="1" applyBorder="1" applyAlignment="1" applyProtection="1">
      <alignment horizontal="right"/>
      <protection/>
    </xf>
    <xf numFmtId="37" fontId="5" fillId="54" borderId="68" xfId="182" applyNumberFormat="1" applyFont="1" applyFill="1" applyBorder="1" applyProtection="1">
      <alignment/>
      <protection/>
    </xf>
    <xf numFmtId="0" fontId="1" fillId="52" borderId="61" xfId="0" applyFont="1" applyFill="1" applyBorder="1" applyAlignment="1" applyProtection="1" quotePrefix="1">
      <alignment horizontal="right"/>
      <protection/>
    </xf>
    <xf numFmtId="37" fontId="6" fillId="56" borderId="66" xfId="182" applyNumberFormat="1" applyFont="1" applyFill="1" applyBorder="1" applyProtection="1">
      <alignment/>
      <protection/>
    </xf>
    <xf numFmtId="166" fontId="5" fillId="54" borderId="69" xfId="182" applyFont="1" applyFill="1" applyBorder="1" applyAlignment="1" applyProtection="1">
      <alignment horizontal="right"/>
      <protection/>
    </xf>
    <xf numFmtId="37" fontId="5" fillId="54" borderId="70" xfId="182" applyNumberFormat="1" applyFont="1" applyFill="1" applyBorder="1" applyProtection="1">
      <alignment/>
      <protection/>
    </xf>
    <xf numFmtId="166" fontId="6" fillId="54" borderId="61" xfId="182" applyFont="1" applyFill="1" applyBorder="1" applyAlignment="1" applyProtection="1">
      <alignment horizontal="right"/>
      <protection/>
    </xf>
    <xf numFmtId="37" fontId="6" fillId="54" borderId="62" xfId="182" applyNumberFormat="1" applyFont="1" applyFill="1" applyBorder="1" applyProtection="1">
      <alignment/>
      <protection/>
    </xf>
    <xf numFmtId="166" fontId="5" fillId="54" borderId="71" xfId="182" applyFont="1" applyFill="1" applyBorder="1" applyAlignment="1" applyProtection="1" quotePrefix="1">
      <alignment horizontal="right"/>
      <protection/>
    </xf>
    <xf numFmtId="166" fontId="6" fillId="54" borderId="72" xfId="182" applyFont="1" applyFill="1" applyBorder="1" applyAlignment="1" applyProtection="1">
      <alignment horizontal="left"/>
      <protection/>
    </xf>
    <xf numFmtId="166" fontId="5" fillId="54" borderId="29" xfId="182" applyFont="1" applyFill="1" applyBorder="1" applyAlignment="1" applyProtection="1" quotePrefix="1">
      <alignment horizontal="left"/>
      <protection/>
    </xf>
    <xf numFmtId="37" fontId="6" fillId="54" borderId="29" xfId="182" applyNumberFormat="1" applyFont="1" applyFill="1" applyBorder="1" applyProtection="1">
      <alignment/>
      <protection/>
    </xf>
    <xf numFmtId="166" fontId="4" fillId="56" borderId="39" xfId="182" applyFill="1" applyBorder="1" applyProtection="1">
      <alignment/>
      <protection/>
    </xf>
    <xf numFmtId="37" fontId="6" fillId="54" borderId="39" xfId="182" applyNumberFormat="1" applyFont="1" applyFill="1" applyBorder="1" applyProtection="1">
      <alignment/>
      <protection/>
    </xf>
    <xf numFmtId="165" fontId="4" fillId="56" borderId="32" xfId="181" applyFill="1" applyBorder="1" applyAlignment="1" applyProtection="1">
      <alignment horizontal="right"/>
      <protection/>
    </xf>
    <xf numFmtId="166" fontId="8" fillId="56" borderId="38" xfId="182" applyFont="1" applyFill="1" applyBorder="1" applyAlignment="1" applyProtection="1">
      <alignment horizontal="right"/>
      <protection/>
    </xf>
    <xf numFmtId="166" fontId="5" fillId="52" borderId="30" xfId="182" applyFont="1" applyFill="1" applyBorder="1" applyAlignment="1" applyProtection="1">
      <alignment horizontal="right"/>
      <protection/>
    </xf>
    <xf numFmtId="166" fontId="6" fillId="52" borderId="38" xfId="182" applyFont="1" applyFill="1" applyBorder="1" applyAlignment="1" applyProtection="1">
      <alignment horizontal="right"/>
      <protection/>
    </xf>
    <xf numFmtId="166" fontId="5" fillId="54" borderId="71" xfId="182" applyFont="1" applyFill="1" applyBorder="1" applyAlignment="1" applyProtection="1">
      <alignment horizontal="right"/>
      <protection/>
    </xf>
    <xf numFmtId="166" fontId="6" fillId="54" borderId="72" xfId="182" applyFont="1" applyFill="1" applyBorder="1" applyAlignment="1" applyProtection="1">
      <alignment horizontal="right"/>
      <protection/>
    </xf>
    <xf numFmtId="0" fontId="1" fillId="52" borderId="58" xfId="0" applyFont="1" applyFill="1" applyBorder="1" applyAlignment="1" applyProtection="1" quotePrefix="1">
      <alignment horizontal="right"/>
      <protection/>
    </xf>
    <xf numFmtId="0" fontId="1" fillId="52" borderId="61" xfId="0" applyFont="1" applyFill="1" applyBorder="1" applyAlignment="1" applyProtection="1">
      <alignment horizontal="right"/>
      <protection/>
    </xf>
    <xf numFmtId="37" fontId="6" fillId="54" borderId="73" xfId="182" applyNumberFormat="1" applyFont="1" applyFill="1" applyBorder="1" applyProtection="1">
      <alignment/>
      <protection/>
    </xf>
    <xf numFmtId="166" fontId="3" fillId="52" borderId="74" xfId="182" applyFont="1" applyFill="1" applyBorder="1" applyAlignment="1" applyProtection="1">
      <alignment horizontal="center"/>
      <protection/>
    </xf>
    <xf numFmtId="166" fontId="4" fillId="56" borderId="38" xfId="182" applyFill="1" applyBorder="1" applyAlignment="1" applyProtection="1">
      <alignment horizontal="right"/>
      <protection/>
    </xf>
    <xf numFmtId="166" fontId="4" fillId="56" borderId="29" xfId="182" applyFill="1" applyBorder="1" applyProtection="1">
      <alignment/>
      <protection/>
    </xf>
    <xf numFmtId="164" fontId="4" fillId="56" borderId="29" xfId="96" applyNumberFormat="1" applyFont="1" applyFill="1" applyBorder="1" applyAlignment="1" applyProtection="1">
      <alignment/>
      <protection/>
    </xf>
    <xf numFmtId="0" fontId="1" fillId="52" borderId="57" xfId="0" applyFont="1" applyFill="1" applyBorder="1" applyAlignment="1" applyProtection="1">
      <alignment horizontal="center" wrapText="1"/>
      <protection/>
    </xf>
    <xf numFmtId="0" fontId="0" fillId="0" borderId="65" xfId="0" applyFont="1" applyBorder="1" applyAlignment="1" applyProtection="1" quotePrefix="1">
      <alignment horizontal="right"/>
      <protection/>
    </xf>
    <xf numFmtId="0" fontId="0" fillId="0" borderId="32" xfId="0" applyFont="1" applyBorder="1" applyAlignment="1" applyProtection="1" quotePrefix="1">
      <alignment horizontal="right"/>
      <protection/>
    </xf>
    <xf numFmtId="166" fontId="6" fillId="55" borderId="34" xfId="182" applyFont="1" applyFill="1" applyBorder="1" applyProtection="1">
      <alignment/>
      <protection/>
    </xf>
    <xf numFmtId="166" fontId="3" fillId="56" borderId="60" xfId="182" applyFont="1" applyFill="1" applyBorder="1" applyAlignment="1" applyProtection="1">
      <alignment horizontal="right"/>
      <protection/>
    </xf>
    <xf numFmtId="166" fontId="6" fillId="57" borderId="63" xfId="182" applyFont="1" applyFill="1" applyBorder="1" applyProtection="1">
      <alignment/>
      <protection/>
    </xf>
    <xf numFmtId="166" fontId="3" fillId="52" borderId="74" xfId="182" applyFont="1" applyFill="1" applyBorder="1" applyAlignment="1" applyProtection="1">
      <alignment horizontal="right"/>
      <protection/>
    </xf>
    <xf numFmtId="166" fontId="6" fillId="56" borderId="32" xfId="182" applyFont="1" applyFill="1" applyBorder="1" applyAlignment="1" applyProtection="1">
      <alignment horizontal="right"/>
      <protection/>
    </xf>
    <xf numFmtId="166" fontId="3" fillId="52" borderId="59" xfId="182" applyFont="1" applyFill="1" applyBorder="1" applyAlignment="1" applyProtection="1">
      <alignment horizontal="right"/>
      <protection/>
    </xf>
    <xf numFmtId="166" fontId="3" fillId="0" borderId="32" xfId="182" applyFont="1" applyFill="1" applyBorder="1" applyAlignment="1" applyProtection="1">
      <alignment horizontal="right"/>
      <protection/>
    </xf>
    <xf numFmtId="166" fontId="6" fillId="0" borderId="35" xfId="182" applyFont="1" applyFill="1" applyBorder="1" applyProtection="1">
      <alignment/>
      <protection/>
    </xf>
    <xf numFmtId="166" fontId="6" fillId="56" borderId="38" xfId="182" applyFont="1" applyFill="1" applyBorder="1" applyAlignment="1" applyProtection="1">
      <alignment horizontal="right"/>
      <protection/>
    </xf>
    <xf numFmtId="166" fontId="6" fillId="56" borderId="29" xfId="182" applyFont="1" applyFill="1" applyBorder="1" applyAlignment="1" applyProtection="1">
      <alignment horizontal="left"/>
      <protection/>
    </xf>
    <xf numFmtId="37" fontId="11" fillId="56" borderId="29" xfId="182" applyNumberFormat="1" applyFont="1" applyFill="1" applyBorder="1" applyProtection="1">
      <alignment/>
      <protection locked="0"/>
    </xf>
    <xf numFmtId="37" fontId="6" fillId="56" borderId="29" xfId="182" applyNumberFormat="1" applyFont="1" applyFill="1" applyBorder="1" applyProtection="1">
      <alignment/>
      <protection/>
    </xf>
    <xf numFmtId="37" fontId="6" fillId="56" borderId="39" xfId="182" applyNumberFormat="1" applyFont="1" applyFill="1" applyBorder="1" applyProtection="1">
      <alignment/>
      <protection/>
    </xf>
    <xf numFmtId="165" fontId="4" fillId="56" borderId="0" xfId="181" applyFont="1" applyFill="1" applyBorder="1" applyAlignment="1" applyProtection="1">
      <alignment horizontal="right"/>
      <protection/>
    </xf>
    <xf numFmtId="165" fontId="4" fillId="56" borderId="35" xfId="181" applyFont="1" applyFill="1" applyBorder="1" applyAlignment="1" applyProtection="1">
      <alignment horizontal="right"/>
      <protection/>
    </xf>
    <xf numFmtId="165" fontId="4" fillId="56" borderId="29" xfId="181" applyFont="1" applyFill="1" applyBorder="1" applyAlignment="1" applyProtection="1">
      <alignment horizontal="right"/>
      <protection/>
    </xf>
    <xf numFmtId="165" fontId="4" fillId="56" borderId="39" xfId="181" applyFont="1" applyFill="1" applyBorder="1" applyAlignment="1" applyProtection="1">
      <alignment horizontal="right"/>
      <protection/>
    </xf>
    <xf numFmtId="165" fontId="4" fillId="56" borderId="0" xfId="181" applyFont="1" applyFill="1" applyProtection="1">
      <alignment/>
      <protection/>
    </xf>
    <xf numFmtId="14" fontId="16" fillId="56" borderId="28" xfId="181" applyNumberFormat="1" applyFont="1" applyFill="1" applyBorder="1" applyAlignment="1" applyProtection="1">
      <alignment/>
      <protection locked="0"/>
    </xf>
    <xf numFmtId="14" fontId="16" fillId="56" borderId="28" xfId="181" applyNumberFormat="1" applyFont="1" applyFill="1" applyBorder="1" applyAlignment="1" applyProtection="1">
      <alignment/>
      <protection/>
    </xf>
    <xf numFmtId="165" fontId="16" fillId="56" borderId="31" xfId="181" applyFont="1" applyFill="1" applyBorder="1" applyAlignment="1" applyProtection="1">
      <alignment/>
      <protection/>
    </xf>
    <xf numFmtId="165" fontId="16" fillId="56" borderId="38" xfId="181" applyFont="1" applyFill="1" applyBorder="1" applyAlignment="1" applyProtection="1">
      <alignment vertical="top"/>
      <protection/>
    </xf>
    <xf numFmtId="165" fontId="16" fillId="56" borderId="29" xfId="181" applyFont="1" applyFill="1" applyBorder="1" applyAlignment="1" applyProtection="1">
      <alignment vertical="top"/>
      <protection/>
    </xf>
    <xf numFmtId="165" fontId="16" fillId="56" borderId="39" xfId="181" applyFont="1" applyFill="1" applyBorder="1" applyAlignment="1" applyProtection="1">
      <alignment vertical="top"/>
      <protection/>
    </xf>
    <xf numFmtId="165" fontId="16" fillId="56" borderId="31" xfId="181" applyFont="1" applyFill="1" applyBorder="1" applyProtection="1">
      <alignment/>
      <protection/>
    </xf>
    <xf numFmtId="0" fontId="2" fillId="56" borderId="31" xfId="0" applyFont="1" applyFill="1" applyBorder="1" applyAlignment="1" applyProtection="1">
      <alignment/>
      <protection/>
    </xf>
    <xf numFmtId="0" fontId="2" fillId="56" borderId="36" xfId="0" applyFont="1" applyFill="1" applyBorder="1" applyAlignment="1" applyProtection="1">
      <alignment/>
      <protection/>
    </xf>
    <xf numFmtId="165" fontId="13" fillId="56" borderId="75" xfId="181" applyFont="1" applyFill="1" applyBorder="1" applyAlignment="1" applyProtection="1">
      <alignment horizontal="left"/>
      <protection/>
    </xf>
    <xf numFmtId="165" fontId="16" fillId="56" borderId="24" xfId="181" applyFont="1" applyFill="1" applyBorder="1" applyAlignment="1" applyProtection="1">
      <alignment horizontal="left"/>
      <protection/>
    </xf>
    <xf numFmtId="0" fontId="2" fillId="56" borderId="0" xfId="0" applyFont="1" applyFill="1" applyBorder="1" applyAlignment="1" applyProtection="1">
      <alignment horizontal="right"/>
      <protection/>
    </xf>
    <xf numFmtId="0" fontId="2" fillId="56" borderId="35" xfId="0" applyFont="1" applyFill="1" applyBorder="1" applyAlignment="1" applyProtection="1">
      <alignment/>
      <protection/>
    </xf>
    <xf numFmtId="165" fontId="16" fillId="57" borderId="38" xfId="181" applyFont="1" applyFill="1" applyBorder="1" applyProtection="1">
      <alignment/>
      <protection/>
    </xf>
    <xf numFmtId="165" fontId="16" fillId="57" borderId="76" xfId="181" applyFont="1" applyFill="1" applyBorder="1" applyProtection="1">
      <alignment/>
      <protection/>
    </xf>
    <xf numFmtId="165" fontId="16" fillId="57" borderId="39" xfId="181" applyFont="1" applyFill="1" applyBorder="1" applyProtection="1">
      <alignment/>
      <protection/>
    </xf>
    <xf numFmtId="165" fontId="16" fillId="56" borderId="36" xfId="181" applyFont="1" applyFill="1" applyBorder="1" applyProtection="1">
      <alignment/>
      <protection/>
    </xf>
    <xf numFmtId="165" fontId="16" fillId="56" borderId="32" xfId="181" applyFont="1" applyFill="1" applyBorder="1" applyProtection="1">
      <alignment/>
      <protection/>
    </xf>
    <xf numFmtId="165" fontId="16" fillId="56" borderId="32" xfId="181" applyFont="1" applyFill="1" applyBorder="1" applyAlignment="1" applyProtection="1" quotePrefix="1">
      <alignment horizontal="left"/>
      <protection/>
    </xf>
    <xf numFmtId="165" fontId="16" fillId="56" borderId="0" xfId="181" applyFont="1" applyFill="1" applyProtection="1">
      <alignment/>
      <protection/>
    </xf>
    <xf numFmtId="0" fontId="0" fillId="52" borderId="77" xfId="0" applyFont="1" applyFill="1" applyBorder="1" applyAlignment="1" applyProtection="1">
      <alignment horizontal="center"/>
      <protection/>
    </xf>
    <xf numFmtId="0" fontId="0" fillId="0" borderId="32" xfId="0" applyFont="1" applyBorder="1" applyAlignment="1" applyProtection="1">
      <alignment horizontal="right"/>
      <protection/>
    </xf>
    <xf numFmtId="0" fontId="97" fillId="56" borderId="0" xfId="0" applyFont="1" applyFill="1" applyBorder="1" applyAlignment="1" applyProtection="1">
      <alignment/>
      <protection/>
    </xf>
    <xf numFmtId="164" fontId="0" fillId="56" borderId="0" xfId="96" applyNumberFormat="1" applyFont="1" applyFill="1" applyBorder="1" applyAlignment="1" applyProtection="1">
      <alignment/>
      <protection/>
    </xf>
    <xf numFmtId="0" fontId="1" fillId="56" borderId="0" xfId="0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1" fillId="27" borderId="61" xfId="0" applyFont="1" applyFill="1" applyBorder="1" applyAlignment="1" applyProtection="1">
      <alignment horizontal="right" wrapText="1"/>
      <protection/>
    </xf>
    <xf numFmtId="0" fontId="0" fillId="52" borderId="56" xfId="0" applyFont="1" applyFill="1" applyBorder="1" applyAlignment="1" applyProtection="1">
      <alignment horizontal="center"/>
      <protection/>
    </xf>
    <xf numFmtId="164" fontId="0" fillId="0" borderId="35" xfId="96" applyNumberFormat="1" applyFont="1" applyFill="1" applyBorder="1" applyAlignment="1" applyProtection="1">
      <alignment/>
      <protection/>
    </xf>
    <xf numFmtId="0" fontId="0" fillId="0" borderId="38" xfId="0" applyFont="1" applyBorder="1" applyAlignment="1" applyProtection="1">
      <alignment horizontal="right"/>
      <protection/>
    </xf>
    <xf numFmtId="0" fontId="97" fillId="56" borderId="78" xfId="0" applyFont="1" applyFill="1" applyBorder="1" applyAlignment="1" applyProtection="1">
      <alignment/>
      <protection/>
    </xf>
    <xf numFmtId="164" fontId="0" fillId="56" borderId="78" xfId="96" applyNumberFormat="1" applyFont="1" applyFill="1" applyBorder="1" applyAlignment="1" applyProtection="1">
      <alignment/>
      <protection/>
    </xf>
    <xf numFmtId="0" fontId="1" fillId="27" borderId="79" xfId="0" applyFont="1" applyFill="1" applyBorder="1" applyAlignment="1" applyProtection="1">
      <alignment horizontal="right" wrapText="1"/>
      <protection/>
    </xf>
    <xf numFmtId="0" fontId="1" fillId="52" borderId="30" xfId="0" applyFont="1" applyFill="1" applyBorder="1" applyAlignment="1" applyProtection="1">
      <alignment horizontal="right" wrapText="1"/>
      <protection/>
    </xf>
    <xf numFmtId="0" fontId="0" fillId="52" borderId="80" xfId="0" applyFill="1" applyBorder="1" applyAlignment="1" applyProtection="1">
      <alignment/>
      <protection/>
    </xf>
    <xf numFmtId="0" fontId="0" fillId="52" borderId="80" xfId="0" applyFont="1" applyFill="1" applyBorder="1" applyAlignment="1" applyProtection="1">
      <alignment horizontal="center"/>
      <protection/>
    </xf>
    <xf numFmtId="0" fontId="0" fillId="52" borderId="81" xfId="0" applyFont="1" applyFill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164" fontId="0" fillId="0" borderId="29" xfId="96" applyNumberFormat="1" applyFont="1" applyFill="1" applyBorder="1" applyAlignment="1" applyProtection="1">
      <alignment/>
      <protection locked="0"/>
    </xf>
    <xf numFmtId="0" fontId="97" fillId="56" borderId="29" xfId="0" applyFont="1" applyFill="1" applyBorder="1" applyAlignment="1" applyProtection="1">
      <alignment/>
      <protection/>
    </xf>
    <xf numFmtId="164" fontId="0" fillId="56" borderId="29" xfId="96" applyNumberFormat="1" applyFont="1" applyFill="1" applyBorder="1" applyAlignment="1" applyProtection="1">
      <alignment/>
      <protection/>
    </xf>
    <xf numFmtId="164" fontId="0" fillId="0" borderId="39" xfId="96" applyNumberFormat="1" applyFont="1" applyFill="1" applyBorder="1" applyAlignment="1" applyProtection="1">
      <alignment/>
      <protection/>
    </xf>
    <xf numFmtId="165" fontId="18" fillId="56" borderId="0" xfId="181" applyFont="1" applyFill="1" applyBorder="1" applyAlignment="1" applyProtection="1">
      <alignment horizontal="center"/>
      <protection/>
    </xf>
    <xf numFmtId="165" fontId="4" fillId="56" borderId="0" xfId="181" applyFill="1" applyBorder="1" applyAlignment="1" applyProtection="1">
      <alignment horizontal="left" vertical="top" wrapText="1"/>
      <protection locked="0"/>
    </xf>
    <xf numFmtId="165" fontId="3" fillId="56" borderId="0" xfId="181" applyFont="1" applyFill="1" applyBorder="1" applyAlignment="1" applyProtection="1">
      <alignment horizontal="right"/>
      <protection/>
    </xf>
    <xf numFmtId="41" fontId="3" fillId="56" borderId="0" xfId="181" applyNumberFormat="1" applyFont="1" applyFill="1" applyBorder="1" applyAlignment="1" applyProtection="1">
      <alignment horizontal="left" vertical="top"/>
      <protection locked="0"/>
    </xf>
    <xf numFmtId="165" fontId="3" fillId="56" borderId="0" xfId="181" applyFont="1" applyFill="1" applyBorder="1" applyAlignment="1" applyProtection="1">
      <alignment horizontal="left"/>
      <protection/>
    </xf>
    <xf numFmtId="165" fontId="3" fillId="56" borderId="0" xfId="181" applyFont="1" applyFill="1" applyBorder="1" applyAlignment="1" applyProtection="1">
      <alignment horizontal="center"/>
      <protection/>
    </xf>
    <xf numFmtId="37" fontId="6" fillId="54" borderId="82" xfId="182" applyNumberFormat="1" applyFont="1" applyFill="1" applyBorder="1" applyProtection="1">
      <alignment/>
      <protection/>
    </xf>
    <xf numFmtId="37" fontId="11" fillId="56" borderId="45" xfId="96" applyNumberFormat="1" applyFont="1" applyFill="1" applyBorder="1" applyAlignment="1" applyProtection="1">
      <alignment/>
      <protection locked="0"/>
    </xf>
    <xf numFmtId="37" fontId="11" fillId="56" borderId="40" xfId="96" applyNumberFormat="1" applyFont="1" applyFill="1" applyBorder="1" applyAlignment="1" applyProtection="1">
      <alignment/>
      <protection locked="0"/>
    </xf>
    <xf numFmtId="37" fontId="11" fillId="56" borderId="83" xfId="96" applyNumberFormat="1" applyFont="1" applyFill="1" applyBorder="1" applyAlignment="1" applyProtection="1">
      <alignment/>
      <protection locked="0"/>
    </xf>
    <xf numFmtId="37" fontId="5" fillId="54" borderId="27" xfId="182" applyNumberFormat="1" applyFont="1" applyFill="1" applyBorder="1" applyProtection="1">
      <alignment/>
      <protection/>
    </xf>
    <xf numFmtId="37" fontId="6" fillId="56" borderId="26" xfId="96" applyNumberFormat="1" applyFont="1" applyFill="1" applyBorder="1" applyAlignment="1" applyProtection="1">
      <alignment/>
      <protection/>
    </xf>
    <xf numFmtId="37" fontId="6" fillId="56" borderId="77" xfId="96" applyNumberFormat="1" applyFont="1" applyFill="1" applyBorder="1" applyAlignment="1" applyProtection="1">
      <alignment/>
      <protection/>
    </xf>
    <xf numFmtId="164" fontId="5" fillId="55" borderId="84" xfId="96" applyNumberFormat="1" applyFont="1" applyFill="1" applyBorder="1" applyAlignment="1" applyProtection="1">
      <alignment/>
      <protection/>
    </xf>
    <xf numFmtId="164" fontId="5" fillId="55" borderId="85" xfId="96" applyNumberFormat="1" applyFont="1" applyFill="1" applyBorder="1" applyAlignment="1" applyProtection="1">
      <alignment/>
      <protection/>
    </xf>
    <xf numFmtId="164" fontId="6" fillId="56" borderId="0" xfId="96" applyNumberFormat="1" applyFont="1" applyFill="1" applyBorder="1" applyAlignment="1" applyProtection="1">
      <alignment/>
      <protection/>
    </xf>
    <xf numFmtId="164" fontId="6" fillId="56" borderId="35" xfId="96" applyNumberFormat="1" applyFont="1" applyFill="1" applyBorder="1" applyAlignment="1" applyProtection="1">
      <alignment/>
      <protection/>
    </xf>
    <xf numFmtId="164" fontId="5" fillId="55" borderId="84" xfId="96" applyNumberFormat="1" applyFont="1" applyFill="1" applyBorder="1" applyAlignment="1" applyProtection="1">
      <alignment horizontal="right"/>
      <protection/>
    </xf>
    <xf numFmtId="166" fontId="1" fillId="54" borderId="71" xfId="182" applyFont="1" applyFill="1" applyBorder="1" applyAlignment="1" applyProtection="1" quotePrefix="1">
      <alignment horizontal="right"/>
      <protection/>
    </xf>
    <xf numFmtId="178" fontId="4" fillId="56" borderId="0" xfId="182" applyNumberFormat="1" applyFill="1" applyProtection="1">
      <alignment/>
      <protection/>
    </xf>
    <xf numFmtId="165" fontId="16" fillId="56" borderId="86" xfId="181" applyFont="1" applyFill="1" applyBorder="1" applyAlignment="1" applyProtection="1">
      <alignment/>
      <protection/>
    </xf>
    <xf numFmtId="0" fontId="1" fillId="52" borderId="87" xfId="0" applyFont="1" applyFill="1" applyBorder="1" applyAlignment="1" applyProtection="1" quotePrefix="1">
      <alignment horizontal="right"/>
      <protection/>
    </xf>
    <xf numFmtId="165" fontId="3" fillId="56" borderId="0" xfId="181" applyFont="1" applyFill="1" applyBorder="1" applyAlignment="1" applyProtection="1">
      <alignment horizontal="right"/>
      <protection/>
    </xf>
    <xf numFmtId="37" fontId="12" fillId="27" borderId="77" xfId="0" applyNumberFormat="1" applyFont="1" applyFill="1" applyBorder="1" applyAlignment="1" applyProtection="1">
      <alignment/>
      <protection/>
    </xf>
    <xf numFmtId="37" fontId="0" fillId="52" borderId="41" xfId="0" applyNumberFormat="1" applyFill="1" applyBorder="1" applyAlignment="1" applyProtection="1">
      <alignment/>
      <protection/>
    </xf>
    <xf numFmtId="37" fontId="0" fillId="52" borderId="77" xfId="0" applyNumberFormat="1" applyFont="1" applyFill="1" applyBorder="1" applyAlignment="1" applyProtection="1">
      <alignment horizontal="center"/>
      <protection/>
    </xf>
    <xf numFmtId="37" fontId="0" fillId="0" borderId="41" xfId="96" applyNumberFormat="1" applyFont="1" applyFill="1" applyBorder="1" applyAlignment="1" applyProtection="1">
      <alignment/>
      <protection locked="0"/>
    </xf>
    <xf numFmtId="39" fontId="12" fillId="27" borderId="56" xfId="0" applyNumberFormat="1" applyFont="1" applyFill="1" applyBorder="1" applyAlignment="1" applyProtection="1">
      <alignment/>
      <protection/>
    </xf>
    <xf numFmtId="39" fontId="0" fillId="52" borderId="56" xfId="0" applyNumberFormat="1" applyFont="1" applyFill="1" applyBorder="1" applyAlignment="1" applyProtection="1">
      <alignment horizontal="center"/>
      <protection/>
    </xf>
    <xf numFmtId="39" fontId="0" fillId="0" borderId="57" xfId="96" applyNumberFormat="1" applyFont="1" applyFill="1" applyBorder="1" applyAlignment="1" applyProtection="1">
      <alignment/>
      <protection/>
    </xf>
    <xf numFmtId="39" fontId="0" fillId="0" borderId="85" xfId="96" applyNumberFormat="1" applyFont="1" applyFill="1" applyBorder="1" applyAlignment="1" applyProtection="1">
      <alignment/>
      <protection/>
    </xf>
    <xf numFmtId="37" fontId="0" fillId="0" borderId="77" xfId="96" applyNumberFormat="1" applyFont="1" applyFill="1" applyBorder="1" applyAlignment="1" applyProtection="1">
      <alignment/>
      <protection locked="0"/>
    </xf>
    <xf numFmtId="39" fontId="0" fillId="0" borderId="56" xfId="96" applyNumberFormat="1" applyFont="1" applyFill="1" applyBorder="1" applyAlignment="1" applyProtection="1">
      <alignment/>
      <protection/>
    </xf>
    <xf numFmtId="37" fontId="12" fillId="27" borderId="23" xfId="0" applyNumberFormat="1" applyFont="1" applyFill="1" applyBorder="1" applyAlignment="1" applyProtection="1">
      <alignment/>
      <protection/>
    </xf>
    <xf numFmtId="39" fontId="12" fillId="27" borderId="66" xfId="0" applyNumberFormat="1" applyFont="1" applyFill="1" applyBorder="1" applyAlignment="1" applyProtection="1">
      <alignment/>
      <protection/>
    </xf>
    <xf numFmtId="37" fontId="0" fillId="0" borderId="23" xfId="96" applyNumberFormat="1" applyFont="1" applyFill="1" applyBorder="1" applyAlignment="1" applyProtection="1">
      <alignment/>
      <protection locked="0"/>
    </xf>
    <xf numFmtId="37" fontId="0" fillId="0" borderId="66" xfId="96" applyNumberFormat="1" applyFont="1" applyFill="1" applyBorder="1" applyAlignment="1" applyProtection="1">
      <alignment/>
      <protection/>
    </xf>
    <xf numFmtId="37" fontId="0" fillId="0" borderId="44" xfId="96" applyNumberFormat="1" applyFont="1" applyFill="1" applyBorder="1" applyAlignment="1" applyProtection="1">
      <alignment/>
      <protection locked="0"/>
    </xf>
    <xf numFmtId="37" fontId="0" fillId="0" borderId="84" xfId="96" applyNumberFormat="1" applyFont="1" applyFill="1" applyBorder="1" applyAlignment="1" applyProtection="1">
      <alignment/>
      <protection/>
    </xf>
    <xf numFmtId="37" fontId="0" fillId="0" borderId="85" xfId="96" applyNumberFormat="1" applyFont="1" applyFill="1" applyBorder="1" applyAlignment="1" applyProtection="1">
      <alignment/>
      <protection/>
    </xf>
    <xf numFmtId="37" fontId="0" fillId="0" borderId="44" xfId="96" applyNumberFormat="1" applyFont="1" applyFill="1" applyBorder="1" applyAlignment="1" applyProtection="1">
      <alignment/>
      <protection/>
    </xf>
    <xf numFmtId="37" fontId="0" fillId="0" borderId="23" xfId="96" applyNumberFormat="1" applyFont="1" applyFill="1" applyBorder="1" applyAlignment="1" applyProtection="1">
      <alignment/>
      <protection/>
    </xf>
    <xf numFmtId="37" fontId="1" fillId="56" borderId="0" xfId="96" applyNumberFormat="1" applyFont="1" applyFill="1" applyBorder="1" applyAlignment="1" applyProtection="1">
      <alignment/>
      <protection/>
    </xf>
    <xf numFmtId="37" fontId="98" fillId="56" borderId="0" xfId="0" applyNumberFormat="1" applyFont="1" applyFill="1" applyBorder="1" applyAlignment="1" applyProtection="1">
      <alignment/>
      <protection/>
    </xf>
    <xf numFmtId="37" fontId="1" fillId="56" borderId="35" xfId="96" applyNumberFormat="1" applyFont="1" applyFill="1" applyBorder="1" applyAlignment="1" applyProtection="1">
      <alignment/>
      <protection/>
    </xf>
    <xf numFmtId="37" fontId="0" fillId="52" borderId="84" xfId="0" applyNumberFormat="1" applyFill="1" applyBorder="1" applyAlignment="1" applyProtection="1">
      <alignment/>
      <protection/>
    </xf>
    <xf numFmtId="37" fontId="0" fillId="52" borderId="85" xfId="0" applyNumberFormat="1" applyFill="1" applyBorder="1" applyAlignment="1" applyProtection="1">
      <alignment/>
      <protection/>
    </xf>
    <xf numFmtId="37" fontId="4" fillId="56" borderId="0" xfId="181" applyNumberFormat="1" applyFill="1" applyBorder="1" applyAlignment="1" applyProtection="1">
      <alignment/>
      <protection/>
    </xf>
    <xf numFmtId="37" fontId="4" fillId="56" borderId="35" xfId="181" applyNumberFormat="1" applyFill="1" applyBorder="1" applyAlignment="1" applyProtection="1">
      <alignment/>
      <protection/>
    </xf>
    <xf numFmtId="0" fontId="0" fillId="0" borderId="46" xfId="0" applyFont="1" applyBorder="1" applyAlignment="1" applyProtection="1">
      <alignment horizontal="left"/>
      <protection/>
    </xf>
    <xf numFmtId="0" fontId="1" fillId="52" borderId="24" xfId="0" applyFont="1" applyFill="1" applyBorder="1" applyAlignment="1" applyProtection="1">
      <alignment horizontal="center"/>
      <protection/>
    </xf>
    <xf numFmtId="37" fontId="12" fillId="27" borderId="77" xfId="0" applyNumberFormat="1" applyFont="1" applyFill="1" applyBorder="1" applyAlignment="1" applyProtection="1">
      <alignment/>
      <protection/>
    </xf>
    <xf numFmtId="0" fontId="1" fillId="52" borderId="25" xfId="0" applyFont="1" applyFill="1" applyBorder="1" applyAlignment="1" applyProtection="1">
      <alignment/>
      <protection/>
    </xf>
    <xf numFmtId="0" fontId="1" fillId="58" borderId="46" xfId="0" applyFont="1" applyFill="1" applyBorder="1" applyAlignment="1" applyProtection="1">
      <alignment horizontal="center"/>
      <protection/>
    </xf>
    <xf numFmtId="164" fontId="0" fillId="56" borderId="0" xfId="96" applyNumberFormat="1" applyFont="1" applyFill="1" applyBorder="1" applyAlignment="1" applyProtection="1">
      <alignment/>
      <protection locked="0"/>
    </xf>
    <xf numFmtId="0" fontId="1" fillId="58" borderId="26" xfId="0" applyFont="1" applyFill="1" applyBorder="1" applyAlignment="1" applyProtection="1">
      <alignment horizontal="center" wrapText="1"/>
      <protection/>
    </xf>
    <xf numFmtId="0" fontId="1" fillId="58" borderId="23" xfId="0" applyFont="1" applyFill="1" applyBorder="1" applyAlignment="1" applyProtection="1">
      <alignment horizontal="center" wrapText="1"/>
      <protection/>
    </xf>
    <xf numFmtId="0" fontId="1" fillId="58" borderId="77" xfId="0" applyFont="1" applyFill="1" applyBorder="1" applyAlignment="1" applyProtection="1">
      <alignment horizontal="center" wrapText="1"/>
      <protection/>
    </xf>
    <xf numFmtId="0" fontId="12" fillId="27" borderId="77" xfId="0" applyFont="1" applyFill="1" applyBorder="1" applyAlignment="1" applyProtection="1">
      <alignment horizontal="left" wrapText="1"/>
      <protection/>
    </xf>
    <xf numFmtId="39" fontId="0" fillId="56" borderId="57" xfId="96" applyNumberFormat="1" applyFont="1" applyFill="1" applyBorder="1" applyAlignment="1" applyProtection="1">
      <alignment/>
      <protection/>
    </xf>
    <xf numFmtId="164" fontId="0" fillId="56" borderId="35" xfId="96" applyNumberFormat="1" applyFont="1" applyFill="1" applyBorder="1" applyAlignment="1" applyProtection="1">
      <alignment/>
      <protection/>
    </xf>
    <xf numFmtId="0" fontId="1" fillId="56" borderId="0" xfId="0" applyFont="1" applyFill="1" applyBorder="1" applyAlignment="1" applyProtection="1">
      <alignment horizontal="center"/>
      <protection/>
    </xf>
    <xf numFmtId="164" fontId="0" fillId="56" borderId="78" xfId="96" applyNumberFormat="1" applyFont="1" applyFill="1" applyBorder="1" applyAlignment="1" applyProtection="1">
      <alignment/>
      <protection locked="0"/>
    </xf>
    <xf numFmtId="164" fontId="0" fillId="56" borderId="88" xfId="96" applyNumberFormat="1" applyFont="1" applyFill="1" applyBorder="1" applyAlignment="1" applyProtection="1">
      <alignment/>
      <protection/>
    </xf>
    <xf numFmtId="37" fontId="0" fillId="56" borderId="42" xfId="96" applyNumberFormat="1" applyFont="1" applyFill="1" applyBorder="1" applyAlignment="1" applyProtection="1">
      <alignment/>
      <protection locked="0"/>
    </xf>
    <xf numFmtId="37" fontId="0" fillId="56" borderId="51" xfId="96" applyNumberFormat="1" applyFont="1" applyFill="1" applyBorder="1" applyAlignment="1" applyProtection="1">
      <alignment/>
      <protection locked="0"/>
    </xf>
    <xf numFmtId="0" fontId="1" fillId="0" borderId="84" xfId="0" applyFont="1" applyBorder="1" applyAlignment="1" applyProtection="1">
      <alignment horizontal="center"/>
      <protection/>
    </xf>
    <xf numFmtId="0" fontId="1" fillId="56" borderId="89" xfId="0" applyFont="1" applyFill="1" applyBorder="1" applyAlignment="1" applyProtection="1">
      <alignment horizontal="center"/>
      <protection/>
    </xf>
    <xf numFmtId="0" fontId="1" fillId="56" borderId="90" xfId="0" applyFont="1" applyFill="1" applyBorder="1" applyAlignment="1" applyProtection="1">
      <alignment horizontal="center"/>
      <protection/>
    </xf>
    <xf numFmtId="0" fontId="1" fillId="56" borderId="91" xfId="0" applyFont="1" applyFill="1" applyBorder="1" applyAlignment="1" applyProtection="1">
      <alignment horizontal="center"/>
      <protection/>
    </xf>
    <xf numFmtId="165" fontId="3" fillId="56" borderId="0" xfId="181" applyFont="1" applyFill="1" applyBorder="1" applyAlignment="1" applyProtection="1">
      <alignment/>
      <protection/>
    </xf>
    <xf numFmtId="165" fontId="3" fillId="56" borderId="0" xfId="181" applyFont="1" applyFill="1" applyBorder="1" applyAlignment="1" applyProtection="1">
      <alignment wrapText="1"/>
      <protection/>
    </xf>
    <xf numFmtId="0" fontId="12" fillId="27" borderId="23" xfId="0" applyFont="1" applyFill="1" applyBorder="1" applyAlignment="1" applyProtection="1">
      <alignment horizontal="left" wrapText="1"/>
      <protection/>
    </xf>
    <xf numFmtId="37" fontId="12" fillId="27" borderId="23" xfId="0" applyNumberFormat="1" applyFont="1" applyFill="1" applyBorder="1" applyAlignment="1" applyProtection="1">
      <alignment/>
      <protection/>
    </xf>
    <xf numFmtId="0" fontId="1" fillId="56" borderId="84" xfId="0" applyFont="1" applyFill="1" applyBorder="1" applyAlignment="1" applyProtection="1">
      <alignment horizontal="center"/>
      <protection/>
    </xf>
    <xf numFmtId="0" fontId="1" fillId="52" borderId="41" xfId="0" applyFont="1" applyFill="1" applyBorder="1" applyAlignment="1" applyProtection="1">
      <alignment horizontal="right" wrapText="1"/>
      <protection/>
    </xf>
    <xf numFmtId="37" fontId="0" fillId="52" borderId="41" xfId="0" applyNumberFormat="1" applyFont="1" applyFill="1" applyBorder="1" applyAlignment="1" applyProtection="1">
      <alignment horizontal="center"/>
      <protection/>
    </xf>
    <xf numFmtId="39" fontId="0" fillId="52" borderId="57" xfId="0" applyNumberFormat="1" applyFont="1" applyFill="1" applyBorder="1" applyAlignment="1" applyProtection="1">
      <alignment horizontal="center"/>
      <protection/>
    </xf>
    <xf numFmtId="37" fontId="0" fillId="56" borderId="77" xfId="96" applyNumberFormat="1" applyFont="1" applyFill="1" applyBorder="1" applyAlignment="1" applyProtection="1">
      <alignment/>
      <protection locked="0"/>
    </xf>
    <xf numFmtId="39" fontId="0" fillId="56" borderId="56" xfId="96" applyNumberFormat="1" applyFont="1" applyFill="1" applyBorder="1" applyAlignment="1" applyProtection="1">
      <alignment/>
      <protection/>
    </xf>
    <xf numFmtId="37" fontId="0" fillId="56" borderId="41" xfId="96" applyNumberFormat="1" applyFont="1" applyFill="1" applyBorder="1" applyAlignment="1" applyProtection="1">
      <alignment/>
      <protection locked="0"/>
    </xf>
    <xf numFmtId="39" fontId="0" fillId="56" borderId="85" xfId="96" applyNumberFormat="1" applyFont="1" applyFill="1" applyBorder="1" applyAlignment="1" applyProtection="1">
      <alignment/>
      <protection/>
    </xf>
    <xf numFmtId="164" fontId="0" fillId="56" borderId="35" xfId="96" applyNumberFormat="1" applyFont="1" applyFill="1" applyBorder="1" applyAlignment="1" applyProtection="1">
      <alignment/>
      <protection/>
    </xf>
    <xf numFmtId="0" fontId="0" fillId="56" borderId="92" xfId="0" applyFont="1" applyFill="1" applyBorder="1" applyAlignment="1" applyProtection="1">
      <alignment horizontal="center"/>
      <protection/>
    </xf>
    <xf numFmtId="0" fontId="0" fillId="56" borderId="32" xfId="0" applyFont="1" applyFill="1" applyBorder="1" applyAlignment="1" applyProtection="1" quotePrefix="1">
      <alignment horizontal="right"/>
      <protection/>
    </xf>
    <xf numFmtId="0" fontId="0" fillId="56" borderId="32" xfId="0" applyFont="1" applyFill="1" applyBorder="1" applyAlignment="1" applyProtection="1">
      <alignment horizontal="right"/>
      <protection/>
    </xf>
    <xf numFmtId="0" fontId="0" fillId="56" borderId="38" xfId="0" applyFont="1" applyFill="1" applyBorder="1" applyAlignment="1" applyProtection="1">
      <alignment horizontal="right"/>
      <protection/>
    </xf>
    <xf numFmtId="0" fontId="1" fillId="56" borderId="29" xfId="0" applyFont="1" applyFill="1" applyBorder="1" applyAlignment="1" applyProtection="1">
      <alignment horizontal="center"/>
      <protection/>
    </xf>
    <xf numFmtId="164" fontId="0" fillId="56" borderId="39" xfId="96" applyNumberFormat="1" applyFont="1" applyFill="1" applyBorder="1" applyAlignment="1" applyProtection="1">
      <alignment/>
      <protection/>
    </xf>
    <xf numFmtId="165" fontId="4" fillId="56" borderId="32" xfId="181" applyFill="1" applyBorder="1" applyAlignment="1" applyProtection="1">
      <alignment vertical="top"/>
      <protection locked="0"/>
    </xf>
    <xf numFmtId="165" fontId="4" fillId="56" borderId="0" xfId="181" applyFill="1" applyBorder="1" applyAlignment="1" applyProtection="1">
      <alignment vertical="top"/>
      <protection locked="0"/>
    </xf>
    <xf numFmtId="165" fontId="4" fillId="56" borderId="38" xfId="181" applyFill="1" applyBorder="1" applyAlignment="1" applyProtection="1">
      <alignment vertical="top"/>
      <protection locked="0"/>
    </xf>
    <xf numFmtId="165" fontId="4" fillId="56" borderId="29" xfId="181" applyFill="1" applyBorder="1" applyAlignment="1" applyProtection="1">
      <alignment vertical="top"/>
      <protection locked="0"/>
    </xf>
    <xf numFmtId="165" fontId="4" fillId="56" borderId="29" xfId="181" applyFill="1" applyBorder="1" applyAlignment="1" applyProtection="1">
      <alignment horizontal="left" vertical="top"/>
      <protection locked="0"/>
    </xf>
    <xf numFmtId="165" fontId="3" fillId="56" borderId="29" xfId="181" applyFont="1" applyFill="1" applyBorder="1" applyAlignment="1" applyProtection="1">
      <alignment vertical="top"/>
      <protection locked="0"/>
    </xf>
    <xf numFmtId="165" fontId="3" fillId="56" borderId="39" xfId="181" applyFont="1" applyFill="1" applyBorder="1" applyAlignment="1" applyProtection="1">
      <alignment vertical="top"/>
      <protection locked="0"/>
    </xf>
    <xf numFmtId="165" fontId="4" fillId="56" borderId="0" xfId="181" applyFill="1" applyBorder="1" applyAlignment="1" applyProtection="1">
      <alignment horizontal="left" vertical="top"/>
      <protection locked="0"/>
    </xf>
    <xf numFmtId="37" fontId="12" fillId="27" borderId="46" xfId="0" applyNumberFormat="1" applyFont="1" applyFill="1" applyBorder="1" applyAlignment="1" applyProtection="1">
      <alignment/>
      <protection/>
    </xf>
    <xf numFmtId="37" fontId="0" fillId="52" borderId="50" xfId="0" applyNumberFormat="1" applyFill="1" applyBorder="1" applyAlignment="1" applyProtection="1">
      <alignment/>
      <protection/>
    </xf>
    <xf numFmtId="0" fontId="1" fillId="52" borderId="26" xfId="0" applyFont="1" applyFill="1" applyBorder="1" applyAlignment="1" applyProtection="1">
      <alignment/>
      <protection/>
    </xf>
    <xf numFmtId="0" fontId="1" fillId="52" borderId="23" xfId="0" applyFont="1" applyFill="1" applyBorder="1" applyAlignment="1" applyProtection="1">
      <alignment horizontal="center"/>
      <protection/>
    </xf>
    <xf numFmtId="0" fontId="1" fillId="58" borderId="77" xfId="0" applyFont="1" applyFill="1" applyBorder="1" applyAlignment="1" applyProtection="1">
      <alignment horizontal="center"/>
      <protection/>
    </xf>
    <xf numFmtId="0" fontId="1" fillId="56" borderId="77" xfId="0" applyFont="1" applyFill="1" applyBorder="1" applyAlignment="1" applyProtection="1">
      <alignment horizontal="center" wrapText="1"/>
      <protection/>
    </xf>
    <xf numFmtId="0" fontId="1" fillId="56" borderId="46" xfId="0" applyFont="1" applyFill="1" applyBorder="1" applyAlignment="1" applyProtection="1">
      <alignment horizontal="center"/>
      <protection/>
    </xf>
    <xf numFmtId="0" fontId="1" fillId="56" borderId="77" xfId="0" applyFont="1" applyFill="1" applyBorder="1" applyAlignment="1" applyProtection="1">
      <alignment horizontal="center"/>
      <protection/>
    </xf>
    <xf numFmtId="0" fontId="1" fillId="56" borderId="42" xfId="0" applyFont="1" applyFill="1" applyBorder="1" applyAlignment="1" applyProtection="1">
      <alignment horizontal="center"/>
      <protection/>
    </xf>
    <xf numFmtId="0" fontId="1" fillId="56" borderId="56" xfId="0" applyFont="1" applyFill="1" applyBorder="1" applyAlignment="1" applyProtection="1">
      <alignment horizontal="center"/>
      <protection/>
    </xf>
    <xf numFmtId="165" fontId="16" fillId="56" borderId="93" xfId="181" applyFont="1" applyFill="1" applyBorder="1" applyAlignment="1" applyProtection="1" quotePrefix="1">
      <alignment horizontal="right" vertical="top"/>
      <protection/>
    </xf>
    <xf numFmtId="165" fontId="99" fillId="56" borderId="0" xfId="181" applyFont="1" applyFill="1" applyProtection="1">
      <alignment/>
      <protection/>
    </xf>
    <xf numFmtId="165" fontId="4" fillId="56" borderId="0" xfId="181" applyFill="1" applyBorder="1" applyAlignment="1" applyProtection="1">
      <alignment horizontal="left" vertical="top" wrapText="1"/>
      <protection locked="0"/>
    </xf>
    <xf numFmtId="165" fontId="18" fillId="56" borderId="0" xfId="181" applyFont="1" applyFill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left"/>
      <protection/>
    </xf>
    <xf numFmtId="165" fontId="3" fillId="56" borderId="0" xfId="181" applyFont="1" applyFill="1" applyBorder="1" applyAlignment="1" applyProtection="1">
      <alignment horizontal="right"/>
      <protection/>
    </xf>
    <xf numFmtId="41" fontId="3" fillId="56" borderId="0" xfId="181" applyNumberFormat="1" applyFont="1" applyFill="1" applyBorder="1" applyAlignment="1" applyProtection="1">
      <alignment horizontal="left" vertical="top"/>
      <protection locked="0"/>
    </xf>
    <xf numFmtId="165" fontId="3" fillId="56" borderId="0" xfId="181" applyFont="1" applyFill="1" applyBorder="1" applyAlignment="1" applyProtection="1">
      <alignment horizontal="left"/>
      <protection/>
    </xf>
    <xf numFmtId="165" fontId="3" fillId="56" borderId="0" xfId="181" applyFont="1" applyFill="1" applyBorder="1" applyAlignment="1" applyProtection="1">
      <alignment horizontal="center"/>
      <protection/>
    </xf>
    <xf numFmtId="165" fontId="18" fillId="56" borderId="0" xfId="181" applyFont="1" applyFill="1" applyBorder="1" applyAlignment="1" applyProtection="1">
      <alignment horizontal="center"/>
      <protection/>
    </xf>
    <xf numFmtId="166" fontId="6" fillId="56" borderId="0" xfId="182" applyFont="1" applyFill="1" applyBorder="1" applyAlignment="1" applyProtection="1">
      <alignment horizontal="left"/>
      <protection/>
    </xf>
    <xf numFmtId="165" fontId="3" fillId="56" borderId="0" xfId="181" applyFont="1" applyFill="1" applyBorder="1" applyAlignment="1" applyProtection="1">
      <alignment horizontal="right"/>
      <protection/>
    </xf>
    <xf numFmtId="165" fontId="3" fillId="56" borderId="0" xfId="181" applyFont="1" applyFill="1" applyBorder="1" applyAlignment="1" applyProtection="1">
      <alignment horizontal="left"/>
      <protection/>
    </xf>
    <xf numFmtId="0" fontId="1" fillId="52" borderId="50" xfId="0" applyFont="1" applyFill="1" applyBorder="1" applyAlignment="1" applyProtection="1">
      <alignment horizontal="centerContinuous"/>
      <protection/>
    </xf>
    <xf numFmtId="0" fontId="1" fillId="52" borderId="41" xfId="0" applyFont="1" applyFill="1" applyBorder="1" applyAlignment="1" applyProtection="1">
      <alignment horizontal="centerContinuous"/>
      <protection/>
    </xf>
    <xf numFmtId="166" fontId="5" fillId="0" borderId="94" xfId="182" applyFont="1" applyBorder="1" applyAlignment="1" applyProtection="1">
      <alignment horizontal="center"/>
      <protection/>
    </xf>
    <xf numFmtId="37" fontId="6" fillId="56" borderId="42" xfId="182" applyNumberFormat="1" applyFont="1" applyFill="1" applyBorder="1" applyAlignment="1" applyProtection="1">
      <alignment/>
      <protection locked="0"/>
    </xf>
    <xf numFmtId="165" fontId="18" fillId="56" borderId="0" xfId="181" applyFont="1" applyFill="1" applyBorder="1" applyAlignment="1" applyProtection="1">
      <alignment horizontal="center"/>
      <protection/>
    </xf>
    <xf numFmtId="165" fontId="3" fillId="56" borderId="0" xfId="181" applyFont="1" applyFill="1" applyBorder="1" applyAlignment="1" applyProtection="1">
      <alignment horizontal="left"/>
      <protection/>
    </xf>
    <xf numFmtId="165" fontId="18" fillId="56" borderId="0" xfId="181" applyFont="1" applyFill="1" applyBorder="1" applyAlignment="1" applyProtection="1">
      <alignment horizontal="center"/>
      <protection/>
    </xf>
    <xf numFmtId="166" fontId="6" fillId="56" borderId="24" xfId="182" applyFont="1" applyFill="1" applyBorder="1" applyAlignment="1" applyProtection="1">
      <alignment horizontal="left"/>
      <protection/>
    </xf>
    <xf numFmtId="166" fontId="6" fillId="56" borderId="44" xfId="182" applyFont="1" applyFill="1" applyBorder="1" applyAlignment="1" applyProtection="1">
      <alignment horizontal="left"/>
      <protection/>
    </xf>
    <xf numFmtId="14" fontId="3" fillId="56" borderId="95" xfId="181" applyNumberFormat="1" applyFont="1" applyFill="1" applyBorder="1" applyAlignment="1" applyProtection="1">
      <alignment horizontal="center"/>
      <protection/>
    </xf>
    <xf numFmtId="166" fontId="6" fillId="56" borderId="25" xfId="182" applyFont="1" applyFill="1" applyBorder="1" applyAlignment="1" applyProtection="1">
      <alignment horizontal="left"/>
      <protection/>
    </xf>
    <xf numFmtId="165" fontId="3" fillId="56" borderId="29" xfId="181" applyFont="1" applyFill="1" applyBorder="1" applyAlignment="1" applyProtection="1">
      <alignment horizontal="left" vertical="top"/>
      <protection/>
    </xf>
    <xf numFmtId="166" fontId="6" fillId="56" borderId="0" xfId="182" applyFont="1" applyFill="1" applyBorder="1" applyAlignment="1" applyProtection="1">
      <alignment horizontal="left"/>
      <protection/>
    </xf>
    <xf numFmtId="0" fontId="1" fillId="58" borderId="28" xfId="0" applyFont="1" applyFill="1" applyBorder="1" applyAlignment="1" applyProtection="1">
      <alignment horizontal="center" wrapText="1"/>
      <protection/>
    </xf>
    <xf numFmtId="0" fontId="0" fillId="56" borderId="50" xfId="0" applyFont="1" applyFill="1" applyBorder="1" applyAlignment="1" applyProtection="1">
      <alignment horizontal="left"/>
      <protection/>
    </xf>
    <xf numFmtId="0" fontId="0" fillId="56" borderId="22" xfId="0" applyFont="1" applyFill="1" applyBorder="1" applyAlignment="1" applyProtection="1">
      <alignment horizontal="left"/>
      <protection/>
    </xf>
    <xf numFmtId="0" fontId="0" fillId="56" borderId="51" xfId="0" applyFont="1" applyFill="1" applyBorder="1" applyAlignment="1" applyProtection="1">
      <alignment horizontal="left"/>
      <protection/>
    </xf>
    <xf numFmtId="0" fontId="1" fillId="58" borderId="32" xfId="0" applyFont="1" applyFill="1" applyBorder="1" applyAlignment="1" applyProtection="1">
      <alignment horizontal="center" wrapText="1"/>
      <protection/>
    </xf>
    <xf numFmtId="0" fontId="1" fillId="58" borderId="60" xfId="0" applyFont="1" applyFill="1" applyBorder="1" applyAlignment="1" applyProtection="1">
      <alignment horizontal="center" wrapText="1"/>
      <protection/>
    </xf>
    <xf numFmtId="0" fontId="1" fillId="56" borderId="92" xfId="0" applyFont="1" applyFill="1" applyBorder="1" applyAlignment="1" applyProtection="1">
      <alignment horizontal="center"/>
      <protection/>
    </xf>
    <xf numFmtId="0" fontId="0" fillId="56" borderId="0" xfId="0" applyFont="1" applyFill="1" applyBorder="1" applyAlignment="1" applyProtection="1">
      <alignment horizontal="center"/>
      <protection/>
    </xf>
    <xf numFmtId="0" fontId="1" fillId="58" borderId="41" xfId="0" applyFont="1" applyFill="1" applyBorder="1" applyAlignment="1" applyProtection="1">
      <alignment horizontal="center" wrapText="1"/>
      <protection/>
    </xf>
    <xf numFmtId="165" fontId="3" fillId="56" borderId="0" xfId="181" applyFont="1" applyFill="1" applyBorder="1" applyAlignment="1" applyProtection="1">
      <alignment horizontal="right"/>
      <protection/>
    </xf>
    <xf numFmtId="165" fontId="3" fillId="56" borderId="0" xfId="181" applyFont="1" applyFill="1" applyBorder="1" applyAlignment="1" applyProtection="1">
      <alignment wrapText="1"/>
      <protection/>
    </xf>
    <xf numFmtId="165" fontId="3" fillId="56" borderId="0" xfId="181" applyFont="1" applyFill="1" applyBorder="1" applyAlignment="1" applyProtection="1">
      <alignment horizontal="left"/>
      <protection/>
    </xf>
    <xf numFmtId="165" fontId="3" fillId="56" borderId="96" xfId="181" applyFont="1" applyFill="1" applyBorder="1" applyAlignment="1" applyProtection="1">
      <alignment horizontal="center"/>
      <protection/>
    </xf>
    <xf numFmtId="166" fontId="6" fillId="56" borderId="42" xfId="182" applyFont="1" applyFill="1" applyBorder="1" applyAlignment="1" applyProtection="1">
      <alignment horizontal="left"/>
      <protection locked="0"/>
    </xf>
    <xf numFmtId="166" fontId="6" fillId="56" borderId="51" xfId="182" applyFont="1" applyFill="1" applyBorder="1" applyAlignment="1" applyProtection="1" quotePrefix="1">
      <alignment horizontal="left"/>
      <protection locked="0"/>
    </xf>
    <xf numFmtId="166" fontId="6" fillId="56" borderId="51" xfId="182" applyFont="1" applyFill="1" applyBorder="1" applyAlignment="1" applyProtection="1">
      <alignment horizontal="left"/>
      <protection locked="0"/>
    </xf>
    <xf numFmtId="41" fontId="3" fillId="56" borderId="29" xfId="181" applyNumberFormat="1" applyFont="1" applyFill="1" applyBorder="1" applyAlignment="1" applyProtection="1">
      <alignment vertical="top"/>
      <protection/>
    </xf>
    <xf numFmtId="41" fontId="3" fillId="56" borderId="39" xfId="181" applyNumberFormat="1" applyFont="1" applyFill="1" applyBorder="1" applyAlignment="1" applyProtection="1">
      <alignment vertical="top"/>
      <protection/>
    </xf>
    <xf numFmtId="166" fontId="6" fillId="56" borderId="0" xfId="182" applyFont="1" applyFill="1" applyBorder="1" applyAlignment="1" applyProtection="1">
      <alignment horizontal="left"/>
      <protection locked="0"/>
    </xf>
    <xf numFmtId="166" fontId="6" fillId="56" borderId="0" xfId="182" applyFont="1" applyFill="1" applyBorder="1" applyAlignment="1" applyProtection="1" quotePrefix="1">
      <alignment horizontal="left"/>
      <protection locked="0"/>
    </xf>
    <xf numFmtId="164" fontId="11" fillId="56" borderId="0" xfId="96" applyNumberFormat="1" applyFont="1" applyFill="1" applyBorder="1" applyAlignment="1" applyProtection="1">
      <alignment/>
      <protection/>
    </xf>
    <xf numFmtId="37" fontId="25" fillId="56" borderId="29" xfId="182" applyNumberFormat="1" applyFont="1" applyFill="1" applyBorder="1" applyProtection="1">
      <alignment/>
      <protection/>
    </xf>
    <xf numFmtId="37" fontId="11" fillId="56" borderId="29" xfId="182" applyNumberFormat="1" applyFont="1" applyFill="1" applyBorder="1" applyProtection="1">
      <alignment/>
      <protection/>
    </xf>
    <xf numFmtId="166" fontId="6" fillId="56" borderId="42" xfId="182" applyFont="1" applyFill="1" applyBorder="1" applyAlignment="1" applyProtection="1" quotePrefix="1">
      <alignment horizontal="left"/>
      <protection locked="0"/>
    </xf>
    <xf numFmtId="165" fontId="4" fillId="56" borderId="0" xfId="181" applyFill="1" applyBorder="1" applyAlignment="1" applyProtection="1">
      <alignment horizontal="right" vertical="top" wrapText="1"/>
      <protection/>
    </xf>
    <xf numFmtId="165" fontId="4" fillId="56" borderId="0" xfId="181" applyFill="1" applyBorder="1" applyAlignment="1" applyProtection="1">
      <alignment horizontal="left" vertical="top" wrapText="1"/>
      <protection/>
    </xf>
    <xf numFmtId="37" fontId="0" fillId="56" borderId="84" xfId="96" applyNumberFormat="1" applyFont="1" applyFill="1" applyBorder="1" applyAlignment="1" applyProtection="1">
      <alignment/>
      <protection/>
    </xf>
    <xf numFmtId="0" fontId="0" fillId="0" borderId="32" xfId="0" applyFont="1" applyBorder="1" applyAlignment="1" applyProtection="1" quotePrefix="1">
      <alignment horizontal="right"/>
      <protection locked="0"/>
    </xf>
    <xf numFmtId="0" fontId="0" fillId="56" borderId="51" xfId="0" applyFont="1" applyFill="1" applyBorder="1" applyAlignment="1" applyProtection="1">
      <alignment horizontal="left"/>
      <protection locked="0"/>
    </xf>
    <xf numFmtId="37" fontId="0" fillId="56" borderId="41" xfId="96" applyNumberFormat="1" applyFont="1" applyFill="1" applyBorder="1" applyAlignment="1" applyProtection="1">
      <alignment/>
      <protection locked="0"/>
    </xf>
    <xf numFmtId="37" fontId="0" fillId="56" borderId="41" xfId="0" applyNumberFormat="1" applyFont="1" applyFill="1" applyBorder="1" applyAlignment="1" applyProtection="1">
      <alignment/>
      <protection locked="0"/>
    </xf>
    <xf numFmtId="0" fontId="0" fillId="0" borderId="51" xfId="0" applyFont="1" applyBorder="1" applyAlignment="1" applyProtection="1">
      <alignment horizontal="left"/>
      <protection locked="0"/>
    </xf>
    <xf numFmtId="0" fontId="0" fillId="56" borderId="42" xfId="0" applyFont="1" applyFill="1" applyBorder="1" applyAlignment="1" applyProtection="1">
      <alignment horizontal="left"/>
      <protection locked="0"/>
    </xf>
    <xf numFmtId="37" fontId="0" fillId="56" borderId="77" xfId="0" applyNumberFormat="1" applyFont="1" applyFill="1" applyBorder="1" applyAlignment="1" applyProtection="1">
      <alignment/>
      <protection locked="0"/>
    </xf>
    <xf numFmtId="37" fontId="0" fillId="56" borderId="92" xfId="96" applyNumberFormat="1" applyFont="1" applyFill="1" applyBorder="1" applyAlignment="1" applyProtection="1">
      <alignment/>
      <protection/>
    </xf>
    <xf numFmtId="0" fontId="0" fillId="56" borderId="77" xfId="0" applyFont="1" applyFill="1" applyBorder="1" applyAlignment="1" applyProtection="1">
      <alignment horizontal="left"/>
      <protection locked="0"/>
    </xf>
    <xf numFmtId="0" fontId="0" fillId="56" borderId="41" xfId="0" applyFont="1" applyFill="1" applyBorder="1" applyAlignment="1" applyProtection="1">
      <alignment horizontal="left"/>
      <protection locked="0"/>
    </xf>
    <xf numFmtId="0" fontId="0" fillId="56" borderId="50" xfId="0" applyFont="1" applyFill="1" applyBorder="1" applyAlignment="1" applyProtection="1">
      <alignment horizontal="left"/>
      <protection locked="0"/>
    </xf>
    <xf numFmtId="0" fontId="0" fillId="56" borderId="22" xfId="0" applyFont="1" applyFill="1" applyBorder="1" applyAlignment="1" applyProtection="1">
      <alignment horizontal="left"/>
      <protection locked="0"/>
    </xf>
    <xf numFmtId="0" fontId="0" fillId="0" borderId="42" xfId="0" applyFont="1" applyBorder="1" applyAlignment="1" applyProtection="1">
      <alignment horizontal="left"/>
      <protection locked="0"/>
    </xf>
    <xf numFmtId="164" fontId="0" fillId="0" borderId="0" xfId="96" applyNumberFormat="1" applyFont="1" applyFill="1" applyBorder="1" applyAlignment="1" applyProtection="1">
      <alignment/>
      <protection/>
    </xf>
    <xf numFmtId="0" fontId="0" fillId="56" borderId="32" xfId="0" applyFont="1" applyFill="1" applyBorder="1" applyAlignment="1" applyProtection="1" quotePrefix="1">
      <alignment horizontal="right"/>
      <protection locked="0"/>
    </xf>
    <xf numFmtId="41" fontId="3" fillId="56" borderId="29" xfId="181" applyNumberFormat="1" applyFont="1" applyFill="1" applyBorder="1" applyAlignment="1" applyProtection="1">
      <alignment horizontal="left" vertical="top"/>
      <protection/>
    </xf>
    <xf numFmtId="41" fontId="3" fillId="56" borderId="29" xfId="181" applyNumberFormat="1" applyFont="1" applyFill="1" applyBorder="1" applyAlignment="1" applyProtection="1">
      <alignment horizontal="center" vertical="top"/>
      <protection/>
    </xf>
    <xf numFmtId="41" fontId="3" fillId="56" borderId="39" xfId="181" applyNumberFormat="1" applyFont="1" applyFill="1" applyBorder="1" applyAlignment="1" applyProtection="1">
      <alignment horizontal="center" vertical="top"/>
      <protection/>
    </xf>
    <xf numFmtId="0" fontId="0" fillId="0" borderId="65" xfId="0" applyFont="1" applyBorder="1" applyAlignment="1" applyProtection="1" quotePrefix="1">
      <alignment horizontal="righ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44" xfId="0" applyFont="1" applyBorder="1" applyAlignment="1" applyProtection="1">
      <alignment horizontal="left"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165" fontId="3" fillId="56" borderId="32" xfId="181" applyFont="1" applyFill="1" applyBorder="1" applyAlignment="1" applyProtection="1">
      <alignment wrapText="1"/>
      <protection locked="0"/>
    </xf>
    <xf numFmtId="165" fontId="3" fillId="56" borderId="0" xfId="181" applyFont="1" applyFill="1" applyBorder="1" applyAlignment="1" applyProtection="1" quotePrefix="1">
      <alignment wrapText="1"/>
      <protection locked="0"/>
    </xf>
    <xf numFmtId="165" fontId="3" fillId="56" borderId="44" xfId="181" applyFont="1" applyFill="1" applyBorder="1" applyAlignment="1" applyProtection="1">
      <alignment wrapText="1"/>
      <protection locked="0"/>
    </xf>
    <xf numFmtId="165" fontId="4" fillId="56" borderId="0" xfId="181" applyFill="1" applyBorder="1" applyProtection="1">
      <alignment/>
      <protection locked="0"/>
    </xf>
    <xf numFmtId="165" fontId="3" fillId="56" borderId="0" xfId="181" applyFont="1" applyFill="1" applyBorder="1" applyAlignment="1" applyProtection="1">
      <alignment wrapText="1"/>
      <protection locked="0"/>
    </xf>
    <xf numFmtId="165" fontId="23" fillId="56" borderId="32" xfId="181" applyFont="1" applyFill="1" applyBorder="1" applyAlignment="1" applyProtection="1">
      <alignment wrapText="1"/>
      <protection locked="0"/>
    </xf>
    <xf numFmtId="165" fontId="4" fillId="56" borderId="32" xfId="181" applyFont="1" applyFill="1" applyBorder="1" applyAlignment="1" applyProtection="1">
      <alignment vertical="top" wrapText="1"/>
      <protection locked="0"/>
    </xf>
    <xf numFmtId="165" fontId="4" fillId="56" borderId="32" xfId="181" applyFont="1" applyFill="1" applyBorder="1" applyAlignment="1" applyProtection="1">
      <alignment vertical="top"/>
      <protection/>
    </xf>
    <xf numFmtId="165" fontId="4" fillId="56" borderId="0" xfId="181" applyFont="1" applyFill="1" applyBorder="1" applyAlignment="1" applyProtection="1">
      <alignment horizontal="center" wrapText="1"/>
      <protection locked="0"/>
    </xf>
    <xf numFmtId="165" fontId="4" fillId="56" borderId="35" xfId="181" applyFont="1" applyFill="1" applyBorder="1" applyAlignment="1" applyProtection="1">
      <alignment horizontal="center" wrapText="1"/>
      <protection locked="0"/>
    </xf>
    <xf numFmtId="165" fontId="16" fillId="56" borderId="93" xfId="181" applyFont="1" applyFill="1" applyBorder="1" applyAlignment="1" applyProtection="1" quotePrefix="1">
      <alignment horizontal="right" vertical="top"/>
      <protection locked="0"/>
    </xf>
    <xf numFmtId="165" fontId="13" fillId="58" borderId="97" xfId="181" applyFont="1" applyFill="1" applyBorder="1" applyAlignment="1" applyProtection="1" quotePrefix="1">
      <alignment vertical="top"/>
      <protection locked="0"/>
    </xf>
    <xf numFmtId="165" fontId="14" fillId="58" borderId="37" xfId="181" applyFont="1" applyFill="1" applyBorder="1" applyAlignment="1" applyProtection="1">
      <alignment horizontal="left" vertical="top" wrapText="1"/>
      <protection locked="0"/>
    </xf>
    <xf numFmtId="165" fontId="14" fillId="58" borderId="95" xfId="181" applyFont="1" applyFill="1" applyBorder="1" applyAlignment="1" applyProtection="1">
      <alignment horizontal="left" vertical="top" wrapText="1"/>
      <protection locked="0"/>
    </xf>
    <xf numFmtId="166" fontId="6" fillId="56" borderId="24" xfId="182" applyFont="1" applyFill="1" applyBorder="1" applyAlignment="1" applyProtection="1">
      <alignment horizontal="left"/>
      <protection locked="0"/>
    </xf>
    <xf numFmtId="165" fontId="18" fillId="56" borderId="0" xfId="181" applyFont="1" applyFill="1" applyBorder="1" applyAlignment="1" applyProtection="1">
      <alignment horizontal="center"/>
      <protection/>
    </xf>
    <xf numFmtId="165" fontId="4" fillId="56" borderId="0" xfId="181" applyFill="1" applyBorder="1" applyAlignment="1" applyProtection="1">
      <alignment horizontal="left" vertical="top" wrapText="1"/>
      <protection/>
    </xf>
    <xf numFmtId="14" fontId="3" fillId="56" borderId="95" xfId="181" applyNumberFormat="1" applyFont="1" applyFill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left"/>
      <protection locked="0"/>
    </xf>
    <xf numFmtId="0" fontId="1" fillId="58" borderId="32" xfId="0" applyFont="1" applyFill="1" applyBorder="1" applyAlignment="1" applyProtection="1">
      <alignment horizontal="center" wrapText="1"/>
      <protection/>
    </xf>
    <xf numFmtId="0" fontId="1" fillId="58" borderId="60" xfId="0" applyFont="1" applyFill="1" applyBorder="1" applyAlignment="1" applyProtection="1">
      <alignment horizontal="center" wrapText="1"/>
      <protection/>
    </xf>
    <xf numFmtId="0" fontId="1" fillId="58" borderId="28" xfId="0" applyFont="1" applyFill="1" applyBorder="1" applyAlignment="1" applyProtection="1">
      <alignment horizontal="center" wrapText="1"/>
      <protection/>
    </xf>
    <xf numFmtId="0" fontId="0" fillId="56" borderId="51" xfId="0" applyFont="1" applyFill="1" applyBorder="1" applyAlignment="1" applyProtection="1">
      <alignment horizontal="left"/>
      <protection locked="0"/>
    </xf>
    <xf numFmtId="0" fontId="1" fillId="56" borderId="92" xfId="0" applyFont="1" applyFill="1" applyBorder="1" applyAlignment="1" applyProtection="1">
      <alignment horizontal="center"/>
      <protection/>
    </xf>
    <xf numFmtId="0" fontId="0" fillId="56" borderId="0" xfId="0" applyFont="1" applyFill="1" applyBorder="1" applyAlignment="1" applyProtection="1">
      <alignment horizontal="center"/>
      <protection/>
    </xf>
    <xf numFmtId="0" fontId="1" fillId="58" borderId="41" xfId="0" applyFont="1" applyFill="1" applyBorder="1" applyAlignment="1" applyProtection="1">
      <alignment horizontal="center" wrapText="1"/>
      <protection/>
    </xf>
    <xf numFmtId="41" fontId="3" fillId="56" borderId="0" xfId="181" applyNumberFormat="1" applyFont="1" applyFill="1" applyBorder="1" applyAlignment="1" applyProtection="1">
      <alignment horizontal="left" vertical="top"/>
      <protection locked="0"/>
    </xf>
    <xf numFmtId="165" fontId="3" fillId="56" borderId="0" xfId="181" applyFont="1" applyFill="1" applyBorder="1" applyAlignment="1" applyProtection="1">
      <alignment horizontal="left"/>
      <protection/>
    </xf>
    <xf numFmtId="165" fontId="4" fillId="56" borderId="0" xfId="181" applyFill="1" applyBorder="1" applyAlignment="1" applyProtection="1">
      <alignment horizontal="left" vertical="top" wrapText="1"/>
      <protection locked="0"/>
    </xf>
    <xf numFmtId="0" fontId="95" fillId="0" borderId="0" xfId="0" applyFont="1" applyAlignment="1">
      <alignment/>
    </xf>
    <xf numFmtId="0" fontId="95" fillId="0" borderId="0" xfId="0" applyFont="1" applyAlignment="1">
      <alignment horizontal="center"/>
    </xf>
    <xf numFmtId="0" fontId="0" fillId="0" borderId="0" xfId="0" applyAlignment="1">
      <alignment horizontal="left"/>
    </xf>
    <xf numFmtId="43" fontId="0" fillId="0" borderId="0" xfId="0" applyNumberFormat="1" applyAlignment="1">
      <alignment/>
    </xf>
    <xf numFmtId="43" fontId="0" fillId="0" borderId="0" xfId="10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00" fillId="0" borderId="0" xfId="0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0" fillId="0" borderId="50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51" xfId="0" applyFont="1" applyBorder="1" applyAlignment="1" applyProtection="1">
      <alignment/>
      <protection locked="0"/>
    </xf>
    <xf numFmtId="0" fontId="0" fillId="56" borderId="22" xfId="0" applyFont="1" applyFill="1" applyBorder="1" applyAlignment="1" applyProtection="1">
      <alignment/>
      <protection locked="0"/>
    </xf>
    <xf numFmtId="0" fontId="0" fillId="56" borderId="51" xfId="0" applyFont="1" applyFill="1" applyBorder="1" applyAlignment="1" applyProtection="1">
      <alignment/>
      <protection locked="0"/>
    </xf>
    <xf numFmtId="43" fontId="0" fillId="56" borderId="0" xfId="96" applyFont="1" applyFill="1" applyAlignment="1" applyProtection="1">
      <alignment/>
      <protection/>
    </xf>
    <xf numFmtId="37" fontId="0" fillId="56" borderId="0" xfId="0" applyNumberFormat="1" applyFill="1" applyAlignment="1" applyProtection="1">
      <alignment/>
      <protection/>
    </xf>
    <xf numFmtId="0" fontId="100" fillId="59" borderId="0" xfId="0" applyFont="1" applyFill="1" applyBorder="1" applyAlignment="1">
      <alignment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43" fontId="100" fillId="59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00" fillId="0" borderId="0" xfId="0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43" fontId="100" fillId="0" borderId="0" xfId="0" applyNumberFormat="1" applyFont="1" applyFill="1" applyBorder="1" applyAlignment="1">
      <alignment/>
    </xf>
    <xf numFmtId="164" fontId="0" fillId="0" borderId="0" xfId="96" applyNumberFormat="1" applyFont="1" applyAlignment="1">
      <alignment/>
    </xf>
    <xf numFmtId="43" fontId="1" fillId="0" borderId="0" xfId="96" applyNumberFormat="1" applyFont="1" applyAlignment="1">
      <alignment/>
    </xf>
    <xf numFmtId="43" fontId="100" fillId="59" borderId="0" xfId="96" applyNumberFormat="1" applyFont="1" applyFill="1" applyBorder="1" applyAlignment="1">
      <alignment/>
    </xf>
    <xf numFmtId="43" fontId="0" fillId="0" borderId="0" xfId="96" applyNumberFormat="1" applyFont="1" applyAlignment="1">
      <alignment/>
    </xf>
    <xf numFmtId="43" fontId="0" fillId="0" borderId="0" xfId="96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43" fontId="1" fillId="0" borderId="0" xfId="96" applyFont="1" applyBorder="1" applyAlignment="1">
      <alignment/>
    </xf>
    <xf numFmtId="43" fontId="1" fillId="0" borderId="98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43" fontId="0" fillId="0" borderId="0" xfId="96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 quotePrefix="1">
      <alignment horizontal="right"/>
      <protection locked="0"/>
    </xf>
    <xf numFmtId="0" fontId="1" fillId="20" borderId="0" xfId="0" applyFont="1" applyFill="1" applyAlignment="1">
      <alignment/>
    </xf>
    <xf numFmtId="43" fontId="0" fillId="0" borderId="0" xfId="96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43" fontId="0" fillId="0" borderId="0" xfId="96" applyFont="1" applyBorder="1" applyAlignment="1">
      <alignment/>
    </xf>
    <xf numFmtId="43" fontId="1" fillId="0" borderId="0" xfId="0" applyNumberFormat="1" applyFont="1" applyBorder="1" applyAlignment="1">
      <alignment/>
    </xf>
    <xf numFmtId="164" fontId="0" fillId="0" borderId="0" xfId="96" applyNumberFormat="1" applyFont="1" applyBorder="1" applyAlignment="1">
      <alignment/>
    </xf>
    <xf numFmtId="164" fontId="0" fillId="0" borderId="0" xfId="96" applyNumberFormat="1" applyFont="1" applyBorder="1" applyAlignment="1">
      <alignment/>
    </xf>
    <xf numFmtId="164" fontId="1" fillId="0" borderId="98" xfId="96" applyNumberFormat="1" applyFont="1" applyBorder="1" applyAlignment="1">
      <alignment/>
    </xf>
    <xf numFmtId="164" fontId="1" fillId="0" borderId="99" xfId="96" applyNumberFormat="1" applyFont="1" applyBorder="1" applyAlignment="1">
      <alignment/>
    </xf>
    <xf numFmtId="0" fontId="98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56" borderId="22" xfId="0" applyFont="1" applyFill="1" applyBorder="1" applyAlignment="1" applyProtection="1">
      <alignment horizontal="left"/>
      <protection locked="0"/>
    </xf>
    <xf numFmtId="0" fontId="0" fillId="56" borderId="51" xfId="0" applyFont="1" applyFill="1" applyBorder="1" applyAlignment="1" applyProtection="1">
      <alignment horizontal="left"/>
      <protection locked="0"/>
    </xf>
    <xf numFmtId="40" fontId="98" fillId="0" borderId="0" xfId="0" applyNumberFormat="1" applyFont="1" applyBorder="1" applyAlignment="1">
      <alignment/>
    </xf>
    <xf numFmtId="0" fontId="97" fillId="0" borderId="0" xfId="0" applyFont="1" applyBorder="1" applyAlignment="1">
      <alignment/>
    </xf>
    <xf numFmtId="0" fontId="101" fillId="0" borderId="0" xfId="0" applyFont="1" applyAlignment="1">
      <alignment/>
    </xf>
    <xf numFmtId="164" fontId="1" fillId="0" borderId="0" xfId="96" applyNumberFormat="1" applyFont="1" applyAlignment="1">
      <alignment/>
    </xf>
    <xf numFmtId="43" fontId="0" fillId="0" borderId="0" xfId="100" applyFont="1" applyBorder="1" applyAlignment="1">
      <alignment/>
    </xf>
    <xf numFmtId="0" fontId="0" fillId="0" borderId="0" xfId="0" applyFont="1" applyFill="1" applyBorder="1" applyAlignment="1">
      <alignment/>
    </xf>
    <xf numFmtId="0" fontId="67" fillId="0" borderId="0" xfId="0" applyFont="1" applyAlignment="1">
      <alignment/>
    </xf>
    <xf numFmtId="0" fontId="10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41" fontId="51" fillId="56" borderId="29" xfId="181" applyNumberFormat="1" applyFont="1" applyFill="1" applyBorder="1" applyAlignment="1" applyProtection="1">
      <alignment vertical="top"/>
      <protection/>
    </xf>
    <xf numFmtId="41" fontId="3" fillId="56" borderId="0" xfId="181" applyNumberFormat="1" applyFont="1" applyFill="1" applyBorder="1" applyAlignment="1" applyProtection="1">
      <alignment vertical="top"/>
      <protection/>
    </xf>
    <xf numFmtId="0" fontId="0" fillId="0" borderId="0" xfId="0" applyAlignment="1">
      <alignment wrapText="1"/>
    </xf>
    <xf numFmtId="0" fontId="1" fillId="0" borderId="29" xfId="0" applyFont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165" fontId="16" fillId="56" borderId="30" xfId="181" applyFont="1" applyFill="1" applyBorder="1" applyAlignment="1" applyProtection="1">
      <alignment vertical="top"/>
      <protection/>
    </xf>
    <xf numFmtId="165" fontId="4" fillId="56" borderId="31" xfId="181" applyFill="1" applyBorder="1" applyAlignment="1" applyProtection="1">
      <alignment vertical="top"/>
      <protection/>
    </xf>
    <xf numFmtId="165" fontId="16" fillId="56" borderId="31" xfId="181" applyFont="1" applyFill="1" applyBorder="1" applyAlignment="1" applyProtection="1">
      <alignment vertical="top"/>
      <protection/>
    </xf>
    <xf numFmtId="41" fontId="51" fillId="56" borderId="31" xfId="181" applyNumberFormat="1" applyFont="1" applyFill="1" applyBorder="1" applyAlignment="1" applyProtection="1">
      <alignment vertical="top"/>
      <protection/>
    </xf>
    <xf numFmtId="41" fontId="51" fillId="56" borderId="36" xfId="181" applyNumberFormat="1" applyFont="1" applyFill="1" applyBorder="1" applyAlignment="1" applyProtection="1">
      <alignment vertical="top"/>
      <protection/>
    </xf>
    <xf numFmtId="0" fontId="1" fillId="0" borderId="38" xfId="0" applyFont="1" applyBorder="1" applyAlignment="1">
      <alignment horizontal="center"/>
    </xf>
    <xf numFmtId="0" fontId="0" fillId="0" borderId="29" xfId="0" applyBorder="1" applyAlignment="1">
      <alignment/>
    </xf>
    <xf numFmtId="0" fontId="1" fillId="0" borderId="39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95" fillId="20" borderId="0" xfId="0" applyFont="1" applyFill="1" applyBorder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20" borderId="0" xfId="0" applyFont="1" applyFill="1" applyAlignment="1">
      <alignment horizontal="center"/>
    </xf>
    <xf numFmtId="0" fontId="103" fillId="0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164" fontId="0" fillId="0" borderId="0" xfId="96" applyNumberFormat="1" applyFont="1" applyAlignment="1">
      <alignment/>
    </xf>
    <xf numFmtId="0" fontId="1" fillId="60" borderId="0" xfId="0" applyFont="1" applyFill="1" applyAlignment="1">
      <alignment/>
    </xf>
    <xf numFmtId="0" fontId="0" fillId="0" borderId="0" xfId="0" applyAlignment="1">
      <alignment horizontal="left" indent="1"/>
    </xf>
    <xf numFmtId="0" fontId="0" fillId="56" borderId="49" xfId="0" applyFont="1" applyFill="1" applyBorder="1" applyAlignment="1" applyProtection="1">
      <alignment horizontal="left"/>
      <protection locked="0"/>
    </xf>
    <xf numFmtId="0" fontId="0" fillId="0" borderId="49" xfId="0" applyFont="1" applyBorder="1" applyAlignment="1" applyProtection="1">
      <alignment/>
      <protection locked="0"/>
    </xf>
    <xf numFmtId="0" fontId="0" fillId="56" borderId="40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left"/>
    </xf>
    <xf numFmtId="0" fontId="52" fillId="0" borderId="0" xfId="0" applyFont="1" applyAlignment="1">
      <alignment/>
    </xf>
    <xf numFmtId="37" fontId="1" fillId="56" borderId="84" xfId="96" applyNumberFormat="1" applyFont="1" applyFill="1" applyBorder="1" applyAlignment="1" applyProtection="1">
      <alignment/>
      <protection/>
    </xf>
    <xf numFmtId="39" fontId="1" fillId="56" borderId="85" xfId="96" applyNumberFormat="1" applyFont="1" applyFill="1" applyBorder="1" applyAlignment="1" applyProtection="1">
      <alignment/>
      <protection/>
    </xf>
    <xf numFmtId="0" fontId="0" fillId="56" borderId="22" xfId="0" applyFont="1" applyFill="1" applyBorder="1" applyAlignment="1" applyProtection="1">
      <alignment horizontal="left"/>
      <protection locked="0"/>
    </xf>
    <xf numFmtId="0" fontId="0" fillId="56" borderId="51" xfId="0" applyFont="1" applyFill="1" applyBorder="1" applyAlignment="1" applyProtection="1">
      <alignment horizontal="left"/>
      <protection locked="0"/>
    </xf>
    <xf numFmtId="164" fontId="0" fillId="0" borderId="41" xfId="0" applyNumberFormat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/>
      <protection/>
    </xf>
    <xf numFmtId="0" fontId="0" fillId="0" borderId="22" xfId="0" applyFont="1" applyFill="1" applyBorder="1" applyAlignment="1" applyProtection="1">
      <alignment horizontal="left"/>
      <protection locked="0"/>
    </xf>
    <xf numFmtId="0" fontId="0" fillId="0" borderId="51" xfId="0" applyFont="1" applyFill="1" applyBorder="1" applyAlignment="1" applyProtection="1">
      <alignment horizontal="left"/>
      <protection locked="0"/>
    </xf>
    <xf numFmtId="0" fontId="0" fillId="0" borderId="22" xfId="0" applyFont="1" applyFill="1" applyBorder="1" applyAlignment="1" applyProtection="1">
      <alignment/>
      <protection locked="0"/>
    </xf>
    <xf numFmtId="0" fontId="0" fillId="0" borderId="51" xfId="0" applyFont="1" applyFill="1" applyBorder="1" applyAlignment="1" applyProtection="1">
      <alignment/>
      <protection locked="0"/>
    </xf>
    <xf numFmtId="0" fontId="0" fillId="0" borderId="40" xfId="0" applyFont="1" applyFill="1" applyBorder="1" applyAlignment="1" applyProtection="1">
      <alignment/>
      <protection locked="0"/>
    </xf>
    <xf numFmtId="0" fontId="0" fillId="0" borderId="49" xfId="0" applyFont="1" applyFill="1" applyBorder="1" applyAlignment="1" applyProtection="1">
      <alignment/>
      <protection locked="0"/>
    </xf>
    <xf numFmtId="0" fontId="0" fillId="56" borderId="22" xfId="0" applyFont="1" applyFill="1" applyBorder="1" applyAlignment="1" applyProtection="1">
      <alignment horizontal="left"/>
      <protection locked="0"/>
    </xf>
    <xf numFmtId="0" fontId="0" fillId="56" borderId="51" xfId="0" applyFont="1" applyFill="1" applyBorder="1" applyAlignment="1" applyProtection="1">
      <alignment horizontal="left"/>
      <protection locked="0"/>
    </xf>
    <xf numFmtId="0" fontId="0" fillId="56" borderId="28" xfId="0" applyFont="1" applyFill="1" applyBorder="1" applyAlignment="1" applyProtection="1">
      <alignment horizontal="left"/>
      <protection locked="0"/>
    </xf>
    <xf numFmtId="0" fontId="0" fillId="56" borderId="28" xfId="0" applyFill="1" applyBorder="1" applyAlignment="1" applyProtection="1">
      <alignment/>
      <protection/>
    </xf>
    <xf numFmtId="0" fontId="0" fillId="56" borderId="42" xfId="0" applyFill="1" applyBorder="1" applyAlignment="1" applyProtection="1">
      <alignment/>
      <protection/>
    </xf>
    <xf numFmtId="43" fontId="0" fillId="0" borderId="0" xfId="96" applyFont="1" applyFill="1" applyAlignment="1" applyProtection="1">
      <alignment/>
      <protection/>
    </xf>
    <xf numFmtId="164" fontId="0" fillId="0" borderId="41" xfId="0" applyNumberFormat="1" applyFont="1" applyBorder="1" applyAlignment="1">
      <alignment/>
    </xf>
    <xf numFmtId="0" fontId="0" fillId="0" borderId="50" xfId="0" applyFont="1" applyFill="1" applyBorder="1" applyAlignment="1" applyProtection="1">
      <alignment/>
      <protection locked="0"/>
    </xf>
    <xf numFmtId="39" fontId="0" fillId="0" borderId="57" xfId="96" applyNumberFormat="1" applyFont="1" applyFill="1" applyBorder="1" applyAlignment="1" applyProtection="1">
      <alignment/>
      <protection/>
    </xf>
    <xf numFmtId="0" fontId="0" fillId="56" borderId="22" xfId="0" applyFill="1" applyBorder="1" applyAlignment="1" applyProtection="1">
      <alignment/>
      <protection/>
    </xf>
    <xf numFmtId="0" fontId="0" fillId="56" borderId="51" xfId="0" applyFill="1" applyBorder="1" applyAlignment="1" applyProtection="1">
      <alignment/>
      <protection/>
    </xf>
    <xf numFmtId="164" fontId="0" fillId="0" borderId="0" xfId="96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37" fontId="0" fillId="56" borderId="41" xfId="99" applyNumberFormat="1" applyFont="1" applyFill="1" applyBorder="1" applyAlignment="1" applyProtection="1">
      <alignment/>
      <protection locked="0"/>
    </xf>
    <xf numFmtId="39" fontId="0" fillId="56" borderId="56" xfId="99" applyNumberFormat="1" applyFont="1" applyFill="1" applyBorder="1" applyAlignment="1" applyProtection="1">
      <alignment/>
      <protection/>
    </xf>
    <xf numFmtId="164" fontId="0" fillId="0" borderId="41" xfId="100" applyNumberFormat="1" applyFont="1" applyBorder="1" applyAlignment="1">
      <alignment/>
    </xf>
    <xf numFmtId="39" fontId="0" fillId="56" borderId="41" xfId="96" applyNumberFormat="1" applyFont="1" applyFill="1" applyBorder="1" applyAlignment="1" applyProtection="1">
      <alignment/>
      <protection/>
    </xf>
    <xf numFmtId="37" fontId="0" fillId="0" borderId="77" xfId="96" applyNumberFormat="1" applyFont="1" applyFill="1" applyBorder="1" applyAlignment="1" applyProtection="1">
      <alignment/>
      <protection locked="0"/>
    </xf>
    <xf numFmtId="0" fontId="95" fillId="0" borderId="0" xfId="0" applyFont="1" applyBorder="1" applyAlignment="1">
      <alignment/>
    </xf>
    <xf numFmtId="164" fontId="101" fillId="0" borderId="0" xfId="100" applyNumberFormat="1" applyFont="1" applyBorder="1" applyAlignment="1">
      <alignment/>
    </xf>
    <xf numFmtId="175" fontId="0" fillId="0" borderId="0" xfId="189" applyNumberFormat="1" applyFont="1" applyBorder="1" applyAlignment="1">
      <alignment/>
    </xf>
    <xf numFmtId="164" fontId="101" fillId="0" borderId="0" xfId="0" applyNumberFormat="1" applyFont="1" applyBorder="1" applyAlignment="1">
      <alignment/>
    </xf>
    <xf numFmtId="9" fontId="0" fillId="0" borderId="0" xfId="189" applyFont="1" applyBorder="1" applyAlignment="1">
      <alignment/>
    </xf>
    <xf numFmtId="0" fontId="101" fillId="0" borderId="0" xfId="0" applyFont="1" applyBorder="1" applyAlignment="1">
      <alignment/>
    </xf>
    <xf numFmtId="0" fontId="0" fillId="56" borderId="22" xfId="0" applyFont="1" applyFill="1" applyBorder="1" applyAlignment="1" applyProtection="1">
      <alignment horizontal="left"/>
      <protection locked="0"/>
    </xf>
    <xf numFmtId="0" fontId="0" fillId="56" borderId="51" xfId="0" applyFont="1" applyFill="1" applyBorder="1" applyAlignment="1" applyProtection="1">
      <alignment horizontal="left"/>
      <protection locked="0"/>
    </xf>
    <xf numFmtId="164" fontId="1" fillId="0" borderId="0" xfId="96" applyNumberFormat="1" applyFont="1" applyBorder="1" applyAlignment="1">
      <alignment/>
    </xf>
    <xf numFmtId="164" fontId="0" fillId="0" borderId="0" xfId="0" applyNumberFormat="1" applyFill="1" applyBorder="1" applyAlignment="1">
      <alignment/>
    </xf>
    <xf numFmtId="164" fontId="1" fillId="0" borderId="98" xfId="0" applyNumberFormat="1" applyFont="1" applyFill="1" applyBorder="1" applyAlignment="1">
      <alignment/>
    </xf>
    <xf numFmtId="10" fontId="1" fillId="0" borderId="0" xfId="189" applyNumberFormat="1" applyFont="1" applyBorder="1" applyAlignment="1">
      <alignment horizontal="center"/>
    </xf>
    <xf numFmtId="164" fontId="7" fillId="0" borderId="0" xfId="96" applyNumberFormat="1" applyFont="1" applyAlignment="1">
      <alignment/>
    </xf>
    <xf numFmtId="40" fontId="1" fillId="0" borderId="98" xfId="0" applyNumberFormat="1" applyFont="1" applyBorder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00" fillId="59" borderId="0" xfId="0" applyFont="1" applyFill="1" applyBorder="1" applyAlignment="1">
      <alignment horizontal="center"/>
    </xf>
    <xf numFmtId="164" fontId="0" fillId="0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left" indent="1"/>
    </xf>
    <xf numFmtId="0" fontId="95" fillId="0" borderId="100" xfId="0" applyFont="1" applyFill="1" applyBorder="1" applyAlignment="1">
      <alignment/>
    </xf>
    <xf numFmtId="0" fontId="0" fillId="0" borderId="0" xfId="0" applyFill="1" applyBorder="1" applyAlignment="1">
      <alignment horizontal="left" indent="1"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left" indent="1"/>
    </xf>
    <xf numFmtId="164" fontId="1" fillId="0" borderId="22" xfId="0" applyNumberFormat="1" applyFont="1" applyBorder="1" applyAlignment="1">
      <alignment horizontal="left" indent="1"/>
    </xf>
    <xf numFmtId="164" fontId="103" fillId="0" borderId="0" xfId="0" applyNumberFormat="1" applyFont="1" applyBorder="1" applyAlignment="1">
      <alignment horizontal="left" indent="1"/>
    </xf>
    <xf numFmtId="164" fontId="1" fillId="0" borderId="98" xfId="0" applyNumberFormat="1" applyFont="1" applyBorder="1" applyAlignment="1">
      <alignment horizontal="left" indent="1"/>
    </xf>
    <xf numFmtId="164" fontId="1" fillId="0" borderId="22" xfId="0" applyNumberFormat="1" applyFont="1" applyFill="1" applyBorder="1" applyAlignment="1">
      <alignment/>
    </xf>
    <xf numFmtId="164" fontId="103" fillId="0" borderId="0" xfId="0" applyNumberFormat="1" applyFont="1" applyBorder="1" applyAlignment="1">
      <alignment/>
    </xf>
    <xf numFmtId="0" fontId="0" fillId="0" borderId="41" xfId="0" applyBorder="1" applyAlignment="1">
      <alignment/>
    </xf>
    <xf numFmtId="164" fontId="0" fillId="0" borderId="41" xfId="100" applyNumberFormat="1" applyFont="1" applyFill="1" applyBorder="1" applyAlignment="1">
      <alignment/>
    </xf>
    <xf numFmtId="164" fontId="104" fillId="0" borderId="41" xfId="0" applyNumberFormat="1" applyFont="1" applyFill="1" applyBorder="1" applyAlignment="1">
      <alignment/>
    </xf>
    <xf numFmtId="0" fontId="81" fillId="0" borderId="50" xfId="0" applyFont="1" applyFill="1" applyBorder="1" applyAlignment="1">
      <alignment/>
    </xf>
    <xf numFmtId="0" fontId="0" fillId="0" borderId="28" xfId="0" applyFont="1" applyBorder="1" applyAlignment="1" applyProtection="1">
      <alignment/>
      <protection locked="0"/>
    </xf>
    <xf numFmtId="0" fontId="81" fillId="0" borderId="46" xfId="0" applyFont="1" applyFill="1" applyBorder="1" applyAlignment="1">
      <alignment/>
    </xf>
    <xf numFmtId="0" fontId="0" fillId="0" borderId="42" xfId="0" applyFont="1" applyBorder="1" applyAlignment="1" applyProtection="1">
      <alignment/>
      <protection locked="0"/>
    </xf>
    <xf numFmtId="164" fontId="81" fillId="0" borderId="41" xfId="100" applyNumberFormat="1" applyFont="1" applyFill="1" applyBorder="1" applyAlignment="1">
      <alignment/>
    </xf>
    <xf numFmtId="164" fontId="81" fillId="0" borderId="41" xfId="0" applyNumberFormat="1" applyFont="1" applyFill="1" applyBorder="1" applyAlignment="1">
      <alignment/>
    </xf>
    <xf numFmtId="164" fontId="81" fillId="0" borderId="41" xfId="0" applyNumberFormat="1" applyFont="1" applyFill="1" applyBorder="1" applyAlignment="1">
      <alignment horizontal="right"/>
    </xf>
    <xf numFmtId="0" fontId="104" fillId="0" borderId="50" xfId="0" applyFont="1" applyFill="1" applyBorder="1" applyAlignment="1">
      <alignment horizontal="left"/>
    </xf>
    <xf numFmtId="164" fontId="104" fillId="0" borderId="41" xfId="96" applyNumberFormat="1" applyFont="1" applyFill="1" applyBorder="1" applyAlignment="1">
      <alignment/>
    </xf>
    <xf numFmtId="0" fontId="1" fillId="0" borderId="22" xfId="0" applyFont="1" applyBorder="1" applyAlignment="1" applyProtection="1">
      <alignment/>
      <protection locked="0"/>
    </xf>
    <xf numFmtId="0" fontId="1" fillId="0" borderId="51" xfId="0" applyFont="1" applyBorder="1" applyAlignment="1" applyProtection="1">
      <alignment/>
      <protection locked="0"/>
    </xf>
    <xf numFmtId="39" fontId="1" fillId="0" borderId="57" xfId="96" applyNumberFormat="1" applyFont="1" applyFill="1" applyBorder="1" applyAlignment="1" applyProtection="1">
      <alignment/>
      <protection/>
    </xf>
    <xf numFmtId="164" fontId="100" fillId="0" borderId="41" xfId="100" applyNumberFormat="1" applyFont="1" applyFill="1" applyBorder="1" applyAlignment="1">
      <alignment/>
    </xf>
    <xf numFmtId="0" fontId="100" fillId="0" borderId="50" xfId="0" applyFont="1" applyFill="1" applyBorder="1" applyAlignment="1">
      <alignment/>
    </xf>
    <xf numFmtId="164" fontId="0" fillId="0" borderId="41" xfId="100" applyNumberFormat="1" applyFont="1" applyBorder="1" applyAlignment="1">
      <alignment/>
    </xf>
    <xf numFmtId="0" fontId="0" fillId="56" borderId="28" xfId="0" applyFont="1" applyFill="1" applyBorder="1" applyAlignment="1" applyProtection="1">
      <alignment/>
      <protection locked="0"/>
    </xf>
    <xf numFmtId="0" fontId="0" fillId="56" borderId="42" xfId="0" applyFont="1" applyFill="1" applyBorder="1" applyAlignment="1" applyProtection="1">
      <alignment/>
      <protection locked="0"/>
    </xf>
    <xf numFmtId="0" fontId="0" fillId="0" borderId="50" xfId="0" applyFont="1" applyFill="1" applyBorder="1" applyAlignment="1" applyProtection="1">
      <alignment horizontal="left"/>
      <protection/>
    </xf>
    <xf numFmtId="0" fontId="0" fillId="0" borderId="32" xfId="0" applyFont="1" applyFill="1" applyBorder="1" applyAlignment="1" applyProtection="1">
      <alignment horizontal="right"/>
      <protection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164" fontId="7" fillId="0" borderId="0" xfId="96" applyNumberFormat="1" applyFont="1" applyFill="1" applyAlignment="1">
      <alignment/>
    </xf>
    <xf numFmtId="164" fontId="1" fillId="0" borderId="98" xfId="96" applyNumberFormat="1" applyFont="1" applyFill="1" applyBorder="1" applyAlignment="1">
      <alignment/>
    </xf>
    <xf numFmtId="164" fontId="1" fillId="0" borderId="99" xfId="96" applyNumberFormat="1" applyFont="1" applyFill="1" applyBorder="1" applyAlignment="1">
      <alignment/>
    </xf>
    <xf numFmtId="164" fontId="0" fillId="0" borderId="0" xfId="96" applyNumberFormat="1" applyFont="1" applyFill="1" applyAlignment="1">
      <alignment/>
    </xf>
    <xf numFmtId="0" fontId="81" fillId="0" borderId="0" xfId="0" applyFont="1" applyBorder="1" applyAlignment="1">
      <alignment horizontal="left"/>
    </xf>
    <xf numFmtId="0" fontId="81" fillId="0" borderId="0" xfId="0" applyFont="1" applyFill="1" applyBorder="1" applyAlignment="1">
      <alignment horizontal="left"/>
    </xf>
    <xf numFmtId="164" fontId="1" fillId="0" borderId="0" xfId="0" applyNumberFormat="1" applyFont="1" applyBorder="1" applyAlignment="1">
      <alignment/>
    </xf>
    <xf numFmtId="0" fontId="0" fillId="0" borderId="29" xfId="0" applyBorder="1" applyAlignment="1">
      <alignment horizontal="left"/>
    </xf>
    <xf numFmtId="0" fontId="81" fillId="0" borderId="29" xfId="0" applyFont="1" applyBorder="1" applyAlignment="1">
      <alignment horizontal="left"/>
    </xf>
    <xf numFmtId="0" fontId="81" fillId="0" borderId="29" xfId="0" applyFont="1" applyFill="1" applyBorder="1" applyAlignment="1">
      <alignment horizontal="left"/>
    </xf>
    <xf numFmtId="164" fontId="0" fillId="0" borderId="29" xfId="0" applyNumberFormat="1" applyFill="1" applyBorder="1" applyAlignment="1">
      <alignment/>
    </xf>
    <xf numFmtId="0" fontId="104" fillId="0" borderId="29" xfId="0" applyFont="1" applyFill="1" applyBorder="1" applyAlignment="1">
      <alignment horizontal="left"/>
    </xf>
    <xf numFmtId="164" fontId="1" fillId="0" borderId="29" xfId="96" applyNumberFormat="1" applyFont="1" applyFill="1" applyBorder="1" applyAlignment="1">
      <alignment/>
    </xf>
    <xf numFmtId="175" fontId="1" fillId="0" borderId="0" xfId="189" applyNumberFormat="1" applyFont="1" applyAlignment="1">
      <alignment horizontal="center"/>
    </xf>
    <xf numFmtId="9" fontId="1" fillId="0" borderId="98" xfId="189" applyFont="1" applyBorder="1" applyAlignment="1">
      <alignment horizontal="center"/>
    </xf>
    <xf numFmtId="4" fontId="0" fillId="0" borderId="0" xfId="0" applyNumberFormat="1" applyFont="1" applyAlignment="1">
      <alignment/>
    </xf>
    <xf numFmtId="164" fontId="0" fillId="0" borderId="41" xfId="0" applyNumberFormat="1" applyFill="1" applyBorder="1" applyAlignment="1">
      <alignment/>
    </xf>
    <xf numFmtId="39" fontId="0" fillId="56" borderId="0" xfId="0" applyNumberFormat="1" applyFill="1" applyAlignment="1" applyProtection="1">
      <alignment/>
      <protection/>
    </xf>
    <xf numFmtId="0" fontId="1" fillId="61" borderId="0" xfId="0" applyFont="1" applyFill="1" applyAlignment="1">
      <alignment horizontal="left"/>
    </xf>
    <xf numFmtId="9" fontId="0" fillId="0" borderId="0" xfId="189" applyFont="1" applyAlignment="1">
      <alignment/>
    </xf>
    <xf numFmtId="164" fontId="1" fillId="0" borderId="29" xfId="0" applyNumberFormat="1" applyFont="1" applyBorder="1" applyAlignment="1">
      <alignment/>
    </xf>
    <xf numFmtId="0" fontId="105" fillId="62" borderId="37" xfId="0" applyFont="1" applyFill="1" applyBorder="1" applyAlignment="1">
      <alignment horizontal="left"/>
    </xf>
    <xf numFmtId="164" fontId="1" fillId="62" borderId="37" xfId="0" applyNumberFormat="1" applyFont="1" applyFill="1" applyBorder="1" applyAlignment="1">
      <alignment/>
    </xf>
    <xf numFmtId="0" fontId="104" fillId="62" borderId="37" xfId="0" applyFont="1" applyFill="1" applyBorder="1" applyAlignment="1">
      <alignment horizontal="left"/>
    </xf>
    <xf numFmtId="0" fontId="0" fillId="62" borderId="37" xfId="0" applyFill="1" applyBorder="1" applyAlignment="1">
      <alignment horizontal="left"/>
    </xf>
    <xf numFmtId="0" fontId="0" fillId="63" borderId="96" xfId="0" applyFill="1" applyBorder="1" applyAlignment="1">
      <alignment horizontal="left"/>
    </xf>
    <xf numFmtId="164" fontId="0" fillId="63" borderId="96" xfId="0" applyNumberFormat="1" applyFill="1" applyBorder="1" applyAlignment="1">
      <alignment/>
    </xf>
    <xf numFmtId="164" fontId="0" fillId="0" borderId="29" xfId="0" applyNumberFormat="1" applyBorder="1" applyAlignment="1">
      <alignment/>
    </xf>
    <xf numFmtId="0" fontId="12" fillId="0" borderId="0" xfId="0" applyFont="1" applyAlignment="1">
      <alignment/>
    </xf>
    <xf numFmtId="164" fontId="1" fillId="0" borderId="0" xfId="0" applyNumberFormat="1" applyFont="1" applyFill="1" applyAlignment="1">
      <alignment/>
    </xf>
    <xf numFmtId="37" fontId="1" fillId="60" borderId="84" xfId="96" applyNumberFormat="1" applyFont="1" applyFill="1" applyBorder="1" applyAlignment="1" applyProtection="1">
      <alignment/>
      <protection/>
    </xf>
    <xf numFmtId="37" fontId="0" fillId="20" borderId="84" xfId="96" applyNumberFormat="1" applyFont="1" applyFill="1" applyBorder="1" applyAlignment="1" applyProtection="1">
      <alignment/>
      <protection/>
    </xf>
    <xf numFmtId="37" fontId="0" fillId="18" borderId="84" xfId="96" applyNumberFormat="1" applyFont="1" applyFill="1" applyBorder="1" applyAlignment="1" applyProtection="1">
      <alignment/>
      <protection/>
    </xf>
    <xf numFmtId="0" fontId="1" fillId="14" borderId="0" xfId="0" applyFont="1" applyFill="1" applyAlignment="1">
      <alignment/>
    </xf>
    <xf numFmtId="43" fontId="1" fillId="14" borderId="0" xfId="96" applyNumberFormat="1" applyFont="1" applyFill="1" applyAlignment="1">
      <alignment/>
    </xf>
    <xf numFmtId="164" fontId="0" fillId="64" borderId="0" xfId="0" applyNumberFormat="1" applyFill="1" applyAlignment="1">
      <alignment/>
    </xf>
    <xf numFmtId="164" fontId="0" fillId="64" borderId="0" xfId="0" applyNumberFormat="1" applyFont="1" applyFill="1" applyAlignment="1">
      <alignment/>
    </xf>
    <xf numFmtId="164" fontId="0" fillId="0" borderId="0" xfId="96" applyNumberFormat="1" applyFont="1" applyBorder="1" applyAlignment="1">
      <alignment/>
    </xf>
    <xf numFmtId="0" fontId="1" fillId="2" borderId="28" xfId="0" applyFont="1" applyFill="1" applyBorder="1" applyAlignment="1">
      <alignment/>
    </xf>
    <xf numFmtId="0" fontId="1" fillId="2" borderId="28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164" fontId="0" fillId="0" borderId="0" xfId="99" applyNumberFormat="1" applyFont="1" applyAlignment="1">
      <alignment/>
    </xf>
    <xf numFmtId="195" fontId="1" fillId="2" borderId="31" xfId="103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/>
    </xf>
    <xf numFmtId="164" fontId="0" fillId="0" borderId="0" xfId="96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1" fillId="0" borderId="0" xfId="0" applyFont="1" applyFill="1" applyAlignment="1">
      <alignment horizontal="center"/>
    </xf>
    <xf numFmtId="43" fontId="0" fillId="65" borderId="0" xfId="96" applyNumberFormat="1" applyFont="1" applyFill="1" applyAlignment="1">
      <alignment/>
    </xf>
    <xf numFmtId="0" fontId="0" fillId="56" borderId="51" xfId="0" applyFont="1" applyFill="1" applyBorder="1" applyAlignment="1" applyProtection="1">
      <alignment horizontal="left"/>
      <protection locked="0"/>
    </xf>
    <xf numFmtId="0" fontId="0" fillId="0" borderId="0" xfId="166">
      <alignment/>
      <protection/>
    </xf>
    <xf numFmtId="164" fontId="0" fillId="0" borderId="26" xfId="100" applyNumberFormat="1" applyFont="1" applyBorder="1" applyAlignment="1">
      <alignment/>
    </xf>
    <xf numFmtId="0" fontId="0" fillId="0" borderId="26" xfId="0" applyBorder="1" applyAlignment="1">
      <alignment/>
    </xf>
    <xf numFmtId="164" fontId="0" fillId="0" borderId="0" xfId="100" applyNumberFormat="1" applyFont="1" applyAlignment="1">
      <alignment/>
    </xf>
    <xf numFmtId="37" fontId="1" fillId="62" borderId="84" xfId="96" applyNumberFormat="1" applyFont="1" applyFill="1" applyBorder="1" applyAlignment="1" applyProtection="1">
      <alignment/>
      <protection/>
    </xf>
    <xf numFmtId="39" fontId="1" fillId="62" borderId="85" xfId="96" applyNumberFormat="1" applyFont="1" applyFill="1" applyBorder="1" applyAlignment="1" applyProtection="1">
      <alignment/>
      <protection/>
    </xf>
    <xf numFmtId="39" fontId="1" fillId="62" borderId="84" xfId="96" applyNumberFormat="1" applyFont="1" applyFill="1" applyBorder="1" applyAlignment="1" applyProtection="1">
      <alignment/>
      <protection/>
    </xf>
    <xf numFmtId="37" fontId="1" fillId="62" borderId="92" xfId="96" applyNumberFormat="1" applyFont="1" applyFill="1" applyBorder="1" applyAlignment="1" applyProtection="1">
      <alignment/>
      <protection/>
    </xf>
    <xf numFmtId="3" fontId="0" fillId="0" borderId="0" xfId="0" applyNumberFormat="1" applyBorder="1" applyAlignment="1">
      <alignment/>
    </xf>
    <xf numFmtId="164" fontId="0" fillId="0" borderId="0" xfId="100" applyNumberFormat="1" applyFont="1" applyBorder="1" applyAlignment="1">
      <alignment horizontal="center"/>
    </xf>
    <xf numFmtId="164" fontId="0" fillId="0" borderId="0" xfId="10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3" fontId="0" fillId="62" borderId="28" xfId="0" applyNumberFormat="1" applyFill="1" applyBorder="1" applyAlignment="1">
      <alignment/>
    </xf>
    <xf numFmtId="164" fontId="0" fillId="0" borderId="28" xfId="100" applyNumberFormat="1" applyFont="1" applyBorder="1" applyAlignment="1">
      <alignment horizontal="center"/>
    </xf>
    <xf numFmtId="3" fontId="95" fillId="0" borderId="98" xfId="0" applyNumberFormat="1" applyFont="1" applyBorder="1" applyAlignment="1">
      <alignment horizontal="right"/>
    </xf>
    <xf numFmtId="164" fontId="0" fillId="0" borderId="98" xfId="0" applyNumberFormat="1" applyBorder="1" applyAlignment="1">
      <alignment horizontal="center"/>
    </xf>
    <xf numFmtId="0" fontId="106" fillId="66" borderId="0" xfId="0" applyFont="1" applyFill="1" applyBorder="1" applyAlignment="1">
      <alignment/>
    </xf>
    <xf numFmtId="0" fontId="106" fillId="12" borderId="0" xfId="0" applyFont="1" applyFill="1" applyBorder="1" applyAlignment="1">
      <alignment horizontal="center"/>
    </xf>
    <xf numFmtId="0" fontId="107" fillId="0" borderId="25" xfId="0" applyFont="1" applyBorder="1" applyAlignment="1">
      <alignment/>
    </xf>
    <xf numFmtId="0" fontId="0" fillId="0" borderId="40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49" xfId="0" applyBorder="1" applyAlignment="1">
      <alignment horizontal="center"/>
    </xf>
    <xf numFmtId="0" fontId="95" fillId="66" borderId="24" xfId="0" applyFont="1" applyFill="1" applyBorder="1" applyAlignment="1">
      <alignment/>
    </xf>
    <xf numFmtId="0" fontId="53" fillId="0" borderId="0" xfId="0" applyFont="1" applyBorder="1" applyAlignment="1">
      <alignment/>
    </xf>
    <xf numFmtId="0" fontId="106" fillId="12" borderId="44" xfId="0" applyFont="1" applyFill="1" applyBorder="1" applyAlignment="1">
      <alignment horizontal="center"/>
    </xf>
    <xf numFmtId="0" fontId="0" fillId="0" borderId="24" xfId="0" applyBorder="1" applyAlignment="1">
      <alignment/>
    </xf>
    <xf numFmtId="164" fontId="95" fillId="0" borderId="44" xfId="0" applyNumberFormat="1" applyFont="1" applyBorder="1" applyAlignment="1">
      <alignment/>
    </xf>
    <xf numFmtId="0" fontId="0" fillId="0" borderId="24" xfId="0" applyBorder="1" applyAlignment="1">
      <alignment horizontal="left"/>
    </xf>
    <xf numFmtId="0" fontId="0" fillId="62" borderId="24" xfId="0" applyFill="1" applyBorder="1" applyAlignment="1">
      <alignment/>
    </xf>
    <xf numFmtId="0" fontId="95" fillId="0" borderId="24" xfId="0" applyFont="1" applyBorder="1" applyAlignment="1">
      <alignment horizontal="center"/>
    </xf>
    <xf numFmtId="164" fontId="95" fillId="0" borderId="92" xfId="0" applyNumberFormat="1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28" xfId="0" applyBorder="1" applyAlignment="1">
      <alignment/>
    </xf>
    <xf numFmtId="0" fontId="0" fillId="0" borderId="42" xfId="0" applyBorder="1" applyAlignment="1">
      <alignment horizontal="center"/>
    </xf>
    <xf numFmtId="164" fontId="101" fillId="0" borderId="0" xfId="100" applyNumberFormat="1" applyFont="1" applyFill="1" applyAlignment="1">
      <alignment/>
    </xf>
    <xf numFmtId="164" fontId="101" fillId="0" borderId="98" xfId="0" applyNumberFormat="1" applyFont="1" applyFill="1" applyBorder="1" applyAlignment="1">
      <alignment/>
    </xf>
    <xf numFmtId="9" fontId="95" fillId="0" borderId="0" xfId="189" applyFont="1" applyAlignment="1">
      <alignment/>
    </xf>
    <xf numFmtId="9" fontId="95" fillId="0" borderId="98" xfId="189" applyFont="1" applyBorder="1" applyAlignment="1">
      <alignment/>
    </xf>
    <xf numFmtId="0" fontId="95" fillId="21" borderId="28" xfId="0" applyFont="1" applyFill="1" applyBorder="1" applyAlignment="1">
      <alignment/>
    </xf>
    <xf numFmtId="0" fontId="95" fillId="21" borderId="28" xfId="0" applyFont="1" applyFill="1" applyBorder="1" applyAlignment="1">
      <alignment horizontal="center"/>
    </xf>
    <xf numFmtId="164" fontId="0" fillId="0" borderId="28" xfId="100" applyNumberFormat="1" applyFont="1" applyBorder="1" applyAlignment="1">
      <alignment/>
    </xf>
    <xf numFmtId="164" fontId="95" fillId="0" borderId="99" xfId="100" applyNumberFormat="1" applyFont="1" applyBorder="1" applyAlignment="1">
      <alignment/>
    </xf>
    <xf numFmtId="164" fontId="0" fillId="0" borderId="0" xfId="100" applyNumberFormat="1" applyFont="1" applyBorder="1" applyAlignment="1">
      <alignment/>
    </xf>
    <xf numFmtId="9" fontId="95" fillId="0" borderId="0" xfId="189" applyFont="1" applyBorder="1" applyAlignment="1">
      <alignment/>
    </xf>
    <xf numFmtId="0" fontId="107" fillId="0" borderId="0" xfId="0" applyFont="1" applyFill="1" applyBorder="1" applyAlignment="1">
      <alignment/>
    </xf>
    <xf numFmtId="0" fontId="95" fillId="0" borderId="0" xfId="0" applyFont="1" applyFill="1" applyBorder="1" applyAlignment="1">
      <alignment/>
    </xf>
    <xf numFmtId="0" fontId="95" fillId="0" borderId="0" xfId="0" applyFont="1" applyFill="1" applyBorder="1" applyAlignment="1">
      <alignment horizontal="center"/>
    </xf>
    <xf numFmtId="164" fontId="0" fillId="0" borderId="0" xfId="100" applyNumberFormat="1" applyFont="1" applyFill="1" applyBorder="1" applyAlignment="1">
      <alignment/>
    </xf>
    <xf numFmtId="9" fontId="95" fillId="0" borderId="0" xfId="189" applyFont="1" applyFill="1" applyBorder="1" applyAlignment="1">
      <alignment/>
    </xf>
    <xf numFmtId="164" fontId="95" fillId="0" borderId="0" xfId="100" applyNumberFormat="1" applyFont="1" applyFill="1" applyBorder="1" applyAlignment="1">
      <alignment/>
    </xf>
    <xf numFmtId="9" fontId="0" fillId="0" borderId="0" xfId="189" applyFont="1" applyFill="1" applyBorder="1" applyAlignment="1">
      <alignment/>
    </xf>
    <xf numFmtId="164" fontId="0" fillId="0" borderId="0" xfId="96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0" fillId="18" borderId="29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 horizontal="left"/>
    </xf>
    <xf numFmtId="168" fontId="1" fillId="0" borderId="0" xfId="117" applyNumberFormat="1" applyFont="1" applyAlignment="1">
      <alignment/>
    </xf>
    <xf numFmtId="0" fontId="1" fillId="22" borderId="28" xfId="0" applyFont="1" applyFill="1" applyBorder="1" applyAlignment="1">
      <alignment horizontal="center"/>
    </xf>
    <xf numFmtId="0" fontId="95" fillId="22" borderId="28" xfId="0" applyFont="1" applyFill="1" applyBorder="1" applyAlignment="1">
      <alignment horizontal="center"/>
    </xf>
    <xf numFmtId="0" fontId="1" fillId="16" borderId="28" xfId="0" applyFont="1" applyFill="1" applyBorder="1" applyAlignment="1">
      <alignment/>
    </xf>
    <xf numFmtId="0" fontId="0" fillId="16" borderId="28" xfId="0" applyFill="1" applyBorder="1" applyAlignment="1">
      <alignment/>
    </xf>
    <xf numFmtId="168" fontId="12" fillId="16" borderId="28" xfId="117" applyNumberFormat="1" applyFont="1" applyFill="1" applyBorder="1" applyAlignment="1">
      <alignment/>
    </xf>
    <xf numFmtId="164" fontId="0" fillId="0" borderId="0" xfId="96" applyNumberFormat="1" applyFont="1" applyFill="1" applyBorder="1" applyAlignment="1">
      <alignment/>
    </xf>
    <xf numFmtId="164" fontId="54" fillId="0" borderId="0" xfId="96" applyNumberFormat="1" applyFont="1" applyAlignment="1">
      <alignment/>
    </xf>
    <xf numFmtId="164" fontId="1" fillId="22" borderId="0" xfId="0" applyNumberFormat="1" applyFont="1" applyFill="1" applyBorder="1" applyAlignment="1">
      <alignment/>
    </xf>
    <xf numFmtId="164" fontId="1" fillId="22" borderId="29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54" fillId="16" borderId="0" xfId="0" applyFont="1" applyFill="1" applyAlignment="1">
      <alignment horizontal="center"/>
    </xf>
    <xf numFmtId="0" fontId="100" fillId="59" borderId="100" xfId="0" applyFont="1" applyFill="1" applyBorder="1" applyAlignment="1">
      <alignment horizontal="center"/>
    </xf>
    <xf numFmtId="0" fontId="55" fillId="0" borderId="25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55" fillId="0" borderId="24" xfId="0" applyFont="1" applyBorder="1" applyAlignment="1">
      <alignment horizontal="left"/>
    </xf>
    <xf numFmtId="164" fontId="1" fillId="0" borderId="0" xfId="99" applyNumberFormat="1" applyFont="1" applyBorder="1" applyAlignment="1">
      <alignment/>
    </xf>
    <xf numFmtId="0" fontId="0" fillId="0" borderId="42" xfId="0" applyBorder="1" applyAlignment="1">
      <alignment/>
    </xf>
    <xf numFmtId="0" fontId="95" fillId="0" borderId="0" xfId="166" applyFont="1">
      <alignment/>
      <protection/>
    </xf>
    <xf numFmtId="164" fontId="101" fillId="0" borderId="0" xfId="100" applyNumberFormat="1" applyFont="1" applyAlignment="1">
      <alignment/>
    </xf>
    <xf numFmtId="9" fontId="0" fillId="0" borderId="0" xfId="190" applyFont="1" applyAlignment="1">
      <alignment/>
    </xf>
    <xf numFmtId="164" fontId="101" fillId="0" borderId="98" xfId="100" applyNumberFormat="1" applyFont="1" applyBorder="1" applyAlignment="1">
      <alignment/>
    </xf>
    <xf numFmtId="9" fontId="0" fillId="0" borderId="98" xfId="190" applyFont="1" applyBorder="1" applyAlignment="1">
      <alignment/>
    </xf>
    <xf numFmtId="164" fontId="1" fillId="0" borderId="28" xfId="96" applyNumberFormat="1" applyFont="1" applyBorder="1" applyAlignment="1">
      <alignment/>
    </xf>
    <xf numFmtId="0" fontId="1" fillId="8" borderId="28" xfId="0" applyFont="1" applyFill="1" applyBorder="1" applyAlignment="1">
      <alignment horizontal="left"/>
    </xf>
    <xf numFmtId="164" fontId="1" fillId="8" borderId="28" xfId="0" applyNumberFormat="1" applyFont="1" applyFill="1" applyBorder="1" applyAlignment="1">
      <alignment/>
    </xf>
    <xf numFmtId="164" fontId="1" fillId="0" borderId="28" xfId="0" applyNumberFormat="1" applyFont="1" applyBorder="1" applyAlignment="1">
      <alignment/>
    </xf>
    <xf numFmtId="164" fontId="1" fillId="0" borderId="98" xfId="0" applyNumberFormat="1" applyFont="1" applyBorder="1" applyAlignment="1">
      <alignment/>
    </xf>
    <xf numFmtId="164" fontId="1" fillId="0" borderId="99" xfId="99" applyNumberFormat="1" applyFont="1" applyBorder="1" applyAlignment="1">
      <alignment/>
    </xf>
    <xf numFmtId="164" fontId="0" fillId="0" borderId="96" xfId="96" applyNumberFormat="1" applyFont="1" applyBorder="1" applyAlignment="1">
      <alignment/>
    </xf>
    <xf numFmtId="0" fontId="1" fillId="0" borderId="51" xfId="0" applyFont="1" applyBorder="1" applyAlignment="1">
      <alignment horizontal="center"/>
    </xf>
    <xf numFmtId="164" fontId="1" fillId="0" borderId="44" xfId="99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164" fontId="1" fillId="0" borderId="0" xfId="96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96" applyNumberFormat="1" applyFont="1" applyFill="1" applyBorder="1" applyAlignment="1">
      <alignment/>
    </xf>
    <xf numFmtId="0" fontId="95" fillId="0" borderId="28" xfId="0" applyFont="1" applyBorder="1" applyAlignment="1">
      <alignment horizontal="center"/>
    </xf>
    <xf numFmtId="3" fontId="1" fillId="0" borderId="99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164" fontId="0" fillId="0" borderId="28" xfId="0" applyNumberFormat="1" applyFont="1" applyBorder="1" applyAlignment="1">
      <alignment/>
    </xf>
    <xf numFmtId="164" fontId="56" fillId="0" borderId="0" xfId="96" applyNumberFormat="1" applyFont="1" applyFill="1" applyAlignment="1">
      <alignment/>
    </xf>
    <xf numFmtId="164" fontId="56" fillId="0" borderId="0" xfId="96" applyNumberFormat="1" applyFont="1" applyAlignment="1">
      <alignment/>
    </xf>
    <xf numFmtId="0" fontId="1" fillId="62" borderId="0" xfId="0" applyFont="1" applyFill="1" applyAlignment="1" applyProtection="1">
      <alignment/>
      <protection/>
    </xf>
    <xf numFmtId="37" fontId="1" fillId="62" borderId="0" xfId="0" applyNumberFormat="1" applyFont="1" applyFill="1" applyAlignment="1" applyProtection="1">
      <alignment/>
      <protection/>
    </xf>
    <xf numFmtId="39" fontId="1" fillId="62" borderId="56" xfId="99" applyNumberFormat="1" applyFont="1" applyFill="1" applyBorder="1" applyAlignment="1" applyProtection="1">
      <alignment/>
      <protection/>
    </xf>
    <xf numFmtId="0" fontId="1" fillId="62" borderId="40" xfId="0" applyFont="1" applyFill="1" applyBorder="1" applyAlignment="1" applyProtection="1">
      <alignment horizontal="left"/>
      <protection locked="0"/>
    </xf>
    <xf numFmtId="0" fontId="1" fillId="62" borderId="49" xfId="0" applyFont="1" applyFill="1" applyBorder="1" applyAlignment="1" applyProtection="1">
      <alignment horizontal="left"/>
      <protection locked="0"/>
    </xf>
    <xf numFmtId="164" fontId="1" fillId="62" borderId="26" xfId="100" applyNumberFormat="1" applyFont="1" applyFill="1" applyBorder="1" applyAlignment="1">
      <alignment/>
    </xf>
    <xf numFmtId="39" fontId="1" fillId="62" borderId="0" xfId="99" applyNumberFormat="1" applyFont="1" applyFill="1" applyBorder="1" applyAlignment="1" applyProtection="1">
      <alignment/>
      <protection/>
    </xf>
    <xf numFmtId="37" fontId="1" fillId="62" borderId="99" xfId="0" applyNumberFormat="1" applyFont="1" applyFill="1" applyBorder="1" applyAlignment="1" applyProtection="1">
      <alignment/>
      <protection/>
    </xf>
    <xf numFmtId="39" fontId="1" fillId="62" borderId="99" xfId="96" applyNumberFormat="1" applyFont="1" applyFill="1" applyBorder="1" applyAlignment="1" applyProtection="1">
      <alignment/>
      <protection/>
    </xf>
    <xf numFmtId="39" fontId="1" fillId="62" borderId="101" xfId="99" applyNumberFormat="1" applyFont="1" applyFill="1" applyBorder="1" applyAlignment="1" applyProtection="1">
      <alignment/>
      <protection/>
    </xf>
    <xf numFmtId="164" fontId="1" fillId="56" borderId="0" xfId="96" applyNumberFormat="1" applyFont="1" applyFill="1" applyAlignment="1" applyProtection="1">
      <alignment/>
      <protection/>
    </xf>
    <xf numFmtId="164" fontId="76" fillId="0" borderId="0" xfId="100" applyNumberFormat="1" applyFont="1" applyFill="1" applyAlignment="1">
      <alignment/>
    </xf>
    <xf numFmtId="43" fontId="76" fillId="0" borderId="0" xfId="100" applyFont="1" applyFill="1" applyAlignment="1">
      <alignment/>
    </xf>
    <xf numFmtId="0" fontId="0" fillId="0" borderId="0" xfId="166" applyFont="1">
      <alignment/>
      <protection/>
    </xf>
    <xf numFmtId="0" fontId="0" fillId="0" borderId="22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77" xfId="0" applyFont="1" applyFill="1" applyBorder="1" applyAlignment="1" applyProtection="1">
      <alignment horizontal="left"/>
      <protection locked="0"/>
    </xf>
    <xf numFmtId="164" fontId="0" fillId="0" borderId="22" xfId="0" applyNumberFormat="1" applyFont="1" applyFill="1" applyBorder="1" applyAlignment="1">
      <alignment/>
    </xf>
    <xf numFmtId="164" fontId="0" fillId="0" borderId="51" xfId="0" applyNumberFormat="1" applyFont="1" applyFill="1" applyBorder="1" applyAlignment="1">
      <alignment/>
    </xf>
    <xf numFmtId="164" fontId="0" fillId="0" borderId="22" xfId="0" applyNumberFormat="1" applyFill="1" applyBorder="1" applyAlignment="1">
      <alignment/>
    </xf>
    <xf numFmtId="164" fontId="0" fillId="0" borderId="51" xfId="0" applyNumberForma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41" xfId="0" applyFont="1" applyFill="1" applyBorder="1" applyAlignment="1" applyProtection="1">
      <alignment horizontal="left"/>
      <protection locked="0"/>
    </xf>
    <xf numFmtId="0" fontId="0" fillId="0" borderId="26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/>
    </xf>
    <xf numFmtId="0" fontId="12" fillId="0" borderId="50" xfId="0" applyFont="1" applyBorder="1" applyAlignment="1" applyProtection="1">
      <alignment/>
      <protection locked="0"/>
    </xf>
    <xf numFmtId="0" fontId="12" fillId="56" borderId="22" xfId="0" applyFont="1" applyFill="1" applyBorder="1" applyAlignment="1" applyProtection="1">
      <alignment horizontal="left"/>
      <protection locked="0"/>
    </xf>
    <xf numFmtId="0" fontId="12" fillId="56" borderId="50" xfId="0" applyFont="1" applyFill="1" applyBorder="1" applyAlignment="1" applyProtection="1">
      <alignment horizontal="left"/>
      <protection locked="0"/>
    </xf>
    <xf numFmtId="0" fontId="12" fillId="56" borderId="50" xfId="0" applyFont="1" applyFill="1" applyBorder="1" applyAlignment="1" applyProtection="1">
      <alignment/>
      <protection locked="0"/>
    </xf>
    <xf numFmtId="0" fontId="12" fillId="56" borderId="22" xfId="0" applyFont="1" applyFill="1" applyBorder="1" applyAlignment="1" applyProtection="1">
      <alignment/>
      <protection locked="0"/>
    </xf>
    <xf numFmtId="0" fontId="0" fillId="56" borderId="44" xfId="0" applyFill="1" applyBorder="1" applyAlignment="1" applyProtection="1">
      <alignment/>
      <protection/>
    </xf>
    <xf numFmtId="164" fontId="104" fillId="0" borderId="26" xfId="0" applyNumberFormat="1" applyFont="1" applyFill="1" applyBorder="1" applyAlignment="1">
      <alignment/>
    </xf>
    <xf numFmtId="164" fontId="97" fillId="56" borderId="0" xfId="0" applyNumberFormat="1" applyFont="1" applyFill="1" applyBorder="1" applyAlignment="1" applyProtection="1">
      <alignment/>
      <protection/>
    </xf>
    <xf numFmtId="0" fontId="0" fillId="0" borderId="50" xfId="0" applyBorder="1" applyAlignment="1">
      <alignment/>
    </xf>
    <xf numFmtId="43" fontId="0" fillId="0" borderId="51" xfId="100" applyFont="1" applyBorder="1" applyAlignment="1">
      <alignment/>
    </xf>
    <xf numFmtId="164" fontId="0" fillId="0" borderId="0" xfId="103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64" fontId="76" fillId="0" borderId="0" xfId="100" applyNumberFormat="1" applyFont="1" applyAlignment="1">
      <alignment/>
    </xf>
    <xf numFmtId="0" fontId="0" fillId="0" borderId="0" xfId="0" applyFont="1" applyAlignment="1">
      <alignment/>
    </xf>
    <xf numFmtId="43" fontId="76" fillId="0" borderId="0" xfId="100" applyFont="1" applyAlignment="1">
      <alignment/>
    </xf>
    <xf numFmtId="164" fontId="0" fillId="0" borderId="0" xfId="100" applyNumberFormat="1" applyFont="1" applyFill="1" applyAlignment="1">
      <alignment/>
    </xf>
    <xf numFmtId="43" fontId="0" fillId="0" borderId="0" xfId="100" applyFont="1" applyFill="1" applyAlignment="1">
      <alignment/>
    </xf>
    <xf numFmtId="0" fontId="0" fillId="0" borderId="0" xfId="0" applyFont="1" applyFill="1" applyAlignment="1">
      <alignment horizontal="center"/>
    </xf>
    <xf numFmtId="0" fontId="100" fillId="62" borderId="25" xfId="0" applyFont="1" applyFill="1" applyBorder="1" applyAlignment="1">
      <alignment/>
    </xf>
    <xf numFmtId="164" fontId="1" fillId="0" borderId="0" xfId="99" applyNumberFormat="1" applyFont="1" applyAlignment="1">
      <alignment/>
    </xf>
    <xf numFmtId="164" fontId="0" fillId="0" borderId="0" xfId="99" applyNumberFormat="1" applyFont="1" applyBorder="1" applyAlignment="1">
      <alignment/>
    </xf>
    <xf numFmtId="164" fontId="0" fillId="0" borderId="0" xfId="99" applyNumberFormat="1" applyFont="1" applyFill="1" applyAlignment="1">
      <alignment/>
    </xf>
    <xf numFmtId="164" fontId="1" fillId="0" borderId="22" xfId="99" applyNumberFormat="1" applyFont="1" applyBorder="1" applyAlignment="1">
      <alignment/>
    </xf>
    <xf numFmtId="164" fontId="1" fillId="60" borderId="28" xfId="99" applyNumberFormat="1" applyFont="1" applyFill="1" applyBorder="1" applyAlignment="1">
      <alignment/>
    </xf>
    <xf numFmtId="164" fontId="1" fillId="4" borderId="0" xfId="99" applyNumberFormat="1" applyFont="1" applyFill="1" applyAlignment="1">
      <alignment horizontal="left"/>
    </xf>
    <xf numFmtId="0" fontId="1" fillId="4" borderId="0" xfId="0" applyFont="1" applyFill="1" applyAlignment="1">
      <alignment/>
    </xf>
    <xf numFmtId="164" fontId="1" fillId="4" borderId="0" xfId="99" applyNumberFormat="1" applyFont="1" applyFill="1" applyAlignment="1">
      <alignment/>
    </xf>
    <xf numFmtId="164" fontId="0" fillId="0" borderId="0" xfId="99" applyNumberFormat="1" applyFont="1" applyAlignment="1">
      <alignment/>
    </xf>
    <xf numFmtId="3" fontId="0" fillId="0" borderId="0" xfId="0" applyNumberFormat="1" applyFont="1" applyAlignment="1">
      <alignment/>
    </xf>
    <xf numFmtId="164" fontId="0" fillId="0" borderId="28" xfId="0" applyNumberFormat="1" applyBorder="1" applyAlignment="1">
      <alignment/>
    </xf>
    <xf numFmtId="4" fontId="1" fillId="0" borderId="0" xfId="0" applyNumberFormat="1" applyFont="1" applyAlignment="1">
      <alignment horizontal="center"/>
    </xf>
    <xf numFmtId="3" fontId="1" fillId="0" borderId="98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0" fontId="0" fillId="21" borderId="0" xfId="0" applyFont="1" applyFill="1" applyBorder="1" applyAlignment="1">
      <alignment/>
    </xf>
    <xf numFmtId="164" fontId="1" fillId="56" borderId="0" xfId="0" applyNumberFormat="1" applyFont="1" applyFill="1" applyAlignment="1" applyProtection="1">
      <alignment/>
      <protection/>
    </xf>
    <xf numFmtId="164" fontId="104" fillId="62" borderId="41" xfId="96" applyNumberFormat="1" applyFont="1" applyFill="1" applyBorder="1" applyAlignment="1">
      <alignment/>
    </xf>
    <xf numFmtId="164" fontId="104" fillId="60" borderId="41" xfId="96" applyNumberFormat="1" applyFont="1" applyFill="1" applyBorder="1" applyAlignment="1">
      <alignment/>
    </xf>
    <xf numFmtId="164" fontId="104" fillId="4" borderId="41" xfId="96" applyNumberFormat="1" applyFont="1" applyFill="1" applyBorder="1" applyAlignment="1">
      <alignment/>
    </xf>
    <xf numFmtId="0" fontId="108" fillId="0" borderId="50" xfId="0" applyFont="1" applyFill="1" applyBorder="1" applyAlignment="1">
      <alignment horizontal="left"/>
    </xf>
    <xf numFmtId="0" fontId="109" fillId="0" borderId="50" xfId="0" applyFont="1" applyFill="1" applyBorder="1" applyAlignment="1">
      <alignment horizontal="left"/>
    </xf>
    <xf numFmtId="164" fontId="1" fillId="0" borderId="41" xfId="100" applyNumberFormat="1" applyFont="1" applyBorder="1" applyAlignment="1">
      <alignment/>
    </xf>
    <xf numFmtId="39" fontId="1" fillId="0" borderId="56" xfId="96" applyNumberFormat="1" applyFont="1" applyFill="1" applyBorder="1" applyAlignment="1" applyProtection="1">
      <alignment/>
      <protection/>
    </xf>
    <xf numFmtId="164" fontId="105" fillId="0" borderId="41" xfId="96" applyNumberFormat="1" applyFont="1" applyFill="1" applyBorder="1" applyAlignment="1">
      <alignment/>
    </xf>
    <xf numFmtId="0" fontId="100" fillId="0" borderId="50" xfId="0" applyFont="1" applyFill="1" applyBorder="1" applyAlignment="1">
      <alignment horizontal="left"/>
    </xf>
    <xf numFmtId="164" fontId="1" fillId="56" borderId="84" xfId="96" applyNumberFormat="1" applyFont="1" applyFill="1" applyBorder="1" applyAlignment="1" applyProtection="1">
      <alignment/>
      <protection/>
    </xf>
    <xf numFmtId="39" fontId="1" fillId="0" borderId="56" xfId="99" applyNumberFormat="1" applyFont="1" applyFill="1" applyBorder="1" applyAlignment="1" applyProtection="1">
      <alignment/>
      <protection/>
    </xf>
    <xf numFmtId="0" fontId="55" fillId="0" borderId="0" xfId="0" applyFont="1" applyAlignment="1">
      <alignment/>
    </xf>
    <xf numFmtId="0" fontId="0" fillId="2" borderId="32" xfId="0" applyFont="1" applyFill="1" applyBorder="1" applyAlignment="1" applyProtection="1" quotePrefix="1">
      <alignment horizontal="right"/>
      <protection locked="0"/>
    </xf>
    <xf numFmtId="0" fontId="0" fillId="2" borderId="0" xfId="0" applyFill="1" applyAlignment="1" applyProtection="1">
      <alignment/>
      <protection/>
    </xf>
    <xf numFmtId="0" fontId="76" fillId="0" borderId="41" xfId="0" applyFont="1" applyFill="1" applyBorder="1" applyAlignment="1">
      <alignment/>
    </xf>
    <xf numFmtId="43" fontId="76" fillId="0" borderId="41" xfId="100" applyFont="1" applyFill="1" applyBorder="1" applyAlignment="1">
      <alignment/>
    </xf>
    <xf numFmtId="164" fontId="76" fillId="0" borderId="41" xfId="100" applyNumberFormat="1" applyFont="1" applyFill="1" applyBorder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Font="1" applyAlignment="1">
      <alignment horizontal="center"/>
    </xf>
    <xf numFmtId="164" fontId="0" fillId="0" borderId="0" xfId="96" applyNumberFormat="1" applyFont="1" applyAlignment="1">
      <alignment horizontal="center"/>
    </xf>
    <xf numFmtId="10" fontId="0" fillId="0" borderId="0" xfId="189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43" fontId="0" fillId="0" borderId="0" xfId="100" applyFont="1" applyAlignment="1">
      <alignment horizontal="center"/>
    </xf>
    <xf numFmtId="43" fontId="1" fillId="0" borderId="0" xfId="0" applyNumberFormat="1" applyFont="1" applyBorder="1" applyAlignment="1">
      <alignment horizontal="center"/>
    </xf>
    <xf numFmtId="0" fontId="0" fillId="0" borderId="32" xfId="0" applyFont="1" applyFill="1" applyBorder="1" applyAlignment="1" applyProtection="1" quotePrefix="1">
      <alignment horizontal="right"/>
      <protection locked="0"/>
    </xf>
    <xf numFmtId="0" fontId="0" fillId="0" borderId="49" xfId="0" applyFont="1" applyFill="1" applyBorder="1" applyAlignment="1" applyProtection="1">
      <alignment horizontal="left"/>
      <protection locked="0"/>
    </xf>
    <xf numFmtId="164" fontId="0" fillId="0" borderId="0" xfId="96" applyNumberFormat="1" applyFont="1" applyFill="1" applyAlignment="1">
      <alignment/>
    </xf>
    <xf numFmtId="164" fontId="0" fillId="0" borderId="0" xfId="96" applyNumberFormat="1" applyFont="1" applyFill="1" applyAlignment="1">
      <alignment/>
    </xf>
    <xf numFmtId="164" fontId="0" fillId="0" borderId="0" xfId="96" applyNumberFormat="1" applyFont="1" applyFill="1" applyAlignment="1">
      <alignment/>
    </xf>
    <xf numFmtId="164" fontId="0" fillId="0" borderId="0" xfId="96" applyNumberFormat="1" applyFont="1" applyFill="1" applyAlignment="1" applyProtection="1">
      <alignment/>
      <protection locked="0"/>
    </xf>
    <xf numFmtId="164" fontId="0" fillId="0" borderId="0" xfId="96" applyNumberFormat="1" applyFont="1" applyFill="1" applyAlignment="1" applyProtection="1">
      <alignment/>
      <protection locked="0"/>
    </xf>
    <xf numFmtId="164" fontId="0" fillId="0" borderId="0" xfId="96" applyNumberFormat="1" applyFont="1" applyAlignment="1" applyProtection="1">
      <alignment/>
      <protection locked="0"/>
    </xf>
    <xf numFmtId="37" fontId="0" fillId="0" borderId="0" xfId="0" applyNumberFormat="1" applyFill="1" applyBorder="1" applyAlignment="1" applyProtection="1">
      <alignment/>
      <protection/>
    </xf>
    <xf numFmtId="164" fontId="7" fillId="0" borderId="0" xfId="96" applyNumberFormat="1" applyFont="1" applyFill="1" applyBorder="1" applyAlignment="1">
      <alignment/>
    </xf>
    <xf numFmtId="0" fontId="1" fillId="10" borderId="0" xfId="0" applyFont="1" applyFill="1" applyBorder="1" applyAlignment="1">
      <alignment/>
    </xf>
    <xf numFmtId="0" fontId="1" fillId="10" borderId="0" xfId="0" applyFont="1" applyFill="1" applyBorder="1" applyAlignment="1">
      <alignment horizontal="left"/>
    </xf>
    <xf numFmtId="164" fontId="0" fillId="0" borderId="0" xfId="96" applyNumberFormat="1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8" xfId="0" applyFont="1" applyFill="1" applyBorder="1" applyAlignment="1">
      <alignment horizontal="left"/>
    </xf>
    <xf numFmtId="164" fontId="73" fillId="0" borderId="0" xfId="96" applyNumberFormat="1" applyFont="1" applyFill="1" applyBorder="1" applyAlignment="1">
      <alignment/>
    </xf>
    <xf numFmtId="164" fontId="73" fillId="0" borderId="0" xfId="0" applyNumberFormat="1" applyFont="1" applyAlignment="1">
      <alignment/>
    </xf>
    <xf numFmtId="0" fontId="53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44" fontId="53" fillId="0" borderId="0" xfId="117" applyFont="1" applyFill="1" applyBorder="1" applyAlignment="1">
      <alignment horizontal="left"/>
    </xf>
    <xf numFmtId="44" fontId="55" fillId="8" borderId="0" xfId="117" applyFont="1" applyFill="1" applyBorder="1" applyAlignment="1">
      <alignment/>
    </xf>
    <xf numFmtId="44" fontId="55" fillId="10" borderId="0" xfId="117" applyFont="1" applyFill="1" applyBorder="1" applyAlignment="1">
      <alignment horizontal="left"/>
    </xf>
    <xf numFmtId="44" fontId="55" fillId="10" borderId="0" xfId="117" applyFont="1" applyFill="1" applyBorder="1" applyAlignment="1">
      <alignment/>
    </xf>
    <xf numFmtId="0" fontId="53" fillId="0" borderId="0" xfId="0" applyFont="1" applyAlignment="1">
      <alignment/>
    </xf>
    <xf numFmtId="44" fontId="53" fillId="0" borderId="0" xfId="117" applyFont="1" applyFill="1" applyBorder="1" applyAlignment="1">
      <alignment/>
    </xf>
    <xf numFmtId="164" fontId="1" fillId="0" borderId="0" xfId="99" applyNumberFormat="1" applyFont="1" applyFill="1" applyBorder="1" applyAlignment="1">
      <alignment horizontal="center"/>
    </xf>
    <xf numFmtId="164" fontId="56" fillId="0" borderId="0" xfId="96" applyNumberFormat="1" applyFont="1" applyAlignment="1">
      <alignment horizontal="center"/>
    </xf>
    <xf numFmtId="44" fontId="55" fillId="0" borderId="0" xfId="0" applyNumberFormat="1" applyFont="1" applyAlignment="1">
      <alignment/>
    </xf>
    <xf numFmtId="168" fontId="55" fillId="0" borderId="0" xfId="0" applyNumberFormat="1" applyFont="1" applyAlignment="1">
      <alignment/>
    </xf>
    <xf numFmtId="44" fontId="53" fillId="0" borderId="28" xfId="117" applyFont="1" applyFill="1" applyBorder="1" applyAlignment="1">
      <alignment/>
    </xf>
    <xf numFmtId="44" fontId="55" fillId="0" borderId="0" xfId="117" applyFont="1" applyFill="1" applyBorder="1" applyAlignment="1">
      <alignment/>
    </xf>
    <xf numFmtId="0" fontId="57" fillId="0" borderId="0" xfId="0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44" fontId="55" fillId="0" borderId="0" xfId="0" applyNumberFormat="1" applyFont="1" applyBorder="1" applyAlignment="1">
      <alignment/>
    </xf>
    <xf numFmtId="0" fontId="53" fillId="0" borderId="0" xfId="0" applyFont="1" applyFill="1" applyBorder="1" applyAlignment="1">
      <alignment/>
    </xf>
    <xf numFmtId="37" fontId="0" fillId="0" borderId="41" xfId="99" applyNumberFormat="1" applyFont="1" applyFill="1" applyBorder="1" applyAlignment="1" applyProtection="1">
      <alignment/>
      <protection locked="0"/>
    </xf>
    <xf numFmtId="37" fontId="0" fillId="56" borderId="77" xfId="99" applyNumberFormat="1" applyFont="1" applyFill="1" applyBorder="1" applyAlignment="1" applyProtection="1">
      <alignment/>
      <protection locked="0"/>
    </xf>
    <xf numFmtId="37" fontId="0" fillId="0" borderId="77" xfId="99" applyNumberFormat="1" applyFont="1" applyFill="1" applyBorder="1" applyAlignment="1" applyProtection="1">
      <alignment/>
      <protection locked="0"/>
    </xf>
    <xf numFmtId="164" fontId="0" fillId="0" borderId="0" xfId="99" applyNumberFormat="1" applyFont="1" applyFill="1" applyBorder="1" applyAlignment="1">
      <alignment/>
    </xf>
    <xf numFmtId="164" fontId="1" fillId="0" borderId="0" xfId="99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164" fontId="53" fillId="0" borderId="0" xfId="0" applyNumberFormat="1" applyFont="1" applyFill="1" applyBorder="1" applyAlignment="1">
      <alignment horizontal="center"/>
    </xf>
    <xf numFmtId="164" fontId="53" fillId="0" borderId="0" xfId="99" applyNumberFormat="1" applyFont="1" applyFill="1" applyBorder="1" applyAlignment="1">
      <alignment horizontal="center"/>
    </xf>
    <xf numFmtId="164" fontId="58" fillId="0" borderId="0" xfId="96" applyNumberFormat="1" applyFont="1" applyAlignment="1">
      <alignment horizontal="center"/>
    </xf>
    <xf numFmtId="164" fontId="53" fillId="0" borderId="0" xfId="96" applyNumberFormat="1" applyFont="1" applyAlignment="1">
      <alignment/>
    </xf>
    <xf numFmtId="164" fontId="53" fillId="0" borderId="0" xfId="96" applyNumberFormat="1" applyFont="1" applyFill="1" applyBorder="1" applyAlignment="1">
      <alignment/>
    </xf>
    <xf numFmtId="164" fontId="53" fillId="0" borderId="28" xfId="96" applyNumberFormat="1" applyFont="1" applyFill="1" applyBorder="1" applyAlignment="1">
      <alignment/>
    </xf>
    <xf numFmtId="164" fontId="53" fillId="0" borderId="28" xfId="96" applyNumberFormat="1" applyFont="1" applyBorder="1" applyAlignment="1">
      <alignment/>
    </xf>
    <xf numFmtId="168" fontId="55" fillId="0" borderId="0" xfId="0" applyNumberFormat="1" applyFont="1" applyBorder="1" applyAlignment="1">
      <alignment/>
    </xf>
    <xf numFmtId="164" fontId="55" fillId="0" borderId="0" xfId="96" applyNumberFormat="1" applyFont="1" applyFill="1" applyBorder="1" applyAlignment="1">
      <alignment/>
    </xf>
    <xf numFmtId="164" fontId="7" fillId="0" borderId="28" xfId="96" applyNumberFormat="1" applyFont="1" applyFill="1" applyBorder="1" applyAlignment="1">
      <alignment/>
    </xf>
    <xf numFmtId="164" fontId="7" fillId="0" borderId="28" xfId="96" applyNumberFormat="1" applyFont="1" applyBorder="1" applyAlignment="1">
      <alignment/>
    </xf>
    <xf numFmtId="164" fontId="0" fillId="0" borderId="28" xfId="96" applyNumberFormat="1" applyFont="1" applyBorder="1" applyAlignment="1">
      <alignment/>
    </xf>
    <xf numFmtId="164" fontId="55" fillId="0" borderId="22" xfId="96" applyNumberFormat="1" applyFont="1" applyFill="1" applyBorder="1" applyAlignment="1">
      <alignment/>
    </xf>
    <xf numFmtId="164" fontId="55" fillId="0" borderId="0" xfId="96" applyNumberFormat="1" applyFont="1" applyAlignment="1">
      <alignment/>
    </xf>
    <xf numFmtId="164" fontId="55" fillId="0" borderId="28" xfId="96" applyNumberFormat="1" applyFont="1" applyBorder="1" applyAlignment="1">
      <alignment/>
    </xf>
    <xf numFmtId="164" fontId="53" fillId="0" borderId="28" xfId="0" applyNumberFormat="1" applyFont="1" applyBorder="1" applyAlignment="1">
      <alignment/>
    </xf>
    <xf numFmtId="164" fontId="55" fillId="0" borderId="0" xfId="0" applyNumberFormat="1" applyFont="1" applyAlignment="1">
      <alignment/>
    </xf>
    <xf numFmtId="164" fontId="7" fillId="0" borderId="0" xfId="96" applyNumberFormat="1" applyFont="1" applyBorder="1" applyAlignment="1">
      <alignment/>
    </xf>
    <xf numFmtId="0" fontId="56" fillId="0" borderId="0" xfId="0" applyFont="1" applyBorder="1" applyAlignment="1">
      <alignment horizontal="center"/>
    </xf>
    <xf numFmtId="168" fontId="0" fillId="0" borderId="0" xfId="0" applyNumberFormat="1" applyAlignment="1">
      <alignment/>
    </xf>
    <xf numFmtId="0" fontId="55" fillId="0" borderId="0" xfId="0" applyFont="1" applyFill="1" applyBorder="1" applyAlignment="1">
      <alignment horizontal="right"/>
    </xf>
    <xf numFmtId="164" fontId="1" fillId="0" borderId="28" xfId="96" applyNumberFormat="1" applyFont="1" applyFill="1" applyBorder="1" applyAlignment="1">
      <alignment horizontal="center" wrapText="1"/>
    </xf>
    <xf numFmtId="164" fontId="1" fillId="0" borderId="28" xfId="96" applyNumberFormat="1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55" fillId="8" borderId="28" xfId="0" applyFont="1" applyFill="1" applyBorder="1" applyAlignment="1">
      <alignment/>
    </xf>
    <xf numFmtId="0" fontId="1" fillId="8" borderId="0" xfId="0" applyFont="1" applyFill="1" applyBorder="1" applyAlignment="1">
      <alignment/>
    </xf>
    <xf numFmtId="0" fontId="1" fillId="8" borderId="0" xfId="0" applyFont="1" applyFill="1" applyBorder="1" applyAlignment="1">
      <alignment horizontal="left"/>
    </xf>
    <xf numFmtId="168" fontId="53" fillId="0" borderId="0" xfId="117" applyNumberFormat="1" applyFont="1" applyFill="1" applyBorder="1" applyAlignment="1">
      <alignment/>
    </xf>
    <xf numFmtId="168" fontId="53" fillId="0" borderId="28" xfId="117" applyNumberFormat="1" applyFont="1" applyFill="1" applyBorder="1" applyAlignment="1">
      <alignment/>
    </xf>
    <xf numFmtId="168" fontId="55" fillId="0" borderId="98" xfId="0" applyNumberFormat="1" applyFont="1" applyBorder="1" applyAlignment="1">
      <alignment/>
    </xf>
    <xf numFmtId="0" fontId="59" fillId="0" borderId="0" xfId="0" applyFont="1" applyFill="1" applyBorder="1" applyAlignment="1">
      <alignment horizontal="center"/>
    </xf>
    <xf numFmtId="168" fontId="53" fillId="0" borderId="0" xfId="117" applyNumberFormat="1" applyFont="1" applyAlignment="1">
      <alignment/>
    </xf>
    <xf numFmtId="168" fontId="53" fillId="0" borderId="28" xfId="117" applyNumberFormat="1" applyFont="1" applyBorder="1" applyAlignment="1">
      <alignment/>
    </xf>
    <xf numFmtId="168" fontId="55" fillId="0" borderId="98" xfId="117" applyNumberFormat="1" applyFont="1" applyBorder="1" applyAlignment="1">
      <alignment/>
    </xf>
    <xf numFmtId="164" fontId="53" fillId="0" borderId="0" xfId="0" applyNumberFormat="1" applyFont="1" applyFill="1" applyBorder="1" applyAlignment="1">
      <alignment/>
    </xf>
    <xf numFmtId="0" fontId="55" fillId="8" borderId="28" xfId="0" applyFont="1" applyFill="1" applyBorder="1" applyAlignment="1">
      <alignment horizontal="center"/>
    </xf>
    <xf numFmtId="0" fontId="55" fillId="0" borderId="28" xfId="0" applyFont="1" applyFill="1" applyBorder="1" applyAlignment="1">
      <alignment horizontal="center"/>
    </xf>
    <xf numFmtId="168" fontId="74" fillId="67" borderId="99" xfId="117" applyNumberFormat="1" applyFont="1" applyFill="1" applyBorder="1" applyAlignment="1">
      <alignment/>
    </xf>
    <xf numFmtId="0" fontId="100" fillId="59" borderId="100" xfId="0" applyFont="1" applyFill="1" applyBorder="1" applyAlignment="1">
      <alignment/>
    </xf>
    <xf numFmtId="0" fontId="100" fillId="59" borderId="102" xfId="0" applyFont="1" applyFill="1" applyBorder="1" applyAlignment="1">
      <alignment horizontal="left"/>
    </xf>
    <xf numFmtId="164" fontId="100" fillId="59" borderId="102" xfId="0" applyNumberFormat="1" applyFont="1" applyFill="1" applyBorder="1" applyAlignment="1">
      <alignment/>
    </xf>
    <xf numFmtId="0" fontId="100" fillId="59" borderId="100" xfId="0" applyFont="1" applyFill="1" applyBorder="1" applyAlignment="1">
      <alignment wrapText="1"/>
    </xf>
    <xf numFmtId="0" fontId="55" fillId="0" borderId="0" xfId="0" applyFont="1" applyBorder="1" applyAlignment="1">
      <alignment horizontal="center"/>
    </xf>
    <xf numFmtId="44" fontId="55" fillId="0" borderId="0" xfId="117" applyFont="1" applyBorder="1" applyAlignment="1">
      <alignment/>
    </xf>
    <xf numFmtId="44" fontId="55" fillId="8" borderId="99" xfId="0" applyNumberFormat="1" applyFont="1" applyFill="1" applyBorder="1" applyAlignment="1">
      <alignment/>
    </xf>
    <xf numFmtId="0" fontId="54" fillId="0" borderId="0" xfId="0" applyFont="1" applyBorder="1" applyAlignment="1">
      <alignment horizontal="center"/>
    </xf>
    <xf numFmtId="168" fontId="0" fillId="0" borderId="0" xfId="117" applyNumberFormat="1" applyFont="1" applyBorder="1" applyAlignment="1">
      <alignment/>
    </xf>
    <xf numFmtId="0" fontId="0" fillId="56" borderId="51" xfId="0" applyFont="1" applyFill="1" applyBorder="1" applyAlignment="1" applyProtection="1">
      <alignment horizontal="left"/>
      <protection locked="0"/>
    </xf>
    <xf numFmtId="165" fontId="20" fillId="56" borderId="40" xfId="181" applyFont="1" applyFill="1" applyBorder="1" applyAlignment="1" applyProtection="1">
      <alignment horizontal="center"/>
      <protection/>
    </xf>
    <xf numFmtId="165" fontId="20" fillId="56" borderId="63" xfId="181" applyFont="1" applyFill="1" applyBorder="1" applyAlignment="1" applyProtection="1">
      <alignment horizontal="center"/>
      <protection/>
    </xf>
    <xf numFmtId="165" fontId="16" fillId="52" borderId="103" xfId="181" applyFont="1" applyFill="1" applyBorder="1" applyAlignment="1" applyProtection="1">
      <alignment horizontal="center"/>
      <protection/>
    </xf>
    <xf numFmtId="165" fontId="16" fillId="52" borderId="104" xfId="181" applyFont="1" applyFill="1" applyBorder="1" applyAlignment="1" applyProtection="1">
      <alignment horizontal="center"/>
      <protection/>
    </xf>
    <xf numFmtId="165" fontId="16" fillId="52" borderId="105" xfId="181" applyFont="1" applyFill="1" applyBorder="1" applyAlignment="1" applyProtection="1">
      <alignment horizontal="center"/>
      <protection/>
    </xf>
    <xf numFmtId="165" fontId="16" fillId="52" borderId="106" xfId="181" applyFont="1" applyFill="1" applyBorder="1" applyAlignment="1" applyProtection="1">
      <alignment horizontal="center"/>
      <protection/>
    </xf>
    <xf numFmtId="165" fontId="16" fillId="52" borderId="107" xfId="181" applyFont="1" applyFill="1" applyBorder="1" applyAlignment="1" applyProtection="1">
      <alignment horizontal="center"/>
      <protection/>
    </xf>
    <xf numFmtId="14" fontId="16" fillId="56" borderId="93" xfId="181" applyNumberFormat="1" applyFont="1" applyFill="1" applyBorder="1" applyAlignment="1" applyProtection="1">
      <alignment horizontal="center"/>
      <protection/>
    </xf>
    <xf numFmtId="14" fontId="16" fillId="56" borderId="96" xfId="181" applyNumberFormat="1" applyFont="1" applyFill="1" applyBorder="1" applyAlignment="1" applyProtection="1">
      <alignment horizontal="center"/>
      <protection/>
    </xf>
    <xf numFmtId="14" fontId="16" fillId="56" borderId="108" xfId="181" applyNumberFormat="1" applyFont="1" applyFill="1" applyBorder="1" applyAlignment="1" applyProtection="1">
      <alignment horizontal="center"/>
      <protection/>
    </xf>
    <xf numFmtId="165" fontId="16" fillId="56" borderId="30" xfId="181" applyFont="1" applyFill="1" applyBorder="1" applyAlignment="1" applyProtection="1">
      <alignment horizontal="left" vertical="top"/>
      <protection/>
    </xf>
    <xf numFmtId="165" fontId="16" fillId="56" borderId="31" xfId="181" applyFont="1" applyFill="1" applyBorder="1" applyAlignment="1" applyProtection="1">
      <alignment horizontal="left" vertical="top"/>
      <protection/>
    </xf>
    <xf numFmtId="165" fontId="16" fillId="56" borderId="36" xfId="181" applyFont="1" applyFill="1" applyBorder="1" applyAlignment="1" applyProtection="1">
      <alignment horizontal="left" vertical="top"/>
      <protection/>
    </xf>
    <xf numFmtId="165" fontId="16" fillId="56" borderId="38" xfId="181" applyFont="1" applyFill="1" applyBorder="1" applyAlignment="1" applyProtection="1">
      <alignment horizontal="left" vertical="top"/>
      <protection/>
    </xf>
    <xf numFmtId="165" fontId="16" fillId="56" borderId="29" xfId="181" applyFont="1" applyFill="1" applyBorder="1" applyAlignment="1" applyProtection="1">
      <alignment horizontal="left" vertical="top"/>
      <protection/>
    </xf>
    <xf numFmtId="165" fontId="16" fillId="56" borderId="39" xfId="181" applyFont="1" applyFill="1" applyBorder="1" applyAlignment="1" applyProtection="1">
      <alignment horizontal="left" vertical="top"/>
      <protection/>
    </xf>
    <xf numFmtId="165" fontId="16" fillId="56" borderId="32" xfId="181" applyFont="1" applyFill="1" applyBorder="1" applyAlignment="1" applyProtection="1">
      <alignment horizontal="left" vertical="top" wrapText="1"/>
      <protection/>
    </xf>
    <xf numFmtId="165" fontId="16" fillId="56" borderId="0" xfId="181" applyFont="1" applyFill="1" applyBorder="1" applyAlignment="1" applyProtection="1">
      <alignment horizontal="left" vertical="top" wrapText="1"/>
      <protection/>
    </xf>
    <xf numFmtId="165" fontId="16" fillId="56" borderId="35" xfId="181" applyFont="1" applyFill="1" applyBorder="1" applyAlignment="1" applyProtection="1">
      <alignment horizontal="left" vertical="top" wrapText="1"/>
      <protection/>
    </xf>
    <xf numFmtId="165" fontId="16" fillId="56" borderId="32" xfId="181" applyFont="1" applyFill="1" applyBorder="1" applyAlignment="1" applyProtection="1">
      <alignment horizontal="left" vertical="top"/>
      <protection locked="0"/>
    </xf>
    <xf numFmtId="165" fontId="16" fillId="56" borderId="0" xfId="181" applyFont="1" applyFill="1" applyBorder="1" applyAlignment="1" applyProtection="1">
      <alignment horizontal="left" vertical="top"/>
      <protection locked="0"/>
    </xf>
    <xf numFmtId="165" fontId="16" fillId="56" borderId="35" xfId="181" applyFont="1" applyFill="1" applyBorder="1" applyAlignment="1" applyProtection="1">
      <alignment horizontal="left" vertical="top"/>
      <protection locked="0"/>
    </xf>
    <xf numFmtId="165" fontId="13" fillId="56" borderId="28" xfId="181" applyFont="1" applyFill="1" applyBorder="1" applyAlignment="1" applyProtection="1" quotePrefix="1">
      <alignment horizontal="center"/>
      <protection/>
    </xf>
    <xf numFmtId="165" fontId="13" fillId="56" borderId="28" xfId="181" applyFont="1" applyFill="1" applyBorder="1" applyAlignment="1" applyProtection="1">
      <alignment horizontal="center"/>
      <protection/>
    </xf>
    <xf numFmtId="165" fontId="13" fillId="56" borderId="109" xfId="181" applyFont="1" applyFill="1" applyBorder="1" applyAlignment="1" applyProtection="1">
      <alignment horizontal="center"/>
      <protection/>
    </xf>
    <xf numFmtId="165" fontId="15" fillId="56" borderId="0" xfId="181" applyFont="1" applyFill="1" applyBorder="1" applyAlignment="1" applyProtection="1">
      <alignment horizontal="center"/>
      <protection/>
    </xf>
    <xf numFmtId="165" fontId="16" fillId="56" borderId="28" xfId="181" applyFont="1" applyFill="1" applyBorder="1" applyAlignment="1" applyProtection="1" quotePrefix="1">
      <alignment horizontal="center"/>
      <protection/>
    </xf>
    <xf numFmtId="165" fontId="16" fillId="56" borderId="34" xfId="181" applyFont="1" applyFill="1" applyBorder="1" applyAlignment="1" applyProtection="1" quotePrefix="1">
      <alignment horizontal="center"/>
      <protection/>
    </xf>
    <xf numFmtId="165" fontId="16" fillId="56" borderId="28" xfId="181" applyFont="1" applyFill="1" applyBorder="1" applyAlignment="1" applyProtection="1">
      <alignment horizontal="center"/>
      <protection/>
    </xf>
    <xf numFmtId="165" fontId="16" fillId="56" borderId="109" xfId="181" applyFont="1" applyFill="1" applyBorder="1" applyAlignment="1" applyProtection="1">
      <alignment horizontal="center"/>
      <protection/>
    </xf>
    <xf numFmtId="165" fontId="16" fillId="56" borderId="28" xfId="181" applyFont="1" applyFill="1" applyBorder="1" applyAlignment="1" applyProtection="1">
      <alignment horizontal="left"/>
      <protection locked="0"/>
    </xf>
    <xf numFmtId="165" fontId="16" fillId="56" borderId="34" xfId="181" applyFont="1" applyFill="1" applyBorder="1" applyAlignment="1" applyProtection="1">
      <alignment horizontal="left"/>
      <protection locked="0"/>
    </xf>
    <xf numFmtId="165" fontId="3" fillId="56" borderId="0" xfId="181" applyFont="1" applyFill="1" applyBorder="1" applyAlignment="1" applyProtection="1">
      <alignment/>
      <protection/>
    </xf>
    <xf numFmtId="165" fontId="17" fillId="56" borderId="0" xfId="181" applyFont="1" applyFill="1" applyBorder="1" applyAlignment="1" applyProtection="1">
      <alignment horizontal="center"/>
      <protection/>
    </xf>
    <xf numFmtId="165" fontId="16" fillId="56" borderId="37" xfId="181" applyFont="1" applyFill="1" applyBorder="1" applyAlignment="1" applyProtection="1">
      <alignment horizontal="left"/>
      <protection locked="0"/>
    </xf>
    <xf numFmtId="165" fontId="16" fillId="56" borderId="95" xfId="181" applyFont="1" applyFill="1" applyBorder="1" applyAlignment="1" applyProtection="1">
      <alignment horizontal="left"/>
      <protection locked="0"/>
    </xf>
    <xf numFmtId="165" fontId="16" fillId="56" borderId="32" xfId="181" applyFont="1" applyFill="1" applyBorder="1" applyAlignment="1" applyProtection="1">
      <alignment horizontal="left" wrapText="1"/>
      <protection locked="0"/>
    </xf>
    <xf numFmtId="165" fontId="16" fillId="56" borderId="0" xfId="181" applyFont="1" applyFill="1" applyBorder="1" applyAlignment="1" applyProtection="1">
      <alignment horizontal="left" wrapText="1"/>
      <protection locked="0"/>
    </xf>
    <xf numFmtId="165" fontId="16" fillId="56" borderId="35" xfId="181" applyFont="1" applyFill="1" applyBorder="1" applyAlignment="1" applyProtection="1">
      <alignment horizontal="left" wrapText="1"/>
      <protection locked="0"/>
    </xf>
    <xf numFmtId="165" fontId="16" fillId="56" borderId="38" xfId="181" applyFont="1" applyFill="1" applyBorder="1" applyAlignment="1" applyProtection="1">
      <alignment horizontal="left" wrapText="1"/>
      <protection locked="0"/>
    </xf>
    <xf numFmtId="165" fontId="16" fillId="56" borderId="29" xfId="181" applyFont="1" applyFill="1" applyBorder="1" applyAlignment="1" applyProtection="1">
      <alignment horizontal="left" wrapText="1"/>
      <protection locked="0"/>
    </xf>
    <xf numFmtId="165" fontId="16" fillId="56" borderId="39" xfId="181" applyFont="1" applyFill="1" applyBorder="1" applyAlignment="1" applyProtection="1">
      <alignment horizontal="left" wrapText="1"/>
      <protection locked="0"/>
    </xf>
    <xf numFmtId="165" fontId="16" fillId="56" borderId="32" xfId="181" applyFont="1" applyFill="1" applyBorder="1" applyAlignment="1" applyProtection="1" quotePrefix="1">
      <alignment horizontal="center"/>
      <protection/>
    </xf>
    <xf numFmtId="165" fontId="16" fillId="56" borderId="0" xfId="181" applyFont="1" applyFill="1" applyBorder="1" applyAlignment="1" applyProtection="1" quotePrefix="1">
      <alignment horizontal="center"/>
      <protection/>
    </xf>
    <xf numFmtId="165" fontId="16" fillId="56" borderId="35" xfId="181" applyFont="1" applyFill="1" applyBorder="1" applyAlignment="1" applyProtection="1" quotePrefix="1">
      <alignment horizontal="center"/>
      <protection/>
    </xf>
    <xf numFmtId="165" fontId="14" fillId="56" borderId="72" xfId="181" applyFont="1" applyFill="1" applyBorder="1" applyAlignment="1" applyProtection="1">
      <alignment vertical="center" wrapText="1"/>
      <protection locked="0"/>
    </xf>
    <xf numFmtId="165" fontId="14" fillId="56" borderId="90" xfId="181" applyFont="1" applyFill="1" applyBorder="1" applyAlignment="1" applyProtection="1">
      <alignment vertical="center" wrapText="1"/>
      <protection locked="0"/>
    </xf>
    <xf numFmtId="165" fontId="3" fillId="52" borderId="46" xfId="181" applyFont="1" applyFill="1" applyBorder="1" applyAlignment="1" applyProtection="1">
      <alignment horizontal="center"/>
      <protection/>
    </xf>
    <xf numFmtId="165" fontId="3" fillId="52" borderId="28" xfId="181" applyFont="1" applyFill="1" applyBorder="1" applyAlignment="1" applyProtection="1">
      <alignment horizontal="center"/>
      <protection/>
    </xf>
    <xf numFmtId="165" fontId="3" fillId="52" borderId="42" xfId="181" applyFont="1" applyFill="1" applyBorder="1" applyAlignment="1" applyProtection="1">
      <alignment horizontal="center"/>
      <protection/>
    </xf>
    <xf numFmtId="165" fontId="3" fillId="58" borderId="46" xfId="181" applyFont="1" applyFill="1" applyBorder="1" applyAlignment="1" applyProtection="1">
      <alignment horizontal="center" wrapText="1"/>
      <protection/>
    </xf>
    <xf numFmtId="165" fontId="3" fillId="58" borderId="28" xfId="181" applyFont="1" applyFill="1" applyBorder="1" applyAlignment="1" applyProtection="1">
      <alignment horizontal="center" wrapText="1"/>
      <protection/>
    </xf>
    <xf numFmtId="165" fontId="3" fillId="58" borderId="42" xfId="181" applyFont="1" applyFill="1" applyBorder="1" applyAlignment="1" applyProtection="1">
      <alignment horizontal="center" wrapText="1"/>
      <protection/>
    </xf>
    <xf numFmtId="165" fontId="3" fillId="52" borderId="60" xfId="181" applyFont="1" applyFill="1" applyBorder="1" applyAlignment="1" applyProtection="1">
      <alignment horizontal="center"/>
      <protection/>
    </xf>
    <xf numFmtId="165" fontId="14" fillId="56" borderId="41" xfId="181" applyFont="1" applyFill="1" applyBorder="1" applyAlignment="1" applyProtection="1">
      <alignment horizontal="center" wrapText="1"/>
      <protection/>
    </xf>
    <xf numFmtId="165" fontId="14" fillId="56" borderId="50" xfId="181" applyFont="1" applyFill="1" applyBorder="1" applyAlignment="1" applyProtection="1">
      <alignment horizontal="center" wrapText="1"/>
      <protection/>
    </xf>
    <xf numFmtId="165" fontId="14" fillId="56" borderId="22" xfId="181" applyFont="1" applyFill="1" applyBorder="1" applyAlignment="1" applyProtection="1">
      <alignment horizontal="center" wrapText="1"/>
      <protection/>
    </xf>
    <xf numFmtId="165" fontId="14" fillId="56" borderId="51" xfId="181" applyFont="1" applyFill="1" applyBorder="1" applyAlignment="1" applyProtection="1">
      <alignment horizontal="center" wrapText="1"/>
      <protection/>
    </xf>
    <xf numFmtId="165" fontId="14" fillId="56" borderId="58" xfId="181" applyFont="1" applyFill="1" applyBorder="1" applyAlignment="1" applyProtection="1">
      <alignment horizontal="center"/>
      <protection locked="0"/>
    </xf>
    <xf numFmtId="165" fontId="14" fillId="56" borderId="41" xfId="181" applyFont="1" applyFill="1" applyBorder="1" applyAlignment="1" applyProtection="1">
      <alignment horizontal="center"/>
      <protection locked="0"/>
    </xf>
    <xf numFmtId="165" fontId="18" fillId="56" borderId="0" xfId="181" applyFont="1" applyFill="1" applyBorder="1" applyAlignment="1" applyProtection="1">
      <alignment horizontal="center"/>
      <protection/>
    </xf>
    <xf numFmtId="165" fontId="14" fillId="56" borderId="41" xfId="181" applyFont="1" applyFill="1" applyBorder="1" applyAlignment="1" applyProtection="1" quotePrefix="1">
      <alignment horizontal="center" wrapText="1"/>
      <protection/>
    </xf>
    <xf numFmtId="165" fontId="14" fillId="56" borderId="57" xfId="181" applyFont="1" applyFill="1" applyBorder="1" applyAlignment="1" applyProtection="1">
      <alignment horizontal="center" wrapText="1"/>
      <protection/>
    </xf>
    <xf numFmtId="165" fontId="14" fillId="56" borderId="61" xfId="181" applyFont="1" applyFill="1" applyBorder="1" applyAlignment="1" applyProtection="1">
      <alignment horizontal="center"/>
      <protection/>
    </xf>
    <xf numFmtId="165" fontId="14" fillId="56" borderId="22" xfId="181" applyFont="1" applyFill="1" applyBorder="1" applyAlignment="1" applyProtection="1">
      <alignment horizontal="center"/>
      <protection/>
    </xf>
    <xf numFmtId="165" fontId="14" fillId="56" borderId="51" xfId="181" applyFont="1" applyFill="1" applyBorder="1" applyAlignment="1" applyProtection="1">
      <alignment horizontal="center"/>
      <protection/>
    </xf>
    <xf numFmtId="165" fontId="14" fillId="56" borderId="61" xfId="181" applyFont="1" applyFill="1" applyBorder="1" applyAlignment="1" applyProtection="1">
      <alignment horizontal="center" wrapText="1"/>
      <protection/>
    </xf>
    <xf numFmtId="14" fontId="3" fillId="56" borderId="37" xfId="181" applyNumberFormat="1" applyFont="1" applyFill="1" applyBorder="1" applyAlignment="1" applyProtection="1">
      <alignment horizontal="center"/>
      <protection/>
    </xf>
    <xf numFmtId="41" fontId="3" fillId="56" borderId="29" xfId="181" applyNumberFormat="1" applyFont="1" applyFill="1" applyBorder="1" applyAlignment="1" applyProtection="1">
      <alignment horizontal="left" vertical="top"/>
      <protection/>
    </xf>
    <xf numFmtId="41" fontId="3" fillId="56" borderId="39" xfId="181" applyNumberFormat="1" applyFont="1" applyFill="1" applyBorder="1" applyAlignment="1" applyProtection="1">
      <alignment horizontal="left" vertical="top"/>
      <protection/>
    </xf>
    <xf numFmtId="165" fontId="14" fillId="56" borderId="96" xfId="181" applyFont="1" applyFill="1" applyBorder="1" applyAlignment="1" applyProtection="1">
      <alignment horizontal="left" vertical="top" wrapText="1"/>
      <protection/>
    </xf>
    <xf numFmtId="165" fontId="14" fillId="56" borderId="108" xfId="181" applyFont="1" applyFill="1" applyBorder="1" applyAlignment="1" applyProtection="1">
      <alignment horizontal="left" vertical="top" wrapText="1"/>
      <protection/>
    </xf>
    <xf numFmtId="165" fontId="3" fillId="58" borderId="0" xfId="181" applyFont="1" applyFill="1" applyBorder="1" applyAlignment="1" applyProtection="1">
      <alignment horizontal="center"/>
      <protection/>
    </xf>
    <xf numFmtId="165" fontId="3" fillId="52" borderId="35" xfId="181" applyFont="1" applyFill="1" applyBorder="1" applyAlignment="1" applyProtection="1">
      <alignment horizontal="center"/>
      <protection/>
    </xf>
    <xf numFmtId="165" fontId="4" fillId="56" borderId="0" xfId="181" applyFill="1" applyBorder="1" applyAlignment="1" applyProtection="1">
      <alignment horizontal="left" vertical="top" wrapText="1"/>
      <protection/>
    </xf>
    <xf numFmtId="165" fontId="14" fillId="58" borderId="78" xfId="181" applyFont="1" applyFill="1" applyBorder="1" applyAlignment="1" applyProtection="1">
      <alignment horizontal="center" wrapText="1"/>
      <protection locked="0"/>
    </xf>
    <xf numFmtId="165" fontId="14" fillId="58" borderId="88" xfId="181" applyFont="1" applyFill="1" applyBorder="1" applyAlignment="1" applyProtection="1">
      <alignment horizontal="center" wrapText="1"/>
      <protection locked="0"/>
    </xf>
    <xf numFmtId="165" fontId="14" fillId="56" borderId="96" xfId="181" applyFont="1" applyFill="1" applyBorder="1" applyAlignment="1" applyProtection="1">
      <alignment horizontal="left" vertical="top" wrapText="1"/>
      <protection locked="0"/>
    </xf>
    <xf numFmtId="165" fontId="14" fillId="56" borderId="108" xfId="181" applyFont="1" applyFill="1" applyBorder="1" applyAlignment="1" applyProtection="1">
      <alignment horizontal="left" vertical="top" wrapText="1"/>
      <protection locked="0"/>
    </xf>
    <xf numFmtId="165" fontId="14" fillId="56" borderId="41" xfId="181" applyFont="1" applyFill="1" applyBorder="1" applyAlignment="1" applyProtection="1">
      <alignment horizontal="center" wrapText="1"/>
      <protection locked="0"/>
    </xf>
    <xf numFmtId="165" fontId="14" fillId="56" borderId="57" xfId="181" applyFont="1" applyFill="1" applyBorder="1" applyAlignment="1" applyProtection="1">
      <alignment horizontal="center" wrapText="1"/>
      <protection locked="0"/>
    </xf>
    <xf numFmtId="0" fontId="1" fillId="14" borderId="0" xfId="0" applyFont="1" applyFill="1" applyAlignment="1">
      <alignment horizontal="center"/>
    </xf>
    <xf numFmtId="166" fontId="6" fillId="56" borderId="24" xfId="182" applyFont="1" applyFill="1" applyBorder="1" applyAlignment="1" applyProtection="1">
      <alignment horizontal="left"/>
      <protection/>
    </xf>
    <xf numFmtId="166" fontId="6" fillId="56" borderId="44" xfId="182" applyFont="1" applyFill="1" applyBorder="1" applyAlignment="1" applyProtection="1">
      <alignment horizontal="left"/>
      <protection/>
    </xf>
    <xf numFmtId="14" fontId="3" fillId="56" borderId="95" xfId="181" applyNumberFormat="1" applyFont="1" applyFill="1" applyBorder="1" applyAlignment="1" applyProtection="1">
      <alignment horizontal="center"/>
      <protection/>
    </xf>
    <xf numFmtId="166" fontId="6" fillId="56" borderId="25" xfId="182" applyFont="1" applyFill="1" applyBorder="1" applyAlignment="1" applyProtection="1">
      <alignment horizontal="left"/>
      <protection/>
    </xf>
    <xf numFmtId="166" fontId="6" fillId="56" borderId="49" xfId="182" applyFont="1" applyFill="1" applyBorder="1" applyAlignment="1" applyProtection="1">
      <alignment horizontal="left"/>
      <protection/>
    </xf>
    <xf numFmtId="166" fontId="5" fillId="52" borderId="50" xfId="182" applyFont="1" applyFill="1" applyBorder="1" applyAlignment="1" applyProtection="1">
      <alignment horizontal="left"/>
      <protection/>
    </xf>
    <xf numFmtId="166" fontId="5" fillId="52" borderId="22" xfId="182" applyFont="1" applyFill="1" applyBorder="1" applyAlignment="1" applyProtection="1">
      <alignment horizontal="left"/>
      <protection/>
    </xf>
    <xf numFmtId="166" fontId="16" fillId="52" borderId="32" xfId="182" applyFont="1" applyFill="1" applyBorder="1" applyAlignment="1" applyProtection="1">
      <alignment horizontal="center"/>
      <protection/>
    </xf>
    <xf numFmtId="166" fontId="16" fillId="52" borderId="0" xfId="182" applyFont="1" applyFill="1" applyBorder="1" applyAlignment="1" applyProtection="1">
      <alignment horizontal="center"/>
      <protection/>
    </xf>
    <xf numFmtId="166" fontId="16" fillId="52" borderId="35" xfId="182" applyFont="1" applyFill="1" applyBorder="1" applyAlignment="1" applyProtection="1">
      <alignment horizontal="center"/>
      <protection/>
    </xf>
    <xf numFmtId="166" fontId="16" fillId="52" borderId="38" xfId="182" applyFont="1" applyFill="1" applyBorder="1" applyAlignment="1" applyProtection="1">
      <alignment horizontal="center"/>
      <protection/>
    </xf>
    <xf numFmtId="166" fontId="16" fillId="52" borderId="29" xfId="182" applyFont="1" applyFill="1" applyBorder="1" applyAlignment="1" applyProtection="1">
      <alignment horizontal="center"/>
      <protection/>
    </xf>
    <xf numFmtId="166" fontId="16" fillId="52" borderId="39" xfId="182" applyFont="1" applyFill="1" applyBorder="1" applyAlignment="1" applyProtection="1">
      <alignment horizontal="center"/>
      <protection/>
    </xf>
    <xf numFmtId="166" fontId="5" fillId="54" borderId="110" xfId="182" applyFont="1" applyFill="1" applyBorder="1" applyAlignment="1" applyProtection="1">
      <alignment horizontal="left"/>
      <protection/>
    </xf>
    <xf numFmtId="166" fontId="5" fillId="54" borderId="109" xfId="182" applyFont="1" applyFill="1" applyBorder="1" applyAlignment="1" applyProtection="1">
      <alignment horizontal="left"/>
      <protection/>
    </xf>
    <xf numFmtId="166" fontId="23" fillId="52" borderId="22" xfId="182" applyFont="1" applyFill="1" applyBorder="1" applyAlignment="1" applyProtection="1">
      <alignment horizontal="center"/>
      <protection/>
    </xf>
    <xf numFmtId="166" fontId="3" fillId="52" borderId="28" xfId="182" applyFont="1" applyFill="1" applyBorder="1" applyAlignment="1" applyProtection="1">
      <alignment horizontal="center"/>
      <protection/>
    </xf>
    <xf numFmtId="166" fontId="24" fillId="56" borderId="30" xfId="182" applyFont="1" applyFill="1" applyBorder="1" applyAlignment="1" applyProtection="1">
      <alignment horizontal="center"/>
      <protection/>
    </xf>
    <xf numFmtId="166" fontId="24" fillId="56" borderId="31" xfId="182" applyFont="1" applyFill="1" applyBorder="1" applyAlignment="1" applyProtection="1">
      <alignment horizontal="center"/>
      <protection/>
    </xf>
    <xf numFmtId="166" fontId="24" fillId="56" borderId="36" xfId="182" applyFont="1" applyFill="1" applyBorder="1" applyAlignment="1" applyProtection="1">
      <alignment horizontal="center"/>
      <protection/>
    </xf>
    <xf numFmtId="165" fontId="3" fillId="56" borderId="29" xfId="181" applyFont="1" applyFill="1" applyBorder="1" applyAlignment="1" applyProtection="1">
      <alignment horizontal="left" vertical="top"/>
      <protection/>
    </xf>
    <xf numFmtId="166" fontId="3" fillId="52" borderId="84" xfId="182" applyFont="1" applyFill="1" applyBorder="1" applyAlignment="1" applyProtection="1">
      <alignment horizontal="center"/>
      <protection/>
    </xf>
    <xf numFmtId="166" fontId="6" fillId="56" borderId="0" xfId="182" applyFont="1" applyFill="1" applyBorder="1" applyAlignment="1" applyProtection="1">
      <alignment horizontal="left"/>
      <protection/>
    </xf>
    <xf numFmtId="166" fontId="3" fillId="52" borderId="111" xfId="182" applyFont="1" applyFill="1" applyBorder="1" applyAlignment="1" applyProtection="1">
      <alignment horizontal="center"/>
      <protection/>
    </xf>
    <xf numFmtId="166" fontId="3" fillId="52" borderId="92" xfId="182" applyFont="1" applyFill="1" applyBorder="1" applyAlignment="1" applyProtection="1">
      <alignment horizontal="center"/>
      <protection/>
    </xf>
    <xf numFmtId="166" fontId="3" fillId="0" borderId="0" xfId="182" applyFont="1" applyFill="1" applyBorder="1" applyAlignment="1" applyProtection="1">
      <alignment horizontal="center"/>
      <protection/>
    </xf>
    <xf numFmtId="0" fontId="0" fillId="0" borderId="50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51" xfId="0" applyFont="1" applyBorder="1" applyAlignment="1" applyProtection="1">
      <alignment horizontal="left"/>
      <protection locked="0"/>
    </xf>
    <xf numFmtId="0" fontId="1" fillId="0" borderId="111" xfId="0" applyFont="1" applyBorder="1" applyAlignment="1" applyProtection="1">
      <alignment horizontal="center"/>
      <protection/>
    </xf>
    <xf numFmtId="0" fontId="1" fillId="0" borderId="98" xfId="0" applyFont="1" applyBorder="1" applyAlignment="1" applyProtection="1">
      <alignment horizontal="center"/>
      <protection/>
    </xf>
    <xf numFmtId="0" fontId="1" fillId="0" borderId="92" xfId="0" applyFont="1" applyBorder="1" applyAlignment="1" applyProtection="1">
      <alignment horizontal="center"/>
      <protection/>
    </xf>
    <xf numFmtId="0" fontId="1" fillId="58" borderId="79" xfId="0" applyFont="1" applyFill="1" applyBorder="1" applyAlignment="1" applyProtection="1">
      <alignment horizontal="center" wrapText="1"/>
      <protection/>
    </xf>
    <xf numFmtId="0" fontId="1" fillId="58" borderId="40" xfId="0" applyFont="1" applyFill="1" applyBorder="1" applyAlignment="1" applyProtection="1">
      <alignment horizontal="center" wrapText="1"/>
      <protection/>
    </xf>
    <xf numFmtId="0" fontId="1" fillId="58" borderId="32" xfId="0" applyFont="1" applyFill="1" applyBorder="1" applyAlignment="1" applyProtection="1">
      <alignment horizontal="center" wrapText="1"/>
      <protection/>
    </xf>
    <xf numFmtId="0" fontId="1" fillId="58" borderId="0" xfId="0" applyFont="1" applyFill="1" applyBorder="1" applyAlignment="1" applyProtection="1">
      <alignment horizontal="center" wrapText="1"/>
      <protection/>
    </xf>
    <xf numFmtId="0" fontId="1" fillId="58" borderId="60" xfId="0" applyFont="1" applyFill="1" applyBorder="1" applyAlignment="1" applyProtection="1">
      <alignment horizontal="center" wrapText="1"/>
      <protection/>
    </xf>
    <xf numFmtId="0" fontId="1" fillId="58" borderId="28" xfId="0" applyFont="1" applyFill="1" applyBorder="1" applyAlignment="1" applyProtection="1">
      <alignment horizontal="center" wrapText="1"/>
      <protection/>
    </xf>
    <xf numFmtId="0" fontId="0" fillId="56" borderId="50" xfId="0" applyFont="1" applyFill="1" applyBorder="1" applyAlignment="1" applyProtection="1">
      <alignment horizontal="left"/>
      <protection locked="0"/>
    </xf>
    <xf numFmtId="0" fontId="0" fillId="56" borderId="22" xfId="0" applyFont="1" applyFill="1" applyBorder="1" applyAlignment="1" applyProtection="1">
      <alignment horizontal="left"/>
      <protection locked="0"/>
    </xf>
    <xf numFmtId="0" fontId="0" fillId="56" borderId="51" xfId="0" applyFont="1" applyFill="1" applyBorder="1" applyAlignment="1" applyProtection="1">
      <alignment horizontal="left"/>
      <protection locked="0"/>
    </xf>
    <xf numFmtId="0" fontId="1" fillId="56" borderId="111" xfId="0" applyFont="1" applyFill="1" applyBorder="1" applyAlignment="1" applyProtection="1">
      <alignment horizontal="center"/>
      <protection/>
    </xf>
    <xf numFmtId="0" fontId="1" fillId="56" borderId="98" xfId="0" applyFont="1" applyFill="1" applyBorder="1" applyAlignment="1" applyProtection="1">
      <alignment horizontal="center"/>
      <protection/>
    </xf>
    <xf numFmtId="0" fontId="1" fillId="56" borderId="92" xfId="0" applyFont="1" applyFill="1" applyBorder="1" applyAlignment="1" applyProtection="1">
      <alignment horizontal="center"/>
      <protection/>
    </xf>
    <xf numFmtId="0" fontId="0" fillId="56" borderId="0" xfId="0" applyFont="1" applyFill="1" applyBorder="1" applyAlignment="1" applyProtection="1">
      <alignment horizontal="center"/>
      <protection/>
    </xf>
    <xf numFmtId="0" fontId="1" fillId="58" borderId="41" xfId="0" applyFont="1" applyFill="1" applyBorder="1" applyAlignment="1" applyProtection="1">
      <alignment horizontal="center" wrapText="1"/>
      <protection/>
    </xf>
    <xf numFmtId="0" fontId="1" fillId="52" borderId="46" xfId="0" applyFont="1" applyFill="1" applyBorder="1" applyAlignment="1" applyProtection="1">
      <alignment horizontal="center" wrapText="1"/>
      <protection/>
    </xf>
    <xf numFmtId="0" fontId="2" fillId="56" borderId="97" xfId="0" applyFont="1" applyFill="1" applyBorder="1" applyAlignment="1" applyProtection="1">
      <alignment horizontal="center"/>
      <protection/>
    </xf>
    <xf numFmtId="0" fontId="2" fillId="56" borderId="37" xfId="0" applyFont="1" applyFill="1" applyBorder="1" applyAlignment="1" applyProtection="1">
      <alignment horizontal="center"/>
      <protection/>
    </xf>
    <xf numFmtId="0" fontId="2" fillId="56" borderId="31" xfId="0" applyFont="1" applyFill="1" applyBorder="1" applyAlignment="1" applyProtection="1">
      <alignment horizontal="center"/>
      <protection/>
    </xf>
    <xf numFmtId="0" fontId="2" fillId="56" borderId="95" xfId="0" applyFont="1" applyFill="1" applyBorder="1" applyAlignment="1" applyProtection="1">
      <alignment horizontal="center"/>
      <protection/>
    </xf>
    <xf numFmtId="0" fontId="1" fillId="52" borderId="28" xfId="0" applyFont="1" applyFill="1" applyBorder="1" applyAlignment="1" applyProtection="1">
      <alignment horizontal="center"/>
      <protection/>
    </xf>
    <xf numFmtId="0" fontId="1" fillId="52" borderId="35" xfId="0" applyFont="1" applyFill="1" applyBorder="1" applyAlignment="1" applyProtection="1">
      <alignment horizontal="center"/>
      <protection/>
    </xf>
    <xf numFmtId="0" fontId="12" fillId="27" borderId="50" xfId="0" applyFont="1" applyFill="1" applyBorder="1" applyAlignment="1" applyProtection="1">
      <alignment horizontal="left" wrapText="1"/>
      <protection/>
    </xf>
    <xf numFmtId="0" fontId="12" fillId="27" borderId="22" xfId="0" applyFont="1" applyFill="1" applyBorder="1" applyAlignment="1" applyProtection="1">
      <alignment horizontal="left" wrapText="1"/>
      <protection/>
    </xf>
    <xf numFmtId="0" fontId="1" fillId="52" borderId="50" xfId="0" applyFont="1" applyFill="1" applyBorder="1" applyAlignment="1" applyProtection="1">
      <alignment horizontal="center" wrapText="1"/>
      <protection/>
    </xf>
    <xf numFmtId="0" fontId="1" fillId="52" borderId="22" xfId="0" applyFont="1" applyFill="1" applyBorder="1" applyAlignment="1" applyProtection="1">
      <alignment horizontal="center" wrapText="1"/>
      <protection/>
    </xf>
    <xf numFmtId="0" fontId="1" fillId="52" borderId="51" xfId="0" applyFont="1" applyFill="1" applyBorder="1" applyAlignment="1" applyProtection="1">
      <alignment horizontal="center" wrapText="1"/>
      <protection/>
    </xf>
    <xf numFmtId="0" fontId="0" fillId="0" borderId="50" xfId="0" applyFont="1" applyFill="1" applyBorder="1" applyAlignment="1" applyProtection="1">
      <alignment horizontal="left"/>
      <protection locked="0"/>
    </xf>
    <xf numFmtId="0" fontId="0" fillId="0" borderId="22" xfId="0" applyFont="1" applyFill="1" applyBorder="1" applyAlignment="1" applyProtection="1">
      <alignment horizontal="left"/>
      <protection locked="0"/>
    </xf>
    <xf numFmtId="0" fontId="0" fillId="0" borderId="51" xfId="0" applyFont="1" applyFill="1" applyBorder="1" applyAlignment="1" applyProtection="1">
      <alignment horizontal="left"/>
      <protection locked="0"/>
    </xf>
    <xf numFmtId="0" fontId="1" fillId="58" borderId="49" xfId="0" applyFont="1" applyFill="1" applyBorder="1" applyAlignment="1" applyProtection="1">
      <alignment horizontal="center" wrapText="1"/>
      <protection/>
    </xf>
    <xf numFmtId="0" fontId="1" fillId="52" borderId="112" xfId="0" applyFont="1" applyFill="1" applyBorder="1" applyAlignment="1" applyProtection="1">
      <alignment horizontal="center" wrapText="1"/>
      <protection/>
    </xf>
    <xf numFmtId="0" fontId="1" fillId="52" borderId="37" xfId="0" applyFont="1" applyFill="1" applyBorder="1" applyAlignment="1" applyProtection="1">
      <alignment horizontal="center" wrapText="1"/>
      <protection/>
    </xf>
    <xf numFmtId="0" fontId="1" fillId="52" borderId="113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1" fillId="0" borderId="99" xfId="0" applyFont="1" applyBorder="1" applyAlignment="1" applyProtection="1">
      <alignment horizontal="center"/>
      <protection/>
    </xf>
    <xf numFmtId="0" fontId="1" fillId="52" borderId="42" xfId="0" applyFont="1" applyFill="1" applyBorder="1" applyAlignment="1" applyProtection="1">
      <alignment horizontal="center" wrapText="1"/>
      <protection/>
    </xf>
    <xf numFmtId="0" fontId="0" fillId="0" borderId="50" xfId="0" applyFont="1" applyBorder="1" applyAlignment="1" applyProtection="1">
      <alignment horizontal="left"/>
      <protection/>
    </xf>
    <xf numFmtId="0" fontId="0" fillId="0" borderId="22" xfId="0" applyFont="1" applyBorder="1" applyAlignment="1" applyProtection="1">
      <alignment horizontal="left"/>
      <protection/>
    </xf>
    <xf numFmtId="0" fontId="0" fillId="0" borderId="51" xfId="0" applyFont="1" applyBorder="1" applyAlignment="1" applyProtection="1">
      <alignment horizontal="left"/>
      <protection/>
    </xf>
    <xf numFmtId="14" fontId="3" fillId="56" borderId="31" xfId="181" applyNumberFormat="1" applyFont="1" applyFill="1" applyBorder="1" applyAlignment="1" applyProtection="1">
      <alignment horizontal="center"/>
      <protection/>
    </xf>
    <xf numFmtId="164" fontId="3" fillId="56" borderId="77" xfId="96" applyNumberFormat="1" applyFont="1" applyFill="1" applyBorder="1" applyAlignment="1" applyProtection="1">
      <alignment horizontal="right" wrapText="1"/>
      <protection/>
    </xf>
    <xf numFmtId="164" fontId="3" fillId="56" borderId="56" xfId="96" applyNumberFormat="1" applyFont="1" applyFill="1" applyBorder="1" applyAlignment="1" applyProtection="1">
      <alignment horizontal="right" wrapText="1"/>
      <protection/>
    </xf>
    <xf numFmtId="165" fontId="3" fillId="56" borderId="0" xfId="181" applyFont="1" applyFill="1" applyBorder="1" applyAlignment="1" applyProtection="1">
      <alignment horizontal="left" wrapText="1"/>
      <protection/>
    </xf>
    <xf numFmtId="164" fontId="3" fillId="56" borderId="41" xfId="96" applyNumberFormat="1" applyFont="1" applyFill="1" applyBorder="1" applyAlignment="1" applyProtection="1">
      <alignment horizontal="right"/>
      <protection/>
    </xf>
    <xf numFmtId="164" fontId="3" fillId="56" borderId="57" xfId="96" applyNumberFormat="1" applyFont="1" applyFill="1" applyBorder="1" applyAlignment="1" applyProtection="1">
      <alignment horizontal="right"/>
      <protection/>
    </xf>
    <xf numFmtId="165" fontId="3" fillId="56" borderId="0" xfId="181" applyFont="1" applyFill="1" applyBorder="1" applyAlignment="1" applyProtection="1">
      <alignment wrapText="1"/>
      <protection/>
    </xf>
    <xf numFmtId="165" fontId="3" fillId="52" borderId="93" xfId="181" applyFont="1" applyFill="1" applyBorder="1" applyAlignment="1" applyProtection="1">
      <alignment horizontal="center"/>
      <protection/>
    </xf>
    <xf numFmtId="165" fontId="3" fillId="52" borderId="96" xfId="181" applyFont="1" applyFill="1" applyBorder="1" applyAlignment="1" applyProtection="1">
      <alignment horizontal="center"/>
      <protection/>
    </xf>
    <xf numFmtId="165" fontId="3" fillId="52" borderId="108" xfId="181" applyFont="1" applyFill="1" applyBorder="1" applyAlignment="1" applyProtection="1">
      <alignment horizontal="center"/>
      <protection/>
    </xf>
    <xf numFmtId="10" fontId="3" fillId="56" borderId="41" xfId="189" applyNumberFormat="1" applyFont="1" applyFill="1" applyBorder="1" applyAlignment="1" applyProtection="1">
      <alignment horizontal="right"/>
      <protection/>
    </xf>
    <xf numFmtId="10" fontId="3" fillId="56" borderId="57" xfId="189" applyNumberFormat="1" applyFont="1" applyFill="1" applyBorder="1" applyAlignment="1" applyProtection="1">
      <alignment horizontal="right"/>
      <protection/>
    </xf>
    <xf numFmtId="41" fontId="3" fillId="56" borderId="0" xfId="181" applyNumberFormat="1" applyFont="1" applyFill="1" applyBorder="1" applyAlignment="1" applyProtection="1">
      <alignment horizontal="left" vertical="top"/>
      <protection locked="0"/>
    </xf>
    <xf numFmtId="41" fontId="3" fillId="56" borderId="35" xfId="181" applyNumberFormat="1" applyFont="1" applyFill="1" applyBorder="1" applyAlignment="1" applyProtection="1">
      <alignment horizontal="left" vertical="top"/>
      <protection locked="0"/>
    </xf>
    <xf numFmtId="165" fontId="4" fillId="56" borderId="38" xfId="181" applyFill="1" applyBorder="1" applyAlignment="1" applyProtection="1">
      <alignment horizontal="left" vertical="top" wrapText="1"/>
      <protection locked="0"/>
    </xf>
    <xf numFmtId="165" fontId="4" fillId="56" borderId="29" xfId="181" applyFill="1" applyBorder="1" applyAlignment="1" applyProtection="1">
      <alignment horizontal="left" vertical="top" wrapText="1"/>
      <protection locked="0"/>
    </xf>
    <xf numFmtId="165" fontId="4" fillId="56" borderId="39" xfId="181" applyFill="1" applyBorder="1" applyAlignment="1" applyProtection="1">
      <alignment horizontal="left" vertical="top" wrapText="1"/>
      <protection locked="0"/>
    </xf>
    <xf numFmtId="165" fontId="4" fillId="56" borderId="0" xfId="181" applyFill="1" applyAlignment="1" applyProtection="1">
      <alignment horizontal="center"/>
      <protection/>
    </xf>
    <xf numFmtId="165" fontId="3" fillId="56" borderId="0" xfId="181" applyFont="1" applyFill="1" applyBorder="1" applyAlignment="1" applyProtection="1">
      <alignment horizontal="right"/>
      <protection/>
    </xf>
    <xf numFmtId="165" fontId="3" fillId="56" borderId="35" xfId="181" applyFont="1" applyFill="1" applyBorder="1" applyAlignment="1" applyProtection="1">
      <alignment horizontal="right"/>
      <protection/>
    </xf>
    <xf numFmtId="164" fontId="3" fillId="56" borderId="0" xfId="96" applyNumberFormat="1" applyFont="1" applyFill="1" applyBorder="1" applyAlignment="1" applyProtection="1">
      <alignment horizontal="right"/>
      <protection/>
    </xf>
    <xf numFmtId="164" fontId="3" fillId="56" borderId="35" xfId="96" applyNumberFormat="1" applyFont="1" applyFill="1" applyBorder="1" applyAlignment="1" applyProtection="1">
      <alignment horizontal="right"/>
      <protection/>
    </xf>
    <xf numFmtId="164" fontId="3" fillId="56" borderId="84" xfId="96" applyNumberFormat="1" applyFont="1" applyFill="1" applyBorder="1" applyAlignment="1" applyProtection="1">
      <alignment horizontal="right"/>
      <protection/>
    </xf>
    <xf numFmtId="164" fontId="3" fillId="56" borderId="85" xfId="96" applyNumberFormat="1" applyFont="1" applyFill="1" applyBorder="1" applyAlignment="1" applyProtection="1">
      <alignment horizontal="right"/>
      <protection/>
    </xf>
    <xf numFmtId="165" fontId="3" fillId="56" borderId="0" xfId="181" applyFont="1" applyFill="1" applyBorder="1" applyAlignment="1" applyProtection="1">
      <alignment horizontal="left"/>
      <protection/>
    </xf>
    <xf numFmtId="41" fontId="3" fillId="56" borderId="29" xfId="181" applyNumberFormat="1" applyFont="1" applyFill="1" applyBorder="1" applyAlignment="1" applyProtection="1">
      <alignment horizontal="left" vertical="top"/>
      <protection locked="0"/>
    </xf>
    <xf numFmtId="43" fontId="3" fillId="56" borderId="84" xfId="96" applyFont="1" applyFill="1" applyBorder="1" applyAlignment="1" applyProtection="1">
      <alignment horizontal="right"/>
      <protection/>
    </xf>
    <xf numFmtId="43" fontId="3" fillId="56" borderId="85" xfId="96" applyFont="1" applyFill="1" applyBorder="1" applyAlignment="1" applyProtection="1">
      <alignment horizontal="right"/>
      <protection/>
    </xf>
    <xf numFmtId="165" fontId="4" fillId="56" borderId="0" xfId="181" applyFont="1" applyFill="1" applyBorder="1" applyAlignment="1" applyProtection="1">
      <alignment horizontal="right"/>
      <protection/>
    </xf>
    <xf numFmtId="165" fontId="4" fillId="56" borderId="35" xfId="181" applyFont="1" applyFill="1" applyBorder="1" applyAlignment="1" applyProtection="1">
      <alignment horizontal="right"/>
      <protection/>
    </xf>
    <xf numFmtId="165" fontId="4" fillId="56" borderId="0" xfId="181" applyFill="1" applyBorder="1" applyAlignment="1" applyProtection="1">
      <alignment horizontal="left" vertical="top" wrapText="1"/>
      <protection locked="0"/>
    </xf>
    <xf numFmtId="164" fontId="3" fillId="56" borderId="41" xfId="96" applyNumberFormat="1" applyFont="1" applyFill="1" applyBorder="1" applyAlignment="1" applyProtection="1">
      <alignment horizontal="right" wrapText="1"/>
      <protection/>
    </xf>
    <xf numFmtId="164" fontId="3" fillId="56" borderId="57" xfId="96" applyNumberFormat="1" applyFont="1" applyFill="1" applyBorder="1" applyAlignment="1" applyProtection="1">
      <alignment horizontal="right" wrapText="1"/>
      <protection/>
    </xf>
    <xf numFmtId="0" fontId="1" fillId="52" borderId="98" xfId="0" applyFont="1" applyFill="1" applyBorder="1" applyAlignment="1" applyProtection="1">
      <alignment horizontal="center" wrapText="1"/>
      <protection/>
    </xf>
    <xf numFmtId="0" fontId="1" fillId="52" borderId="61" xfId="0" applyFont="1" applyFill="1" applyBorder="1" applyAlignment="1" applyProtection="1">
      <alignment horizontal="center" wrapText="1"/>
      <protection/>
    </xf>
    <xf numFmtId="0" fontId="0" fillId="56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 locked="0"/>
    </xf>
    <xf numFmtId="0" fontId="1" fillId="56" borderId="0" xfId="0" applyFont="1" applyFill="1" applyAlignment="1" applyProtection="1">
      <alignment horizontal="right"/>
      <protection/>
    </xf>
    <xf numFmtId="37" fontId="4" fillId="56" borderId="23" xfId="181" applyNumberFormat="1" applyFont="1" applyFill="1" applyBorder="1" applyAlignment="1" applyProtection="1">
      <alignment wrapText="1"/>
      <protection/>
    </xf>
    <xf numFmtId="37" fontId="4" fillId="56" borderId="24" xfId="181" applyNumberFormat="1" applyFont="1" applyFill="1" applyBorder="1" applyAlignment="1" applyProtection="1">
      <alignment wrapText="1"/>
      <protection/>
    </xf>
    <xf numFmtId="37" fontId="3" fillId="56" borderId="84" xfId="181" applyNumberFormat="1" applyFont="1" applyFill="1" applyBorder="1" applyAlignment="1" applyProtection="1">
      <alignment wrapText="1"/>
      <protection/>
    </xf>
    <xf numFmtId="37" fontId="3" fillId="56" borderId="23" xfId="181" applyNumberFormat="1" applyFont="1" applyFill="1" applyBorder="1" applyAlignment="1" applyProtection="1">
      <alignment wrapText="1"/>
      <protection/>
    </xf>
    <xf numFmtId="37" fontId="3" fillId="56" borderId="24" xfId="181" applyNumberFormat="1" applyFont="1" applyFill="1" applyBorder="1" applyAlignment="1" applyProtection="1">
      <alignment wrapText="1"/>
      <protection/>
    </xf>
    <xf numFmtId="165" fontId="3" fillId="56" borderId="22" xfId="181" applyFont="1" applyFill="1" applyBorder="1" applyAlignment="1" applyProtection="1">
      <alignment horizontal="center" wrapText="1"/>
      <protection locked="0"/>
    </xf>
    <xf numFmtId="165" fontId="3" fillId="56" borderId="28" xfId="181" applyFont="1" applyFill="1" applyBorder="1" applyAlignment="1" applyProtection="1">
      <alignment horizontal="center" wrapText="1"/>
      <protection locked="0"/>
    </xf>
    <xf numFmtId="165" fontId="3" fillId="56" borderId="0" xfId="181" applyFont="1" applyFill="1" applyBorder="1" applyAlignment="1" applyProtection="1">
      <alignment horizontal="left" wrapText="1"/>
      <protection locked="0"/>
    </xf>
    <xf numFmtId="37" fontId="4" fillId="56" borderId="41" xfId="181" applyNumberFormat="1" applyFont="1" applyFill="1" applyBorder="1" applyAlignment="1" applyProtection="1">
      <alignment wrapText="1"/>
      <protection locked="0"/>
    </xf>
    <xf numFmtId="165" fontId="3" fillId="56" borderId="0" xfId="181" applyFont="1" applyFill="1" applyBorder="1" applyAlignment="1" applyProtection="1">
      <alignment horizontal="center" wrapText="1"/>
      <protection/>
    </xf>
    <xf numFmtId="37" fontId="4" fillId="56" borderId="50" xfId="181" applyNumberFormat="1" applyFont="1" applyFill="1" applyBorder="1" applyAlignment="1" applyProtection="1">
      <alignment wrapText="1"/>
      <protection locked="0"/>
    </xf>
    <xf numFmtId="37" fontId="4" fillId="56" borderId="51" xfId="181" applyNumberFormat="1" applyFont="1" applyFill="1" applyBorder="1" applyAlignment="1" applyProtection="1">
      <alignment wrapText="1"/>
      <protection locked="0"/>
    </xf>
    <xf numFmtId="37" fontId="4" fillId="56" borderId="0" xfId="181" applyNumberFormat="1" applyFont="1" applyFill="1" applyBorder="1" applyAlignment="1" applyProtection="1">
      <alignment wrapText="1"/>
      <protection/>
    </xf>
    <xf numFmtId="165" fontId="3" fillId="56" borderId="96" xfId="181" applyFont="1" applyFill="1" applyBorder="1" applyAlignment="1" applyProtection="1">
      <alignment horizontal="left"/>
      <protection/>
    </xf>
    <xf numFmtId="165" fontId="3" fillId="56" borderId="108" xfId="181" applyFont="1" applyFill="1" applyBorder="1" applyAlignment="1" applyProtection="1">
      <alignment horizontal="left"/>
      <protection/>
    </xf>
    <xf numFmtId="41" fontId="3" fillId="56" borderId="0" xfId="181" applyNumberFormat="1" applyFont="1" applyFill="1" applyBorder="1" applyAlignment="1" applyProtection="1">
      <alignment horizontal="left" vertical="top"/>
      <protection/>
    </xf>
    <xf numFmtId="41" fontId="3" fillId="56" borderId="35" xfId="181" applyNumberFormat="1" applyFont="1" applyFill="1" applyBorder="1" applyAlignment="1" applyProtection="1">
      <alignment horizontal="left" vertical="top"/>
      <protection/>
    </xf>
    <xf numFmtId="165" fontId="4" fillId="56" borderId="38" xfId="181" applyFill="1" applyBorder="1" applyAlignment="1" applyProtection="1">
      <alignment horizontal="left" vertical="top" wrapText="1"/>
      <protection/>
    </xf>
    <xf numFmtId="165" fontId="4" fillId="56" borderId="29" xfId="181" applyFill="1" applyBorder="1" applyAlignment="1" applyProtection="1">
      <alignment horizontal="left" vertical="top" wrapText="1"/>
      <protection/>
    </xf>
    <xf numFmtId="165" fontId="4" fillId="56" borderId="39" xfId="181" applyFill="1" applyBorder="1" applyAlignment="1" applyProtection="1">
      <alignment horizontal="left" vertical="top" wrapText="1"/>
      <protection/>
    </xf>
    <xf numFmtId="165" fontId="3" fillId="58" borderId="93" xfId="181" applyFont="1" applyFill="1" applyBorder="1" applyAlignment="1" applyProtection="1">
      <alignment horizontal="center"/>
      <protection/>
    </xf>
    <xf numFmtId="165" fontId="3" fillId="58" borderId="96" xfId="181" applyFont="1" applyFill="1" applyBorder="1" applyAlignment="1" applyProtection="1">
      <alignment horizontal="center"/>
      <protection/>
    </xf>
    <xf numFmtId="165" fontId="3" fillId="58" borderId="31" xfId="181" applyFont="1" applyFill="1" applyBorder="1" applyAlignment="1" applyProtection="1">
      <alignment horizontal="center"/>
      <protection/>
    </xf>
    <xf numFmtId="165" fontId="3" fillId="58" borderId="36" xfId="181" applyFont="1" applyFill="1" applyBorder="1" applyAlignment="1" applyProtection="1">
      <alignment horizontal="center"/>
      <protection/>
    </xf>
    <xf numFmtId="165" fontId="3" fillId="56" borderId="30" xfId="181" applyFont="1" applyFill="1" applyBorder="1" applyAlignment="1" applyProtection="1">
      <alignment horizontal="center" wrapText="1"/>
      <protection/>
    </xf>
    <xf numFmtId="165" fontId="3" fillId="56" borderId="31" xfId="181" applyFont="1" applyFill="1" applyBorder="1" applyAlignment="1" applyProtection="1">
      <alignment horizontal="center" wrapText="1"/>
      <protection/>
    </xf>
    <xf numFmtId="165" fontId="3" fillId="58" borderId="30" xfId="181" applyFont="1" applyFill="1" applyBorder="1" applyAlignment="1" applyProtection="1">
      <alignment horizontal="center"/>
      <protection/>
    </xf>
    <xf numFmtId="165" fontId="3" fillId="56" borderId="93" xfId="181" applyFont="1" applyFill="1" applyBorder="1" applyAlignment="1" applyProtection="1">
      <alignment horizontal="center"/>
      <protection/>
    </xf>
    <xf numFmtId="165" fontId="3" fillId="56" borderId="96" xfId="181" applyFont="1" applyFill="1" applyBorder="1" applyAlignment="1" applyProtection="1">
      <alignment horizontal="center"/>
      <protection/>
    </xf>
    <xf numFmtId="165" fontId="3" fillId="56" borderId="108" xfId="181" applyFont="1" applyFill="1" applyBorder="1" applyAlignment="1" applyProtection="1">
      <alignment horizontal="center"/>
      <protection/>
    </xf>
    <xf numFmtId="37" fontId="3" fillId="56" borderId="85" xfId="181" applyNumberFormat="1" applyFont="1" applyFill="1" applyBorder="1" applyAlignment="1" applyProtection="1">
      <alignment wrapText="1"/>
      <protection/>
    </xf>
    <xf numFmtId="37" fontId="3" fillId="56" borderId="41" xfId="181" applyNumberFormat="1" applyFont="1" applyFill="1" applyBorder="1" applyAlignment="1" applyProtection="1">
      <alignment wrapText="1"/>
      <protection/>
    </xf>
    <xf numFmtId="37" fontId="3" fillId="56" borderId="57" xfId="181" applyNumberFormat="1" applyFont="1" applyFill="1" applyBorder="1" applyAlignment="1" applyProtection="1">
      <alignment wrapText="1"/>
      <protection/>
    </xf>
    <xf numFmtId="165" fontId="4" fillId="56" borderId="46" xfId="181" applyFont="1" applyFill="1" applyBorder="1" applyAlignment="1" applyProtection="1">
      <alignment horizontal="center" wrapText="1"/>
      <protection locked="0"/>
    </xf>
    <xf numFmtId="165" fontId="4" fillId="56" borderId="34" xfId="181" applyFont="1" applyFill="1" applyBorder="1" applyAlignment="1" applyProtection="1">
      <alignment horizontal="center" wrapText="1"/>
      <protection locked="0"/>
    </xf>
    <xf numFmtId="165" fontId="4" fillId="56" borderId="23" xfId="181" applyFont="1" applyFill="1" applyBorder="1" applyAlignment="1" applyProtection="1">
      <alignment horizontal="center" wrapText="1"/>
      <protection locked="0"/>
    </xf>
    <xf numFmtId="165" fontId="4" fillId="56" borderId="66" xfId="181" applyFont="1" applyFill="1" applyBorder="1" applyAlignment="1" applyProtection="1">
      <alignment horizontal="center" wrapText="1"/>
      <protection locked="0"/>
    </xf>
    <xf numFmtId="37" fontId="3" fillId="56" borderId="50" xfId="181" applyNumberFormat="1" applyFont="1" applyFill="1" applyBorder="1" applyAlignment="1" applyProtection="1">
      <alignment wrapText="1"/>
      <protection/>
    </xf>
    <xf numFmtId="37" fontId="3" fillId="56" borderId="62" xfId="181" applyNumberFormat="1" applyFont="1" applyFill="1" applyBorder="1" applyAlignment="1" applyProtection="1">
      <alignment wrapText="1"/>
      <protection/>
    </xf>
    <xf numFmtId="165" fontId="3" fillId="56" borderId="35" xfId="181" applyFont="1" applyFill="1" applyBorder="1" applyAlignment="1" applyProtection="1">
      <alignment horizontal="center" wrapText="1"/>
      <protection/>
    </xf>
    <xf numFmtId="165" fontId="3" fillId="56" borderId="93" xfId="181" applyFont="1" applyFill="1" applyBorder="1" applyAlignment="1" applyProtection="1">
      <alignment horizontal="left"/>
      <protection/>
    </xf>
    <xf numFmtId="165" fontId="4" fillId="56" borderId="26" xfId="181" applyFont="1" applyFill="1" applyBorder="1" applyAlignment="1" applyProtection="1">
      <alignment horizontal="center" wrapText="1"/>
      <protection locked="0"/>
    </xf>
    <xf numFmtId="165" fontId="4" fillId="56" borderId="55" xfId="181" applyFont="1" applyFill="1" applyBorder="1" applyAlignment="1" applyProtection="1">
      <alignment horizontal="center" wrapText="1"/>
      <protection locked="0"/>
    </xf>
    <xf numFmtId="165" fontId="4" fillId="56" borderId="0" xfId="181" applyFont="1" applyFill="1" applyBorder="1" applyAlignment="1" applyProtection="1">
      <alignment horizontal="center" wrapText="1"/>
      <protection locked="0"/>
    </xf>
    <xf numFmtId="165" fontId="4" fillId="56" borderId="35" xfId="181" applyFont="1" applyFill="1" applyBorder="1" applyAlignment="1" applyProtection="1">
      <alignment horizontal="center" wrapText="1"/>
      <protection locked="0"/>
    </xf>
    <xf numFmtId="165" fontId="3" fillId="56" borderId="0" xfId="181" applyFont="1" applyFill="1" applyBorder="1" applyAlignment="1" applyProtection="1">
      <alignment horizontal="center"/>
      <protection/>
    </xf>
    <xf numFmtId="165" fontId="16" fillId="56" borderId="30" xfId="181" applyFont="1" applyFill="1" applyBorder="1" applyAlignment="1" applyProtection="1">
      <alignment horizontal="center" vertical="center"/>
      <protection locked="0"/>
    </xf>
    <xf numFmtId="165" fontId="16" fillId="56" borderId="31" xfId="181" applyFont="1" applyFill="1" applyBorder="1" applyAlignment="1" applyProtection="1">
      <alignment horizontal="center" vertical="center"/>
      <protection locked="0"/>
    </xf>
    <xf numFmtId="165" fontId="16" fillId="56" borderId="36" xfId="181" applyFont="1" applyFill="1" applyBorder="1" applyAlignment="1" applyProtection="1">
      <alignment horizontal="center" vertical="center"/>
      <protection locked="0"/>
    </xf>
    <xf numFmtId="165" fontId="16" fillId="56" borderId="38" xfId="181" applyFont="1" applyFill="1" applyBorder="1" applyAlignment="1" applyProtection="1">
      <alignment horizontal="center" vertical="center"/>
      <protection locked="0"/>
    </xf>
    <xf numFmtId="165" fontId="16" fillId="56" borderId="29" xfId="181" applyFont="1" applyFill="1" applyBorder="1" applyAlignment="1" applyProtection="1">
      <alignment horizontal="center" vertical="center"/>
      <protection locked="0"/>
    </xf>
    <xf numFmtId="165" fontId="16" fillId="56" borderId="39" xfId="181" applyFont="1" applyFill="1" applyBorder="1" applyAlignment="1" applyProtection="1">
      <alignment horizontal="center" vertical="center"/>
      <protection locked="0"/>
    </xf>
    <xf numFmtId="165" fontId="16" fillId="56" borderId="93" xfId="181" applyFont="1" applyFill="1" applyBorder="1" applyAlignment="1" applyProtection="1">
      <alignment horizontal="center" vertical="center"/>
      <protection/>
    </xf>
    <xf numFmtId="165" fontId="16" fillId="56" borderId="96" xfId="181" applyFont="1" applyFill="1" applyBorder="1" applyAlignment="1" applyProtection="1">
      <alignment horizontal="center" vertical="center"/>
      <protection/>
    </xf>
    <xf numFmtId="165" fontId="16" fillId="56" borderId="108" xfId="181" applyFont="1" applyFill="1" applyBorder="1" applyAlignment="1" applyProtection="1">
      <alignment horizontal="center" vertical="center"/>
      <protection/>
    </xf>
    <xf numFmtId="164" fontId="1" fillId="0" borderId="99" xfId="0" applyNumberFormat="1" applyFont="1" applyBorder="1" applyAlignment="1">
      <alignment/>
    </xf>
    <xf numFmtId="0" fontId="81" fillId="0" borderId="0" xfId="0" applyFont="1" applyFill="1" applyBorder="1" applyAlignment="1">
      <alignment/>
    </xf>
    <xf numFmtId="0" fontId="76" fillId="0" borderId="100" xfId="0" applyFont="1" applyFill="1" applyBorder="1" applyAlignment="1">
      <alignment/>
    </xf>
    <xf numFmtId="164" fontId="0" fillId="0" borderId="0" xfId="96" applyNumberFormat="1" applyFont="1" applyFill="1" applyAlignment="1">
      <alignment/>
    </xf>
    <xf numFmtId="40" fontId="1" fillId="12" borderId="0" xfId="0" applyNumberFormat="1" applyFont="1" applyFill="1" applyAlignment="1">
      <alignment/>
    </xf>
    <xf numFmtId="191" fontId="1" fillId="12" borderId="0" xfId="0" applyNumberFormat="1" applyFont="1" applyFill="1" applyAlignment="1">
      <alignment/>
    </xf>
    <xf numFmtId="43" fontId="1" fillId="12" borderId="0" xfId="100" applyFont="1" applyFill="1" applyAlignment="1">
      <alignment/>
    </xf>
    <xf numFmtId="164" fontId="0" fillId="12" borderId="0" xfId="0" applyNumberFormat="1" applyFill="1" applyAlignment="1">
      <alignment/>
    </xf>
    <xf numFmtId="164" fontId="0" fillId="12" borderId="0" xfId="0" applyNumberFormat="1" applyFill="1" applyBorder="1" applyAlignment="1">
      <alignment/>
    </xf>
    <xf numFmtId="164" fontId="0" fillId="12" borderId="0" xfId="96" applyNumberFormat="1" applyFont="1" applyFill="1" applyAlignment="1">
      <alignment/>
    </xf>
    <xf numFmtId="164" fontId="0" fillId="12" borderId="0" xfId="0" applyNumberFormat="1" applyFont="1" applyFill="1" applyBorder="1" applyAlignment="1">
      <alignment/>
    </xf>
    <xf numFmtId="164" fontId="0" fillId="0" borderId="0" xfId="96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39" fontId="0" fillId="0" borderId="57" xfId="99" applyNumberFormat="1" applyFont="1" applyFill="1" applyBorder="1" applyAlignment="1" applyProtection="1">
      <alignment/>
      <protection/>
    </xf>
    <xf numFmtId="39" fontId="0" fillId="0" borderId="56" xfId="99" applyNumberFormat="1" applyFont="1" applyFill="1" applyBorder="1" applyAlignment="1" applyProtection="1">
      <alignment/>
      <protection/>
    </xf>
    <xf numFmtId="164" fontId="0" fillId="0" borderId="41" xfId="100" applyNumberFormat="1" applyFont="1" applyFill="1" applyBorder="1" applyAlignment="1">
      <alignment/>
    </xf>
    <xf numFmtId="164" fontId="0" fillId="21" borderId="0" xfId="100" applyNumberFormat="1" applyFont="1" applyFill="1" applyAlignment="1">
      <alignment/>
    </xf>
    <xf numFmtId="43" fontId="0" fillId="21" borderId="0" xfId="100" applyFont="1" applyFill="1" applyAlignment="1">
      <alignment/>
    </xf>
    <xf numFmtId="164" fontId="0" fillId="0" borderId="0" xfId="100" applyNumberFormat="1" applyFont="1" applyAlignment="1">
      <alignment/>
    </xf>
    <xf numFmtId="37" fontId="1" fillId="62" borderId="0" xfId="96" applyNumberFormat="1" applyFont="1" applyFill="1" applyBorder="1" applyAlignment="1" applyProtection="1">
      <alignment/>
      <protection/>
    </xf>
    <xf numFmtId="39" fontId="1" fillId="62" borderId="35" xfId="96" applyNumberFormat="1" applyFont="1" applyFill="1" applyBorder="1" applyAlignment="1" applyProtection="1">
      <alignment/>
      <protection/>
    </xf>
    <xf numFmtId="37" fontId="0" fillId="56" borderId="49" xfId="99" applyNumberFormat="1" applyFont="1" applyFill="1" applyBorder="1" applyAlignment="1" applyProtection="1">
      <alignment/>
      <protection locked="0"/>
    </xf>
    <xf numFmtId="164" fontId="0" fillId="60" borderId="0" xfId="100" applyNumberFormat="1" applyFont="1" applyFill="1" applyAlignment="1">
      <alignment/>
    </xf>
    <xf numFmtId="39" fontId="0" fillId="0" borderId="57" xfId="99" applyNumberFormat="1" applyFont="1" applyFill="1" applyBorder="1" applyAlignment="1" applyProtection="1">
      <alignment/>
      <protection/>
    </xf>
    <xf numFmtId="39" fontId="0" fillId="0" borderId="56" xfId="99" applyNumberFormat="1" applyFont="1" applyFill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 locked="0"/>
    </xf>
  </cellXfs>
  <cellStyles count="199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10" xfId="98"/>
    <cellStyle name="Comma 11" xfId="99"/>
    <cellStyle name="Comma 12" xfId="100"/>
    <cellStyle name="Comma 13" xfId="101"/>
    <cellStyle name="Comma 14" xfId="102"/>
    <cellStyle name="Comma 2" xfId="103"/>
    <cellStyle name="Comma 2 2" xfId="104"/>
    <cellStyle name="Comma 2 3" xfId="105"/>
    <cellStyle name="Comma 3" xfId="106"/>
    <cellStyle name="Comma 4" xfId="107"/>
    <cellStyle name="Comma 4 2" xfId="108"/>
    <cellStyle name="Comma 4 3" xfId="109"/>
    <cellStyle name="Comma 5" xfId="110"/>
    <cellStyle name="Comma 5 2" xfId="111"/>
    <cellStyle name="Comma 6" xfId="112"/>
    <cellStyle name="Comma 6 2" xfId="113"/>
    <cellStyle name="Comma 7" xfId="114"/>
    <cellStyle name="Comma 8" xfId="115"/>
    <cellStyle name="Comma 9" xfId="116"/>
    <cellStyle name="Currency" xfId="117"/>
    <cellStyle name="Currency [0]" xfId="118"/>
    <cellStyle name="Currency 2" xfId="119"/>
    <cellStyle name="Currency 2 2" xfId="120"/>
    <cellStyle name="Currency 3" xfId="121"/>
    <cellStyle name="Currency 3 2" xfId="122"/>
    <cellStyle name="Currency 4" xfId="123"/>
    <cellStyle name="Currency 4 2" xfId="124"/>
    <cellStyle name="Currency 5" xfId="125"/>
    <cellStyle name="Currency 6" xfId="126"/>
    <cellStyle name="Currency 7" xfId="127"/>
    <cellStyle name="Explanatory Text" xfId="128"/>
    <cellStyle name="Explanatory Text 2" xfId="129"/>
    <cellStyle name="Explanatory Text 3" xfId="130"/>
    <cellStyle name="Followed Hyperlink" xfId="131"/>
    <cellStyle name="FRxAmtStyle" xfId="132"/>
    <cellStyle name="Good" xfId="133"/>
    <cellStyle name="Good 2" xfId="134"/>
    <cellStyle name="Good 3" xfId="135"/>
    <cellStyle name="Heading 1" xfId="136"/>
    <cellStyle name="Heading 1 2" xfId="137"/>
    <cellStyle name="Heading 1 3" xfId="138"/>
    <cellStyle name="Heading 2" xfId="139"/>
    <cellStyle name="Heading 2 2" xfId="140"/>
    <cellStyle name="Heading 2 3" xfId="141"/>
    <cellStyle name="Heading 3" xfId="142"/>
    <cellStyle name="Heading 3 2" xfId="143"/>
    <cellStyle name="Heading 3 3" xfId="144"/>
    <cellStyle name="Heading 4" xfId="145"/>
    <cellStyle name="Heading 4 2" xfId="146"/>
    <cellStyle name="Heading 4 3" xfId="147"/>
    <cellStyle name="Hyperlink" xfId="148"/>
    <cellStyle name="Input" xfId="149"/>
    <cellStyle name="Input 2" xfId="150"/>
    <cellStyle name="Input 3" xfId="151"/>
    <cellStyle name="Linked Cell" xfId="152"/>
    <cellStyle name="Linked Cell 2" xfId="153"/>
    <cellStyle name="Linked Cell 3" xfId="154"/>
    <cellStyle name="Neutral" xfId="155"/>
    <cellStyle name="Neutral 2" xfId="156"/>
    <cellStyle name="Neutral 3" xfId="157"/>
    <cellStyle name="Normal 10" xfId="158"/>
    <cellStyle name="Normal 10 2" xfId="159"/>
    <cellStyle name="Normal 10 3" xfId="160"/>
    <cellStyle name="Normal 11" xfId="161"/>
    <cellStyle name="Normal 12" xfId="162"/>
    <cellStyle name="Normal 13" xfId="163"/>
    <cellStyle name="Normal 14" xfId="164"/>
    <cellStyle name="Normal 15" xfId="165"/>
    <cellStyle name="Normal 2" xfId="166"/>
    <cellStyle name="Normal 2 2" xfId="167"/>
    <cellStyle name="Normal 2 2 2" xfId="168"/>
    <cellStyle name="Normal 2 3" xfId="169"/>
    <cellStyle name="Normal 2 4" xfId="170"/>
    <cellStyle name="Normal 3" xfId="171"/>
    <cellStyle name="Normal 4" xfId="172"/>
    <cellStyle name="Normal 5" xfId="173"/>
    <cellStyle name="Normal 6" xfId="174"/>
    <cellStyle name="Normal 7" xfId="175"/>
    <cellStyle name="Normal 7 2" xfId="176"/>
    <cellStyle name="Normal 7 3" xfId="177"/>
    <cellStyle name="Normal 7 4" xfId="178"/>
    <cellStyle name="Normal 8" xfId="179"/>
    <cellStyle name="Normal 9" xfId="180"/>
    <cellStyle name="Normal_CC90-FRO" xfId="181"/>
    <cellStyle name="Normal_CC90-WS1" xfId="182"/>
    <cellStyle name="Note" xfId="183"/>
    <cellStyle name="Note 2" xfId="184"/>
    <cellStyle name="Note 3" xfId="185"/>
    <cellStyle name="Output" xfId="186"/>
    <cellStyle name="Output 2" xfId="187"/>
    <cellStyle name="Output 3" xfId="188"/>
    <cellStyle name="Percent" xfId="189"/>
    <cellStyle name="Percent 2" xfId="190"/>
    <cellStyle name="Percent 3" xfId="191"/>
    <cellStyle name="Percent 4" xfId="192"/>
    <cellStyle name="Percent 4 2" xfId="193"/>
    <cellStyle name="Percent 5" xfId="194"/>
    <cellStyle name="Percent 6" xfId="195"/>
    <cellStyle name="Percent 7" xfId="196"/>
    <cellStyle name="Percent 8" xfId="197"/>
    <cellStyle name="Percent 9" xfId="198"/>
    <cellStyle name="STYLE1" xfId="199"/>
    <cellStyle name="STYLE1 2" xfId="200"/>
    <cellStyle name="STYLE2" xfId="201"/>
    <cellStyle name="STYLE3" xfId="202"/>
    <cellStyle name="STYLE3 2" xfId="203"/>
    <cellStyle name="Title" xfId="204"/>
    <cellStyle name="Title 2" xfId="205"/>
    <cellStyle name="Title 3" xfId="206"/>
    <cellStyle name="Total" xfId="207"/>
    <cellStyle name="Total 2" xfId="208"/>
    <cellStyle name="Total 3" xfId="209"/>
    <cellStyle name="Warning Text" xfId="210"/>
    <cellStyle name="Warning Text 2" xfId="211"/>
    <cellStyle name="Warning Text 3" xfId="2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 topLeftCell="A1">
      <selection activeCell="A7" sqref="A7:N7"/>
    </sheetView>
  </sheetViews>
  <sheetFormatPr defaultColWidth="9.7109375" defaultRowHeight="12.75"/>
  <cols>
    <col min="1" max="1" width="5.28125" style="15" customWidth="1"/>
    <col min="2" max="2" width="9.7109375" style="15" customWidth="1"/>
    <col min="3" max="3" width="1.7109375" style="15" customWidth="1"/>
    <col min="4" max="4" width="10.7109375" style="15" customWidth="1"/>
    <col min="5" max="5" width="14.57421875" style="15" bestFit="1" customWidth="1"/>
    <col min="6" max="6" width="9.7109375" style="15" customWidth="1"/>
    <col min="7" max="7" width="1.7109375" style="15" customWidth="1"/>
    <col min="8" max="8" width="10.57421875" style="15" customWidth="1"/>
    <col min="9" max="9" width="10.8515625" style="15" customWidth="1"/>
    <col min="10" max="10" width="9.7109375" style="15" customWidth="1"/>
    <col min="11" max="11" width="1.7109375" style="15" customWidth="1"/>
    <col min="12" max="12" width="10.140625" style="15" bestFit="1" customWidth="1"/>
    <col min="13" max="13" width="9.7109375" style="15" customWidth="1"/>
    <col min="14" max="14" width="11.8515625" style="15" customWidth="1"/>
    <col min="15" max="16384" width="9.7109375" style="12" customWidth="1"/>
  </cols>
  <sheetData>
    <row r="1" spans="2:14" ht="12.75">
      <c r="B1" s="1079"/>
      <c r="C1" s="1079"/>
      <c r="D1" s="1079"/>
      <c r="E1" s="1079"/>
      <c r="F1" s="1079"/>
      <c r="G1" s="1079"/>
      <c r="H1" s="1079"/>
      <c r="I1" s="1079"/>
      <c r="J1" s="1079"/>
      <c r="K1" s="1079"/>
      <c r="L1" s="1079"/>
      <c r="M1" s="1079"/>
      <c r="N1" s="1079"/>
    </row>
    <row r="2" spans="1:14" ht="23.25">
      <c r="A2" s="1080" t="s">
        <v>45</v>
      </c>
      <c r="B2" s="1080"/>
      <c r="C2" s="1080"/>
      <c r="D2" s="1080"/>
      <c r="E2" s="1080"/>
      <c r="F2" s="1080"/>
      <c r="G2" s="1080"/>
      <c r="H2" s="1080"/>
      <c r="I2" s="1080"/>
      <c r="J2" s="1080"/>
      <c r="K2" s="1080"/>
      <c r="L2" s="1080"/>
      <c r="M2" s="1080"/>
      <c r="N2" s="1080"/>
    </row>
    <row r="3" spans="1:14" ht="19.5">
      <c r="A3" s="1072" t="s">
        <v>46</v>
      </c>
      <c r="B3" s="1072"/>
      <c r="C3" s="1072"/>
      <c r="D3" s="1072"/>
      <c r="E3" s="1072"/>
      <c r="F3" s="1072"/>
      <c r="G3" s="1072"/>
      <c r="H3" s="1072"/>
      <c r="I3" s="1072"/>
      <c r="J3" s="1072"/>
      <c r="K3" s="1072"/>
      <c r="L3" s="1072"/>
      <c r="M3" s="1072"/>
      <c r="N3" s="1072"/>
    </row>
    <row r="4" spans="1:14" ht="19.5">
      <c r="A4" s="1072" t="s">
        <v>53</v>
      </c>
      <c r="B4" s="1072"/>
      <c r="C4" s="1072"/>
      <c r="D4" s="1072"/>
      <c r="E4" s="1072"/>
      <c r="F4" s="1072"/>
      <c r="G4" s="1072"/>
      <c r="H4" s="1072"/>
      <c r="I4" s="1072"/>
      <c r="J4" s="1072"/>
      <c r="K4" s="1072"/>
      <c r="L4" s="1072"/>
      <c r="M4" s="1072"/>
      <c r="N4" s="1072"/>
    </row>
    <row r="5" spans="1:14" ht="11.25" customHeight="1">
      <c r="A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19.5">
      <c r="A6" s="1072" t="s">
        <v>47</v>
      </c>
      <c r="B6" s="1072"/>
      <c r="C6" s="1072"/>
      <c r="D6" s="1072"/>
      <c r="E6" s="1072"/>
      <c r="F6" s="1072"/>
      <c r="G6" s="1072"/>
      <c r="H6" s="1072"/>
      <c r="I6" s="1072"/>
      <c r="J6" s="1072"/>
      <c r="K6" s="1072"/>
      <c r="L6" s="1072"/>
      <c r="M6" s="1072"/>
      <c r="N6" s="1072"/>
    </row>
    <row r="7" spans="1:14" ht="19.5">
      <c r="A7" s="1072" t="s">
        <v>48</v>
      </c>
      <c r="B7" s="1072"/>
      <c r="C7" s="1072"/>
      <c r="D7" s="1072"/>
      <c r="E7" s="1072"/>
      <c r="F7" s="1072"/>
      <c r="G7" s="1072"/>
      <c r="H7" s="1072"/>
      <c r="I7" s="1072"/>
      <c r="J7" s="1072"/>
      <c r="K7" s="1072"/>
      <c r="L7" s="1072"/>
      <c r="M7" s="1072"/>
      <c r="N7" s="1072"/>
    </row>
    <row r="8" spans="2:14" ht="12.75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2:14" ht="12.75"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</row>
    <row r="10" spans="2:14" ht="15.75">
      <c r="B10" s="46" t="s">
        <v>3</v>
      </c>
      <c r="C10" s="46"/>
      <c r="D10" s="65"/>
      <c r="E10" s="272"/>
      <c r="F10" s="272"/>
      <c r="G10" s="273"/>
      <c r="H10" s="273"/>
      <c r="I10" s="46" t="s">
        <v>4</v>
      </c>
      <c r="J10" s="65"/>
      <c r="K10" s="65"/>
      <c r="L10" s="272"/>
      <c r="M10" s="272"/>
      <c r="N10" s="273"/>
    </row>
    <row r="11" spans="2:14" ht="7.5" customHeight="1" thickBot="1"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</row>
    <row r="12" spans="1:14" ht="23.25" customHeight="1">
      <c r="A12" s="48" t="s">
        <v>49</v>
      </c>
      <c r="B12" s="74" t="s">
        <v>37</v>
      </c>
      <c r="C12" s="274"/>
      <c r="D12" s="274"/>
      <c r="E12" s="1081" t="s">
        <v>360</v>
      </c>
      <c r="F12" s="1081"/>
      <c r="G12" s="1081"/>
      <c r="H12" s="1081"/>
      <c r="I12" s="1081"/>
      <c r="J12" s="1081"/>
      <c r="K12" s="1081"/>
      <c r="L12" s="1081"/>
      <c r="M12" s="1081"/>
      <c r="N12" s="1082"/>
    </row>
    <row r="13" spans="2:14" ht="23.25" customHeight="1">
      <c r="B13" s="58" t="s">
        <v>39</v>
      </c>
      <c r="C13" s="198"/>
      <c r="D13" s="198"/>
      <c r="E13" s="1077" t="s">
        <v>361</v>
      </c>
      <c r="F13" s="1077"/>
      <c r="G13" s="1077"/>
      <c r="H13" s="1077"/>
      <c r="I13" s="1077"/>
      <c r="J13" s="1077"/>
      <c r="K13" s="1077"/>
      <c r="L13" s="1077"/>
      <c r="M13" s="1077"/>
      <c r="N13" s="1078"/>
    </row>
    <row r="14" spans="2:14" ht="23.25" customHeight="1">
      <c r="B14" s="58" t="s">
        <v>36</v>
      </c>
      <c r="C14" s="198"/>
      <c r="D14" s="198"/>
      <c r="E14" s="1077" t="s">
        <v>362</v>
      </c>
      <c r="F14" s="1077"/>
      <c r="G14" s="1077"/>
      <c r="H14" s="1077"/>
      <c r="I14" s="1077"/>
      <c r="J14" s="1077"/>
      <c r="K14" s="1077"/>
      <c r="L14" s="1077"/>
      <c r="M14" s="1077"/>
      <c r="N14" s="1078"/>
    </row>
    <row r="15" spans="2:14" ht="23.25" customHeight="1">
      <c r="B15" s="58" t="s">
        <v>40</v>
      </c>
      <c r="C15" s="198"/>
      <c r="D15" s="198"/>
      <c r="E15" s="1077" t="s">
        <v>980</v>
      </c>
      <c r="F15" s="1077"/>
      <c r="G15" s="1077"/>
      <c r="H15" s="1077"/>
      <c r="I15" s="1077"/>
      <c r="J15" s="1077"/>
      <c r="K15" s="1077"/>
      <c r="L15" s="1077"/>
      <c r="M15" s="1077"/>
      <c r="N15" s="1078"/>
    </row>
    <row r="16" spans="2:14" ht="23.25" customHeight="1">
      <c r="B16" s="58" t="s">
        <v>41</v>
      </c>
      <c r="C16" s="198"/>
      <c r="D16" s="198"/>
      <c r="E16" s="1077" t="s">
        <v>978</v>
      </c>
      <c r="F16" s="1077"/>
      <c r="G16" s="1077"/>
      <c r="H16" s="1077"/>
      <c r="I16" s="1077"/>
      <c r="J16" s="1077"/>
      <c r="K16" s="1077"/>
      <c r="L16" s="1077"/>
      <c r="M16" s="1077"/>
      <c r="N16" s="1078"/>
    </row>
    <row r="17" spans="2:14" ht="23.25" customHeight="1">
      <c r="B17" s="58" t="s">
        <v>34</v>
      </c>
      <c r="C17" s="198"/>
      <c r="D17" s="198"/>
      <c r="E17" s="1077" t="s">
        <v>979</v>
      </c>
      <c r="F17" s="1077"/>
      <c r="G17" s="1077"/>
      <c r="H17" s="1077"/>
      <c r="I17" s="1077"/>
      <c r="J17" s="1077"/>
      <c r="K17" s="1077"/>
      <c r="L17" s="1077"/>
      <c r="M17" s="1077"/>
      <c r="N17" s="1078"/>
    </row>
    <row r="18" spans="2:14" ht="15" customHeight="1" thickBot="1">
      <c r="B18" s="275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7"/>
    </row>
    <row r="19" spans="1:14" ht="15.75">
      <c r="A19" s="48" t="s">
        <v>50</v>
      </c>
      <c r="B19" s="56" t="s">
        <v>215</v>
      </c>
      <c r="C19" s="57"/>
      <c r="D19" s="278"/>
      <c r="E19" s="274"/>
      <c r="F19" s="274"/>
      <c r="G19" s="274"/>
      <c r="H19" s="334"/>
      <c r="I19" s="59" t="s">
        <v>5</v>
      </c>
      <c r="J19" s="278"/>
      <c r="K19" s="278"/>
      <c r="L19" s="278"/>
      <c r="M19" s="279"/>
      <c r="N19" s="280"/>
    </row>
    <row r="20" spans="2:14" ht="15.75">
      <c r="B20" s="64"/>
      <c r="C20" s="45" t="s">
        <v>42</v>
      </c>
      <c r="D20" s="49"/>
      <c r="E20" s="49"/>
      <c r="F20" s="1069" t="s">
        <v>363</v>
      </c>
      <c r="G20" s="1070"/>
      <c r="H20" s="1071"/>
      <c r="I20" s="281"/>
      <c r="J20" s="60" t="s">
        <v>6</v>
      </c>
      <c r="K20" s="60"/>
      <c r="L20" s="50">
        <v>44013</v>
      </c>
      <c r="M20" s="61" t="s">
        <v>7</v>
      </c>
      <c r="N20" s="62">
        <v>44377</v>
      </c>
    </row>
    <row r="21" spans="2:14" ht="15.75">
      <c r="B21" s="64"/>
      <c r="C21" s="45" t="s">
        <v>24</v>
      </c>
      <c r="D21" s="51"/>
      <c r="E21" s="51"/>
      <c r="F21" s="1069" t="s">
        <v>364</v>
      </c>
      <c r="G21" s="1070"/>
      <c r="H21" s="1071"/>
      <c r="I21" s="281"/>
      <c r="J21" s="60"/>
      <c r="K21" s="60"/>
      <c r="L21" s="52"/>
      <c r="M21" s="61"/>
      <c r="N21" s="63"/>
    </row>
    <row r="22" spans="2:14" ht="15.75">
      <c r="B22" s="64"/>
      <c r="C22" s="45" t="s">
        <v>43</v>
      </c>
      <c r="D22" s="51"/>
      <c r="E22" s="51"/>
      <c r="F22" s="1069" t="s">
        <v>365</v>
      </c>
      <c r="G22" s="1070"/>
      <c r="H22" s="1071"/>
      <c r="I22" s="281"/>
      <c r="J22" s="60"/>
      <c r="K22" s="60"/>
      <c r="L22" s="52"/>
      <c r="M22" s="61"/>
      <c r="N22" s="63"/>
    </row>
    <row r="23" spans="2:14" ht="15.75">
      <c r="B23" s="64"/>
      <c r="C23" s="45" t="s">
        <v>44</v>
      </c>
      <c r="D23" s="51"/>
      <c r="E23" s="51"/>
      <c r="F23" s="1070"/>
      <c r="G23" s="1070"/>
      <c r="H23" s="1071"/>
      <c r="I23" s="281"/>
      <c r="J23" s="60"/>
      <c r="K23" s="60"/>
      <c r="L23" s="52"/>
      <c r="M23" s="61"/>
      <c r="N23" s="63"/>
    </row>
    <row r="24" spans="2:14" ht="15.75">
      <c r="B24" s="64"/>
      <c r="C24" s="47"/>
      <c r="D24" s="65"/>
      <c r="E24" s="65"/>
      <c r="F24" s="1075"/>
      <c r="G24" s="1075"/>
      <c r="H24" s="1076"/>
      <c r="I24" s="282"/>
      <c r="J24" s="197"/>
      <c r="K24" s="197"/>
      <c r="L24" s="197"/>
      <c r="M24" s="283"/>
      <c r="N24" s="284"/>
    </row>
    <row r="25" spans="2:14" ht="16.5" thickBot="1">
      <c r="B25" s="285"/>
      <c r="C25" s="55"/>
      <c r="D25" s="55"/>
      <c r="E25" s="55"/>
      <c r="F25" s="55"/>
      <c r="G25" s="55"/>
      <c r="H25" s="55"/>
      <c r="I25" s="286"/>
      <c r="J25" s="55"/>
      <c r="K25" s="55"/>
      <c r="L25" s="55"/>
      <c r="M25" s="55"/>
      <c r="N25" s="287"/>
    </row>
    <row r="26" spans="1:14" ht="15.75">
      <c r="A26" s="48" t="s">
        <v>51</v>
      </c>
      <c r="B26" s="56" t="s">
        <v>212</v>
      </c>
      <c r="C26" s="57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88"/>
    </row>
    <row r="27" spans="2:14" ht="17.25" customHeight="1">
      <c r="B27" s="64"/>
      <c r="C27" s="53" t="s">
        <v>366</v>
      </c>
      <c r="D27" s="45" t="s">
        <v>25</v>
      </c>
      <c r="E27" s="67"/>
      <c r="F27" s="67"/>
      <c r="G27" s="67"/>
      <c r="H27" s="67"/>
      <c r="I27" s="67"/>
      <c r="J27" s="67"/>
      <c r="K27" s="67"/>
      <c r="L27" s="67"/>
      <c r="M27" s="65"/>
      <c r="N27" s="66"/>
    </row>
    <row r="28" spans="2:14" ht="9.75" customHeight="1">
      <c r="B28" s="289"/>
      <c r="C28" s="198"/>
      <c r="D28" s="67"/>
      <c r="E28" s="67"/>
      <c r="F28" s="67"/>
      <c r="G28" s="67"/>
      <c r="H28" s="67"/>
      <c r="I28" s="67"/>
      <c r="J28" s="67"/>
      <c r="K28" s="67"/>
      <c r="L28" s="67"/>
      <c r="M28" s="65"/>
      <c r="N28" s="66"/>
    </row>
    <row r="29" spans="2:14" ht="12" customHeight="1">
      <c r="B29" s="64"/>
      <c r="C29" s="47"/>
      <c r="D29" s="45" t="s">
        <v>26</v>
      </c>
      <c r="E29" s="67"/>
      <c r="F29" s="68"/>
      <c r="G29" s="68"/>
      <c r="H29" s="67"/>
      <c r="I29" s="67"/>
      <c r="J29" s="45"/>
      <c r="K29" s="45"/>
      <c r="L29" s="67"/>
      <c r="M29" s="65"/>
      <c r="N29" s="66"/>
    </row>
    <row r="30" spans="2:14" ht="15" customHeight="1">
      <c r="B30" s="64"/>
      <c r="C30" s="53"/>
      <c r="D30" s="67" t="s">
        <v>27</v>
      </c>
      <c r="E30" s="67"/>
      <c r="F30" s="45"/>
      <c r="G30" s="54"/>
      <c r="H30" s="67" t="s">
        <v>29</v>
      </c>
      <c r="I30" s="67"/>
      <c r="J30" s="45"/>
      <c r="K30" s="54"/>
      <c r="L30" s="67" t="s">
        <v>31</v>
      </c>
      <c r="M30" s="65"/>
      <c r="N30" s="66"/>
    </row>
    <row r="31" spans="2:14" ht="12" customHeight="1">
      <c r="B31" s="64"/>
      <c r="C31" s="53"/>
      <c r="D31" s="67" t="s">
        <v>28</v>
      </c>
      <c r="E31" s="67"/>
      <c r="F31" s="45"/>
      <c r="G31" s="54"/>
      <c r="H31" s="67" t="s">
        <v>30</v>
      </c>
      <c r="I31" s="67"/>
      <c r="J31" s="45"/>
      <c r="K31" s="45"/>
      <c r="L31" s="67"/>
      <c r="M31" s="65"/>
      <c r="N31" s="66"/>
    </row>
    <row r="32" spans="2:14" ht="16.5" thickBot="1">
      <c r="B32" s="28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287"/>
    </row>
    <row r="33" spans="1:14" ht="15.75">
      <c r="A33" s="48" t="s">
        <v>156</v>
      </c>
      <c r="B33" s="56" t="s">
        <v>213</v>
      </c>
      <c r="C33" s="57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88"/>
    </row>
    <row r="34" spans="2:14" ht="15.75" customHeight="1">
      <c r="B34" s="1083"/>
      <c r="C34" s="1084"/>
      <c r="D34" s="1084"/>
      <c r="E34" s="1084"/>
      <c r="F34" s="1084"/>
      <c r="G34" s="1084"/>
      <c r="H34" s="1084"/>
      <c r="I34" s="1084"/>
      <c r="J34" s="1084"/>
      <c r="K34" s="1084"/>
      <c r="L34" s="1084"/>
      <c r="M34" s="1084"/>
      <c r="N34" s="1085"/>
    </row>
    <row r="35" spans="2:14" ht="15.75" customHeight="1">
      <c r="B35" s="1083"/>
      <c r="C35" s="1084"/>
      <c r="D35" s="1084"/>
      <c r="E35" s="1084"/>
      <c r="F35" s="1084"/>
      <c r="G35" s="1084"/>
      <c r="H35" s="1084"/>
      <c r="I35" s="1084"/>
      <c r="J35" s="1084"/>
      <c r="K35" s="1084"/>
      <c r="L35" s="1084"/>
      <c r="M35" s="1084"/>
      <c r="N35" s="1085"/>
    </row>
    <row r="36" spans="2:14" ht="39.75" customHeight="1" thickBot="1">
      <c r="B36" s="1086"/>
      <c r="C36" s="1087"/>
      <c r="D36" s="1087"/>
      <c r="E36" s="1087"/>
      <c r="F36" s="1087"/>
      <c r="G36" s="1087"/>
      <c r="H36" s="1087"/>
      <c r="I36" s="1087"/>
      <c r="J36" s="1087"/>
      <c r="K36" s="1087"/>
      <c r="L36" s="1087"/>
      <c r="M36" s="1087"/>
      <c r="N36" s="1088"/>
    </row>
    <row r="37" spans="2:14" s="15" customFormat="1" ht="13.5" customHeight="1">
      <c r="B37" s="69" t="s">
        <v>8</v>
      </c>
      <c r="C37" s="70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2"/>
    </row>
    <row r="38" spans="2:14" ht="20.25" customHeight="1">
      <c r="B38" s="1089" t="s">
        <v>38</v>
      </c>
      <c r="C38" s="1090"/>
      <c r="D38" s="1090"/>
      <c r="E38" s="1090"/>
      <c r="F38" s="1090"/>
      <c r="G38" s="1090"/>
      <c r="H38" s="1090"/>
      <c r="I38" s="1090"/>
      <c r="J38" s="1090"/>
      <c r="K38" s="1090"/>
      <c r="L38" s="1090"/>
      <c r="M38" s="1090"/>
      <c r="N38" s="1091"/>
    </row>
    <row r="39" spans="2:14" ht="20.25" customHeight="1">
      <c r="B39" s="290"/>
      <c r="C39" s="1073" t="str">
        <f>CONCATENATE(E12," ",F20)</f>
        <v>COMMUNITY HEALTH CENTER, INC. 004236346</v>
      </c>
      <c r="D39" s="1073"/>
      <c r="E39" s="1073"/>
      <c r="F39" s="1073"/>
      <c r="G39" s="1073"/>
      <c r="H39" s="1073"/>
      <c r="I39" s="1073"/>
      <c r="J39" s="1073"/>
      <c r="K39" s="1073"/>
      <c r="L39" s="1073"/>
      <c r="M39" s="1073"/>
      <c r="N39" s="1074"/>
    </row>
    <row r="40" spans="2:14" ht="15.75">
      <c r="B40" s="64"/>
      <c r="C40" s="1047" t="s">
        <v>52</v>
      </c>
      <c r="D40" s="1047"/>
      <c r="E40" s="1047"/>
      <c r="F40" s="1047"/>
      <c r="G40" s="1047"/>
      <c r="H40" s="1047"/>
      <c r="I40" s="1047"/>
      <c r="J40" s="1047"/>
      <c r="K40" s="1047"/>
      <c r="L40" s="1047"/>
      <c r="M40" s="1047"/>
      <c r="N40" s="1048"/>
    </row>
    <row r="41" spans="2:14" ht="72.75" customHeight="1">
      <c r="B41" s="1063" t="str">
        <f>CONCATENATE("For the Reporting Period Beginning"," ",TEXT(L20,"M/D/YYYY")," ","and Ending"," ",TEXT(N20,"M/D/YYYY")," ","and That to the Best of My Knowledge and Belief It Is a True, Correct and Complete Statement Prepared From the Books and Records of the FQHC In Accordance With Applicable Instructions, Except as Noted:")</f>
        <v>For the Reporting Period Beginning 7/1/2020 and Ending 6/30/2021 and That to the Best of My Knowledge and Belief It Is a True, Correct and Complete Statement Prepared From the Books and Records of the FQHC In Accordance With Applicable Instructions, Except as Noted:</v>
      </c>
      <c r="C41" s="1064"/>
      <c r="D41" s="1064"/>
      <c r="E41" s="1064"/>
      <c r="F41" s="1064"/>
      <c r="G41" s="1064"/>
      <c r="H41" s="1064"/>
      <c r="I41" s="1064"/>
      <c r="J41" s="1064"/>
      <c r="K41" s="1064"/>
      <c r="L41" s="1064"/>
      <c r="M41" s="1064"/>
      <c r="N41" s="1065"/>
    </row>
    <row r="42" spans="2:14" ht="15.75">
      <c r="B42" s="1066"/>
      <c r="C42" s="1067"/>
      <c r="D42" s="1067"/>
      <c r="E42" s="1067"/>
      <c r="F42" s="1067"/>
      <c r="G42" s="1067"/>
      <c r="H42" s="1067"/>
      <c r="I42" s="1067"/>
      <c r="J42" s="1067"/>
      <c r="K42" s="1067"/>
      <c r="L42" s="1067"/>
      <c r="M42" s="1067"/>
      <c r="N42" s="1068"/>
    </row>
    <row r="43" spans="2:14" ht="15.75">
      <c r="B43" s="1066"/>
      <c r="C43" s="1067"/>
      <c r="D43" s="1067"/>
      <c r="E43" s="1067"/>
      <c r="F43" s="1067"/>
      <c r="G43" s="1067"/>
      <c r="H43" s="1067"/>
      <c r="I43" s="1067"/>
      <c r="J43" s="1067"/>
      <c r="K43" s="1067"/>
      <c r="L43" s="1067"/>
      <c r="M43" s="1067"/>
      <c r="N43" s="1068"/>
    </row>
    <row r="44" spans="2:14" ht="15.75">
      <c r="B44" s="1066"/>
      <c r="C44" s="1067"/>
      <c r="D44" s="1067"/>
      <c r="E44" s="1067"/>
      <c r="F44" s="1067"/>
      <c r="G44" s="1067"/>
      <c r="H44" s="1067"/>
      <c r="I44" s="1067"/>
      <c r="J44" s="1067"/>
      <c r="K44" s="1067"/>
      <c r="L44" s="1067"/>
      <c r="M44" s="1067"/>
      <c r="N44" s="1068"/>
    </row>
    <row r="45" spans="1:14" ht="16.5" thickBot="1">
      <c r="A45" s="48" t="s">
        <v>55</v>
      </c>
      <c r="B45" s="1049" t="s">
        <v>35</v>
      </c>
      <c r="C45" s="1050"/>
      <c r="D45" s="1050"/>
      <c r="E45" s="1050"/>
      <c r="F45" s="1050"/>
      <c r="G45" s="1050"/>
      <c r="H45" s="1051"/>
      <c r="I45" s="1052" t="s">
        <v>218</v>
      </c>
      <c r="J45" s="1050"/>
      <c r="K45" s="1050"/>
      <c r="L45" s="1050"/>
      <c r="M45" s="1050"/>
      <c r="N45" s="1053"/>
    </row>
    <row r="46" spans="2:14" ht="12.75" customHeight="1">
      <c r="B46" s="1057"/>
      <c r="C46" s="1058"/>
      <c r="D46" s="1058"/>
      <c r="E46" s="1058"/>
      <c r="F46" s="1058"/>
      <c r="G46" s="1058"/>
      <c r="H46" s="1059"/>
      <c r="I46" s="1284" t="s">
        <v>976</v>
      </c>
      <c r="J46" s="1285"/>
      <c r="K46" s="1285"/>
      <c r="L46" s="1285"/>
      <c r="M46" s="1285"/>
      <c r="N46" s="1286"/>
    </row>
    <row r="47" spans="2:14" ht="31.5" customHeight="1" thickBot="1">
      <c r="B47" s="1060"/>
      <c r="C47" s="1061"/>
      <c r="D47" s="1061"/>
      <c r="E47" s="1061"/>
      <c r="F47" s="1061"/>
      <c r="G47" s="1061"/>
      <c r="H47" s="1062"/>
      <c r="I47" s="1287"/>
      <c r="J47" s="1288"/>
      <c r="K47" s="1288"/>
      <c r="L47" s="1288"/>
      <c r="M47" s="1288"/>
      <c r="N47" s="1289"/>
    </row>
    <row r="48" spans="2:14" ht="17.25" customHeight="1" thickBot="1">
      <c r="B48" s="1049" t="s">
        <v>34</v>
      </c>
      <c r="C48" s="1050"/>
      <c r="D48" s="1050"/>
      <c r="E48" s="1050"/>
      <c r="F48" s="1050"/>
      <c r="G48" s="1050"/>
      <c r="H48" s="1051"/>
      <c r="I48" s="1052" t="s">
        <v>33</v>
      </c>
      <c r="J48" s="1050"/>
      <c r="K48" s="1050"/>
      <c r="L48" s="1050"/>
      <c r="M48" s="1050"/>
      <c r="N48" s="1053"/>
    </row>
    <row r="49" spans="2:14" ht="38.25" customHeight="1" thickBot="1">
      <c r="B49" s="1290" t="s">
        <v>977</v>
      </c>
      <c r="C49" s="1291"/>
      <c r="D49" s="1291"/>
      <c r="E49" s="1291"/>
      <c r="F49" s="1291"/>
      <c r="G49" s="1291"/>
      <c r="H49" s="1292"/>
      <c r="I49" s="1054">
        <v>44559</v>
      </c>
      <c r="J49" s="1055"/>
      <c r="K49" s="1055"/>
      <c r="L49" s="1055"/>
      <c r="M49" s="1055"/>
      <c r="N49" s="1056"/>
    </row>
    <row r="50" spans="2:14" ht="15.75">
      <c r="B50" s="291"/>
      <c r="C50" s="291"/>
      <c r="D50" s="291"/>
      <c r="E50" s="291"/>
      <c r="F50" s="291"/>
      <c r="G50" s="291"/>
      <c r="H50" s="291"/>
      <c r="I50" s="291"/>
      <c r="J50" s="291"/>
      <c r="K50" s="291"/>
      <c r="L50" s="291"/>
      <c r="M50" s="291"/>
      <c r="N50" s="291"/>
    </row>
    <row r="51" spans="2:14" ht="15.75">
      <c r="B51" s="291"/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</row>
    <row r="52" spans="2:14" ht="15.75"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</row>
    <row r="53" spans="2:14" ht="15.75">
      <c r="B53" s="291"/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91"/>
      <c r="N53" s="291"/>
    </row>
    <row r="54" spans="2:14" ht="15.75">
      <c r="B54" s="291"/>
      <c r="C54" s="291"/>
      <c r="D54" s="291"/>
      <c r="E54" s="291"/>
      <c r="F54" s="291"/>
      <c r="G54" s="291"/>
      <c r="H54" s="291"/>
      <c r="I54" s="291"/>
      <c r="J54" s="291"/>
      <c r="K54" s="291"/>
      <c r="L54" s="291"/>
      <c r="M54" s="291"/>
      <c r="N54" s="291"/>
    </row>
    <row r="55" spans="2:14" ht="15.75">
      <c r="B55" s="291"/>
      <c r="C55" s="291"/>
      <c r="D55" s="291"/>
      <c r="E55" s="291"/>
      <c r="F55" s="291"/>
      <c r="G55" s="291"/>
      <c r="H55" s="291"/>
      <c r="I55" s="291"/>
      <c r="J55" s="291"/>
      <c r="K55" s="291"/>
      <c r="L55" s="291"/>
      <c r="M55" s="291"/>
      <c r="N55" s="291"/>
    </row>
    <row r="56" spans="2:14" ht="15.75"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91"/>
      <c r="N56" s="291"/>
    </row>
    <row r="57" spans="2:14" ht="15.75"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</row>
    <row r="58" spans="2:14" ht="15.75">
      <c r="B58" s="291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91"/>
    </row>
  </sheetData>
  <sheetProtection/>
  <mergeCells count="33">
    <mergeCell ref="B43:N43"/>
    <mergeCell ref="B44:N44"/>
    <mergeCell ref="I45:N45"/>
    <mergeCell ref="B34:N36"/>
    <mergeCell ref="E14:N14"/>
    <mergeCell ref="E15:N15"/>
    <mergeCell ref="E16:N16"/>
    <mergeCell ref="F22:H22"/>
    <mergeCell ref="B38:N38"/>
    <mergeCell ref="E17:N17"/>
    <mergeCell ref="B1:N1"/>
    <mergeCell ref="A2:N2"/>
    <mergeCell ref="A3:N3"/>
    <mergeCell ref="A4:N4"/>
    <mergeCell ref="A6:N6"/>
    <mergeCell ref="E12:N12"/>
    <mergeCell ref="F20:H20"/>
    <mergeCell ref="A7:N7"/>
    <mergeCell ref="F21:H21"/>
    <mergeCell ref="C39:N39"/>
    <mergeCell ref="F23:H23"/>
    <mergeCell ref="F24:H24"/>
    <mergeCell ref="E13:N13"/>
    <mergeCell ref="C40:N40"/>
    <mergeCell ref="I46:N47"/>
    <mergeCell ref="B48:H48"/>
    <mergeCell ref="B49:H49"/>
    <mergeCell ref="I48:N48"/>
    <mergeCell ref="I49:N49"/>
    <mergeCell ref="B45:H45"/>
    <mergeCell ref="B46:H47"/>
    <mergeCell ref="B41:N41"/>
    <mergeCell ref="B42:N42"/>
  </mergeCells>
  <printOptions horizontalCentered="1" verticalCentered="1"/>
  <pageMargins left="0.5" right="0.5" top="0.5" bottom="0.25" header="0.5" footer="0.25"/>
  <pageSetup horizontalDpi="600" verticalDpi="600" orientation="portrait" scale="80" r:id="rId1"/>
  <headerFooter alignWithMargins="0">
    <oddFooter>&amp;LDSS-16 10-24-2016&amp;RPage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S39"/>
  <sheetViews>
    <sheetView zoomScalePageLayoutView="0" workbookViewId="0" topLeftCell="A10">
      <selection activeCell="D22" sqref="D22"/>
    </sheetView>
  </sheetViews>
  <sheetFormatPr defaultColWidth="9.7109375" defaultRowHeight="12.75"/>
  <cols>
    <col min="1" max="1" width="4.7109375" style="22" customWidth="1"/>
    <col min="2" max="2" width="13.57421875" style="22" customWidth="1"/>
    <col min="3" max="3" width="43.140625" style="22" customWidth="1"/>
    <col min="4" max="4" width="13.00390625" style="22" customWidth="1"/>
    <col min="5" max="5" width="12.421875" style="31" customWidth="1"/>
    <col min="6" max="6" width="12.140625" style="22" customWidth="1"/>
    <col min="7" max="7" width="11.7109375" style="22" customWidth="1"/>
    <col min="8" max="8" width="13.421875" style="22" customWidth="1"/>
    <col min="9" max="9" width="11.28125" style="22" customWidth="1"/>
    <col min="10" max="10" width="14.140625" style="22" customWidth="1"/>
    <col min="11" max="16384" width="9.7109375" style="22" customWidth="1"/>
  </cols>
  <sheetData>
    <row r="1" spans="1:15" s="18" customFormat="1" ht="12.75">
      <c r="A1" s="1107" t="s">
        <v>45</v>
      </c>
      <c r="B1" s="1107"/>
      <c r="C1" s="1107"/>
      <c r="D1" s="1107"/>
      <c r="E1" s="1107"/>
      <c r="F1" s="1107"/>
      <c r="G1" s="1107"/>
      <c r="H1" s="1107"/>
      <c r="I1" s="1107"/>
      <c r="J1" s="1107"/>
      <c r="K1" s="75"/>
      <c r="L1" s="75"/>
      <c r="M1" s="75"/>
      <c r="N1" s="75"/>
      <c r="O1" s="75"/>
    </row>
    <row r="2" spans="1:15" s="18" customFormat="1" ht="12.75">
      <c r="A2" s="1107" t="s">
        <v>46</v>
      </c>
      <c r="B2" s="1107"/>
      <c r="C2" s="1107"/>
      <c r="D2" s="1107"/>
      <c r="E2" s="1107"/>
      <c r="F2" s="1107"/>
      <c r="G2" s="1107"/>
      <c r="H2" s="1107"/>
      <c r="I2" s="1107"/>
      <c r="J2" s="1107"/>
      <c r="K2" s="75"/>
      <c r="L2" s="75"/>
      <c r="M2" s="75"/>
      <c r="N2" s="75"/>
      <c r="O2" s="75"/>
    </row>
    <row r="3" spans="1:15" s="18" customFormat="1" ht="12.75">
      <c r="A3" s="1107" t="s">
        <v>47</v>
      </c>
      <c r="B3" s="1107"/>
      <c r="C3" s="1107"/>
      <c r="D3" s="1107"/>
      <c r="E3" s="1107"/>
      <c r="F3" s="1107"/>
      <c r="G3" s="1107"/>
      <c r="H3" s="1107"/>
      <c r="I3" s="1107"/>
      <c r="J3" s="1107"/>
      <c r="K3" s="75"/>
      <c r="L3" s="75"/>
      <c r="M3" s="75"/>
      <c r="N3" s="75"/>
      <c r="O3" s="75"/>
    </row>
    <row r="4" spans="1:15" s="18" customFormat="1" ht="12.75">
      <c r="A4" s="1107" t="s">
        <v>48</v>
      </c>
      <c r="B4" s="1107"/>
      <c r="C4" s="1107"/>
      <c r="D4" s="1107"/>
      <c r="E4" s="1107"/>
      <c r="F4" s="1107"/>
      <c r="G4" s="1107"/>
      <c r="H4" s="1107"/>
      <c r="I4" s="1107"/>
      <c r="J4" s="1107"/>
      <c r="K4" s="75"/>
      <c r="L4" s="75"/>
      <c r="M4" s="75"/>
      <c r="N4" s="75"/>
      <c r="O4" s="75"/>
    </row>
    <row r="5" spans="1:19" s="18" customFormat="1" ht="13.5" thickBot="1">
      <c r="A5" s="12"/>
      <c r="B5" s="13"/>
      <c r="C5" s="13"/>
      <c r="D5" s="440"/>
      <c r="E5" s="440"/>
      <c r="F5" s="440"/>
      <c r="G5" s="440"/>
      <c r="H5" s="440"/>
      <c r="I5" s="440"/>
      <c r="J5" s="440"/>
      <c r="K5" s="430"/>
      <c r="L5" s="430"/>
      <c r="M5" s="430"/>
      <c r="N5" s="430"/>
      <c r="O5" s="430"/>
      <c r="P5" s="87"/>
      <c r="Q5" s="87"/>
      <c r="R5" s="87"/>
      <c r="S5" s="87"/>
    </row>
    <row r="6" spans="1:19" s="18" customFormat="1" ht="20.25" customHeight="1">
      <c r="A6" s="93"/>
      <c r="B6" s="77" t="s">
        <v>54</v>
      </c>
      <c r="C6" s="78"/>
      <c r="D6" s="78" t="s">
        <v>6</v>
      </c>
      <c r="E6" s="1114">
        <f>'P1 Info &amp; Certification'!L20</f>
        <v>44013</v>
      </c>
      <c r="F6" s="1114"/>
      <c r="G6" s="96"/>
      <c r="H6" s="95" t="s">
        <v>7</v>
      </c>
      <c r="I6" s="1114">
        <f>'P1 Info &amp; Certification'!N20</f>
        <v>44377</v>
      </c>
      <c r="J6" s="1131"/>
      <c r="K6" s="432"/>
      <c r="L6" s="433"/>
      <c r="M6" s="92"/>
      <c r="N6" s="92"/>
      <c r="O6" s="433"/>
      <c r="P6" s="87"/>
      <c r="Q6" s="87"/>
      <c r="R6" s="87"/>
      <c r="S6" s="87"/>
    </row>
    <row r="7" spans="1:19" s="18" customFormat="1" ht="12.75">
      <c r="A7" s="83"/>
      <c r="B7" s="458"/>
      <c r="C7" s="458"/>
      <c r="D7" s="458"/>
      <c r="E7" s="13"/>
      <c r="F7" s="13"/>
      <c r="G7" s="13"/>
      <c r="H7" s="13"/>
      <c r="I7" s="13"/>
      <c r="J7" s="81"/>
      <c r="K7" s="13"/>
      <c r="L7" s="13"/>
      <c r="M7" s="13"/>
      <c r="N7" s="13"/>
      <c r="O7" s="13"/>
      <c r="P7" s="87"/>
      <c r="Q7" s="87"/>
      <c r="R7" s="87"/>
      <c r="S7" s="87"/>
    </row>
    <row r="8" spans="1:19" s="18" customFormat="1" ht="26.25" customHeight="1" thickBot="1">
      <c r="A8" s="97"/>
      <c r="B8" s="445" t="s">
        <v>59</v>
      </c>
      <c r="C8" s="1149" t="str">
        <f>'P1 Info &amp; Certification'!E12</f>
        <v>COMMUNITY HEALTH CENTER, INC.</v>
      </c>
      <c r="D8" s="1149"/>
      <c r="E8" s="1149"/>
      <c r="F8" s="1149"/>
      <c r="G8" s="1149"/>
      <c r="H8" s="1149"/>
      <c r="I8" s="463"/>
      <c r="J8" s="464"/>
      <c r="K8" s="91"/>
      <c r="L8" s="91"/>
      <c r="M8" s="91"/>
      <c r="N8" s="91"/>
      <c r="O8" s="91"/>
      <c r="P8" s="87"/>
      <c r="Q8" s="87"/>
      <c r="R8" s="87"/>
      <c r="S8" s="87"/>
    </row>
    <row r="9" spans="1:10" s="18" customFormat="1" ht="12.75">
      <c r="A9" s="16"/>
      <c r="B9" s="19"/>
      <c r="C9" s="19"/>
      <c r="D9" s="19"/>
      <c r="E9" s="20"/>
      <c r="F9" s="19"/>
      <c r="G9" s="21"/>
      <c r="H9" s="19"/>
      <c r="I9" s="19"/>
      <c r="J9" s="19"/>
    </row>
    <row r="10" spans="1:10" s="18" customFormat="1" ht="13.5" thickBot="1">
      <c r="A10" s="16"/>
      <c r="B10" s="19"/>
      <c r="C10" s="19"/>
      <c r="D10" s="19"/>
      <c r="E10" s="20"/>
      <c r="F10" s="19"/>
      <c r="G10" s="21"/>
      <c r="H10" s="19"/>
      <c r="I10" s="19"/>
      <c r="J10" s="17" t="s">
        <v>342</v>
      </c>
    </row>
    <row r="11" spans="1:10" s="18" customFormat="1" ht="19.5" customHeight="1">
      <c r="A11" s="1146" t="s">
        <v>290</v>
      </c>
      <c r="B11" s="1147"/>
      <c r="C11" s="1147"/>
      <c r="D11" s="1147"/>
      <c r="E11" s="1147"/>
      <c r="F11" s="1147"/>
      <c r="G11" s="1147"/>
      <c r="H11" s="1147"/>
      <c r="I11" s="1147"/>
      <c r="J11" s="1148"/>
    </row>
    <row r="12" spans="1:10" s="18" customFormat="1" ht="13.5" thickBot="1">
      <c r="A12" s="113"/>
      <c r="B12" s="114"/>
      <c r="C12" s="114"/>
      <c r="D12" s="114"/>
      <c r="E12" s="115"/>
      <c r="F12" s="114"/>
      <c r="G12" s="114"/>
      <c r="H12" s="114"/>
      <c r="I12" s="114"/>
      <c r="J12" s="116"/>
    </row>
    <row r="13" spans="1:10" s="30" customFormat="1" ht="10.5" customHeight="1">
      <c r="A13" s="117"/>
      <c r="B13" s="118"/>
      <c r="C13" s="119"/>
      <c r="D13" s="1"/>
      <c r="E13" s="2" t="s">
        <v>2</v>
      </c>
      <c r="F13" s="1"/>
      <c r="G13" s="1" t="s">
        <v>10</v>
      </c>
      <c r="H13" s="1" t="s">
        <v>11</v>
      </c>
      <c r="I13" s="1" t="s">
        <v>12</v>
      </c>
      <c r="J13" s="212" t="s">
        <v>13</v>
      </c>
    </row>
    <row r="14" spans="1:10" s="30" customFormat="1" ht="10.5" customHeight="1">
      <c r="A14" s="1136" t="s">
        <v>74</v>
      </c>
      <c r="B14" s="1137"/>
      <c r="C14" s="1138"/>
      <c r="D14" s="1" t="s">
        <v>9</v>
      </c>
      <c r="E14" s="2" t="s">
        <v>14</v>
      </c>
      <c r="F14" s="1"/>
      <c r="G14" s="1" t="s">
        <v>15</v>
      </c>
      <c r="H14" s="1" t="s">
        <v>16</v>
      </c>
      <c r="I14" s="1" t="s">
        <v>17</v>
      </c>
      <c r="J14" s="212" t="s">
        <v>18</v>
      </c>
    </row>
    <row r="15" spans="1:10" ht="10.5" customHeight="1">
      <c r="A15" s="1136"/>
      <c r="B15" s="1137"/>
      <c r="C15" s="1138"/>
      <c r="D15" s="1" t="s">
        <v>0</v>
      </c>
      <c r="E15" s="2" t="s">
        <v>19</v>
      </c>
      <c r="F15" s="1" t="s">
        <v>1</v>
      </c>
      <c r="G15" s="1" t="s">
        <v>20</v>
      </c>
      <c r="H15" s="1" t="s">
        <v>21</v>
      </c>
      <c r="I15" s="1" t="s">
        <v>291</v>
      </c>
      <c r="J15" s="212" t="s">
        <v>22</v>
      </c>
    </row>
    <row r="16" spans="1:10" ht="10.5" customHeight="1" thickBot="1">
      <c r="A16" s="120"/>
      <c r="B16" s="121"/>
      <c r="C16" s="122"/>
      <c r="D16" s="6" t="s">
        <v>60</v>
      </c>
      <c r="E16" s="4" t="s">
        <v>61</v>
      </c>
      <c r="F16" s="5" t="s">
        <v>62</v>
      </c>
      <c r="G16" s="6" t="s">
        <v>63</v>
      </c>
      <c r="H16" s="6" t="s">
        <v>64</v>
      </c>
      <c r="I16" s="6" t="s">
        <v>65</v>
      </c>
      <c r="J16" s="436" t="s">
        <v>66</v>
      </c>
    </row>
    <row r="17" spans="1:10" ht="12" customHeight="1">
      <c r="A17" s="213" t="s">
        <v>75</v>
      </c>
      <c r="B17" s="1145" t="s">
        <v>332</v>
      </c>
      <c r="C17" s="1145"/>
      <c r="D17" s="8"/>
      <c r="E17" s="9"/>
      <c r="F17" s="8"/>
      <c r="G17" s="8"/>
      <c r="H17" s="8"/>
      <c r="I17" s="8"/>
      <c r="J17" s="215"/>
    </row>
    <row r="18" spans="1:10" ht="12" customHeight="1">
      <c r="A18" s="244" t="s">
        <v>49</v>
      </c>
      <c r="B18" s="1134" t="s">
        <v>93</v>
      </c>
      <c r="C18" s="1135"/>
      <c r="D18" s="100"/>
      <c r="E18" s="101"/>
      <c r="F18" s="100"/>
      <c r="G18" s="100"/>
      <c r="H18" s="8"/>
      <c r="I18" s="100"/>
      <c r="J18" s="217"/>
    </row>
    <row r="19" spans="1:10" ht="12.75">
      <c r="A19" s="218" t="s">
        <v>70</v>
      </c>
      <c r="B19" s="1132" t="s">
        <v>94</v>
      </c>
      <c r="C19" s="1133"/>
      <c r="D19" s="34"/>
      <c r="E19" s="34"/>
      <c r="F19" s="35">
        <f aca="true" t="shared" si="0" ref="F19:F25">SUM(D19:E19)</f>
        <v>0</v>
      </c>
      <c r="G19" s="34"/>
      <c r="H19" s="36">
        <f aca="true" t="shared" si="1" ref="H19:H24">F19+G19</f>
        <v>0</v>
      </c>
      <c r="I19" s="37"/>
      <c r="J19" s="219">
        <f aca="true" t="shared" si="2" ref="J19:J24">H19+I19</f>
        <v>0</v>
      </c>
    </row>
    <row r="20" spans="1:10" ht="12.75">
      <c r="A20" s="220" t="s">
        <v>71</v>
      </c>
      <c r="B20" s="1129" t="s">
        <v>217</v>
      </c>
      <c r="C20" s="1130"/>
      <c r="D20" s="38"/>
      <c r="E20" s="38"/>
      <c r="F20" s="36">
        <f t="shared" si="0"/>
        <v>0</v>
      </c>
      <c r="G20" s="38"/>
      <c r="H20" s="36">
        <f t="shared" si="1"/>
        <v>0</v>
      </c>
      <c r="I20" s="39"/>
      <c r="J20" s="221">
        <f t="shared" si="2"/>
        <v>0</v>
      </c>
    </row>
    <row r="21" spans="1:10" ht="12.75">
      <c r="A21" s="220" t="s">
        <v>72</v>
      </c>
      <c r="B21" s="441" t="s">
        <v>330</v>
      </c>
      <c r="C21" s="442"/>
      <c r="D21" s="38"/>
      <c r="E21" s="38"/>
      <c r="F21" s="36">
        <f t="shared" si="0"/>
        <v>0</v>
      </c>
      <c r="G21" s="38"/>
      <c r="H21" s="36">
        <f t="shared" si="1"/>
        <v>0</v>
      </c>
      <c r="I21" s="39"/>
      <c r="J21" s="221">
        <f t="shared" si="2"/>
        <v>0</v>
      </c>
    </row>
    <row r="22" spans="1:10" ht="12.75">
      <c r="A22" s="220" t="s">
        <v>73</v>
      </c>
      <c r="B22" s="441" t="s">
        <v>95</v>
      </c>
      <c r="C22" s="442"/>
      <c r="D22" s="38">
        <f>+'Attachment A'!AM18</f>
        <v>409509.1364684932</v>
      </c>
      <c r="E22" s="38">
        <f>+'Attachment A'!AN18</f>
        <v>94767.8</v>
      </c>
      <c r="F22" s="36">
        <f t="shared" si="0"/>
        <v>504276.9364684932</v>
      </c>
      <c r="G22" s="38"/>
      <c r="H22" s="36">
        <f t="shared" si="1"/>
        <v>504276.9364684932</v>
      </c>
      <c r="I22" s="39"/>
      <c r="J22" s="221">
        <f t="shared" si="2"/>
        <v>504276.9364684932</v>
      </c>
    </row>
    <row r="23" spans="1:10" ht="12.75">
      <c r="A23" s="220" t="s">
        <v>80</v>
      </c>
      <c r="B23" s="441" t="s">
        <v>96</v>
      </c>
      <c r="C23" s="442"/>
      <c r="D23" s="38">
        <f>+'Attachment A'!AM19</f>
        <v>68677.7405533477</v>
      </c>
      <c r="E23" s="38">
        <f>+'Attachment A'!AN19</f>
        <v>15893.27</v>
      </c>
      <c r="F23" s="36">
        <f t="shared" si="0"/>
        <v>84571.0105533477</v>
      </c>
      <c r="G23" s="38"/>
      <c r="H23" s="36">
        <f t="shared" si="1"/>
        <v>84571.0105533477</v>
      </c>
      <c r="I23" s="39"/>
      <c r="J23" s="221">
        <f t="shared" si="2"/>
        <v>84571.0105533477</v>
      </c>
    </row>
    <row r="24" spans="1:10" ht="12.75">
      <c r="A24" s="220" t="s">
        <v>81</v>
      </c>
      <c r="B24" s="441" t="s">
        <v>331</v>
      </c>
      <c r="C24" s="442"/>
      <c r="D24" s="38"/>
      <c r="E24" s="38"/>
      <c r="F24" s="36">
        <f t="shared" si="0"/>
        <v>0</v>
      </c>
      <c r="G24" s="38"/>
      <c r="H24" s="36">
        <f t="shared" si="1"/>
        <v>0</v>
      </c>
      <c r="I24" s="39"/>
      <c r="J24" s="221">
        <f t="shared" si="2"/>
        <v>0</v>
      </c>
    </row>
    <row r="25" spans="1:10" ht="12.75">
      <c r="A25" s="220" t="s">
        <v>112</v>
      </c>
      <c r="B25" s="441" t="s">
        <v>97</v>
      </c>
      <c r="C25" s="442"/>
      <c r="D25" s="38"/>
      <c r="E25" s="38"/>
      <c r="F25" s="36">
        <f t="shared" si="0"/>
        <v>0</v>
      </c>
      <c r="G25" s="38"/>
      <c r="H25" s="36">
        <f>F25+G25</f>
        <v>0</v>
      </c>
      <c r="I25" s="39"/>
      <c r="J25" s="221">
        <f>H25+I25</f>
        <v>0</v>
      </c>
    </row>
    <row r="26" spans="1:10" ht="12.75">
      <c r="A26" s="220" t="s">
        <v>114</v>
      </c>
      <c r="B26" s="441" t="s">
        <v>69</v>
      </c>
      <c r="C26" s="442"/>
      <c r="D26" s="38"/>
      <c r="E26" s="38"/>
      <c r="F26" s="36"/>
      <c r="G26" s="38"/>
      <c r="H26" s="36"/>
      <c r="I26" s="39"/>
      <c r="J26" s="221"/>
    </row>
    <row r="27" spans="1:10" ht="12.75">
      <c r="A27" s="220"/>
      <c r="B27" s="513"/>
      <c r="C27" s="460" t="s">
        <v>444</v>
      </c>
      <c r="D27" s="38"/>
      <c r="E27" s="38">
        <f>+'Attachment A'!P36</f>
        <v>129997.76000000001</v>
      </c>
      <c r="F27" s="36">
        <f aca="true" t="shared" si="3" ref="F27:F34">SUM(D27:E27)</f>
        <v>129997.76000000001</v>
      </c>
      <c r="G27" s="38"/>
      <c r="H27" s="36">
        <f aca="true" t="shared" si="4" ref="H27:H35">F27+G27</f>
        <v>129997.76000000001</v>
      </c>
      <c r="I27" s="39"/>
      <c r="J27" s="221">
        <f aca="true" t="shared" si="5" ref="J27:J35">H27+I27</f>
        <v>129997.76000000001</v>
      </c>
    </row>
    <row r="28" spans="1:10" ht="12.75">
      <c r="A28" s="220"/>
      <c r="B28" s="465"/>
      <c r="C28" s="462" t="s">
        <v>981</v>
      </c>
      <c r="D28" s="38">
        <v>0</v>
      </c>
      <c r="E28" s="38">
        <v>0</v>
      </c>
      <c r="F28" s="36">
        <f t="shared" si="3"/>
        <v>0</v>
      </c>
      <c r="G28" s="38"/>
      <c r="H28" s="36">
        <f t="shared" si="4"/>
        <v>0</v>
      </c>
      <c r="I28" s="39"/>
      <c r="J28" s="221">
        <f t="shared" si="5"/>
        <v>0</v>
      </c>
    </row>
    <row r="29" spans="1:10" ht="12.75">
      <c r="A29" s="220"/>
      <c r="B29" s="465"/>
      <c r="C29" s="462" t="s">
        <v>959</v>
      </c>
      <c r="D29" s="38"/>
      <c r="E29" s="38"/>
      <c r="F29" s="36">
        <f t="shared" si="3"/>
        <v>0</v>
      </c>
      <c r="G29" s="38">
        <v>7802370</v>
      </c>
      <c r="H29" s="36">
        <f t="shared" si="4"/>
        <v>7802370</v>
      </c>
      <c r="I29" s="39"/>
      <c r="J29" s="221">
        <f t="shared" si="5"/>
        <v>7802370</v>
      </c>
    </row>
    <row r="30" spans="1:10" ht="12.75">
      <c r="A30" s="220"/>
      <c r="B30" s="466"/>
      <c r="C30" s="462" t="s">
        <v>961</v>
      </c>
      <c r="D30" s="38"/>
      <c r="E30" s="38"/>
      <c r="F30" s="36">
        <f t="shared" si="3"/>
        <v>0</v>
      </c>
      <c r="G30" s="38">
        <v>8384505</v>
      </c>
      <c r="H30" s="36">
        <f t="shared" si="4"/>
        <v>8384505</v>
      </c>
      <c r="I30" s="39"/>
      <c r="J30" s="221">
        <f t="shared" si="5"/>
        <v>8384505</v>
      </c>
    </row>
    <row r="31" spans="1:10" ht="12.75">
      <c r="A31" s="220"/>
      <c r="B31" s="465"/>
      <c r="C31" s="462" t="s">
        <v>960</v>
      </c>
      <c r="D31" s="38"/>
      <c r="E31" s="38"/>
      <c r="F31" s="36">
        <f t="shared" si="3"/>
        <v>0</v>
      </c>
      <c r="G31" s="139">
        <v>2329556</v>
      </c>
      <c r="H31" s="36">
        <f t="shared" si="4"/>
        <v>2329556</v>
      </c>
      <c r="I31" s="39"/>
      <c r="J31" s="221">
        <f t="shared" si="5"/>
        <v>2329556</v>
      </c>
    </row>
    <row r="32" spans="1:11" ht="12.75">
      <c r="A32" s="220"/>
      <c r="B32" s="465"/>
      <c r="C32" s="462"/>
      <c r="D32" s="38"/>
      <c r="E32" s="38"/>
      <c r="F32" s="36">
        <f t="shared" si="3"/>
        <v>0</v>
      </c>
      <c r="G32" s="38"/>
      <c r="H32" s="40">
        <f t="shared" si="4"/>
        <v>0</v>
      </c>
      <c r="I32" s="38"/>
      <c r="J32" s="222">
        <f t="shared" si="5"/>
        <v>0</v>
      </c>
      <c r="K32" s="33"/>
    </row>
    <row r="33" spans="1:11" ht="12.75">
      <c r="A33" s="220"/>
      <c r="B33" s="465"/>
      <c r="C33" s="462"/>
      <c r="D33" s="38"/>
      <c r="E33" s="38"/>
      <c r="F33" s="36">
        <f t="shared" si="3"/>
        <v>0</v>
      </c>
      <c r="G33" s="38"/>
      <c r="H33" s="40">
        <f t="shared" si="4"/>
        <v>0</v>
      </c>
      <c r="I33" s="38"/>
      <c r="J33" s="222">
        <f t="shared" si="5"/>
        <v>0</v>
      </c>
      <c r="K33" s="33"/>
    </row>
    <row r="34" spans="1:11" ht="12.75" customHeight="1">
      <c r="A34" s="223"/>
      <c r="B34" s="25"/>
      <c r="C34" s="462"/>
      <c r="D34" s="38"/>
      <c r="E34" s="38"/>
      <c r="F34" s="36">
        <f t="shared" si="3"/>
        <v>0</v>
      </c>
      <c r="G34" s="38"/>
      <c r="H34" s="40">
        <f t="shared" si="4"/>
        <v>0</v>
      </c>
      <c r="I34" s="38"/>
      <c r="J34" s="222">
        <f t="shared" si="5"/>
        <v>0</v>
      </c>
      <c r="K34" s="33"/>
    </row>
    <row r="35" spans="1:11" ht="12.75" customHeight="1">
      <c r="A35" s="223"/>
      <c r="B35" s="110"/>
      <c r="C35" s="460"/>
      <c r="D35" s="104"/>
      <c r="E35" s="41"/>
      <c r="F35" s="40">
        <f>SUM(D35:E35)</f>
        <v>0</v>
      </c>
      <c r="G35" s="41"/>
      <c r="H35" s="40">
        <f t="shared" si="4"/>
        <v>0</v>
      </c>
      <c r="I35" s="41"/>
      <c r="J35" s="222">
        <f t="shared" si="5"/>
        <v>0</v>
      </c>
      <c r="K35" s="33"/>
    </row>
    <row r="36" spans="1:10" s="126" customFormat="1" ht="12.75">
      <c r="A36" s="224" t="s">
        <v>113</v>
      </c>
      <c r="B36" s="1142" t="s">
        <v>333</v>
      </c>
      <c r="C36" s="1143"/>
      <c r="D36" s="129">
        <f aca="true" t="shared" si="6" ref="D36:J36">SUM(D19:D35)</f>
        <v>478186.8770218409</v>
      </c>
      <c r="E36" s="129">
        <f t="shared" si="6"/>
        <v>240658.83000000002</v>
      </c>
      <c r="F36" s="129">
        <f t="shared" si="6"/>
        <v>718845.7070218408</v>
      </c>
      <c r="G36" s="129">
        <f t="shared" si="6"/>
        <v>18516431</v>
      </c>
      <c r="H36" s="129">
        <f t="shared" si="6"/>
        <v>19235276.70702184</v>
      </c>
      <c r="I36" s="129">
        <f t="shared" si="6"/>
        <v>0</v>
      </c>
      <c r="J36" s="225">
        <f t="shared" si="6"/>
        <v>19235276.70702184</v>
      </c>
    </row>
    <row r="37" spans="1:10" ht="25.5" customHeight="1" thickBot="1">
      <c r="A37" s="257" t="s">
        <v>102</v>
      </c>
      <c r="B37" s="1152" t="s">
        <v>344</v>
      </c>
      <c r="C37" s="1153"/>
      <c r="D37" s="327">
        <f>D36+'P5 Form A-3 - Mental Health'!D45</f>
        <v>68111682.57308666</v>
      </c>
      <c r="E37" s="327">
        <f>E36+'P5 Form A-3 - Mental Health'!E45</f>
        <v>59529095.53249645</v>
      </c>
      <c r="F37" s="327">
        <f>F36+'P5 Form A-3 - Mental Health'!F45</f>
        <v>127640778.10558312</v>
      </c>
      <c r="G37" s="327">
        <f>G36+'P5 Form A-3 - Mental Health'!G45</f>
        <v>2329557.4000000004</v>
      </c>
      <c r="H37" s="327">
        <f>H36+'P5 Form A-3 - Mental Health'!H45</f>
        <v>129970335.50558311</v>
      </c>
      <c r="I37" s="327">
        <f>I36+'P5 Form A-3 - Mental Health'!I45</f>
        <v>0</v>
      </c>
      <c r="J37" s="328">
        <f>J36+'P5 Form A-3 - Mental Health'!J45</f>
        <v>129970335.50558311</v>
      </c>
    </row>
    <row r="38" spans="1:10" ht="14.25" thickBot="1" thickTop="1">
      <c r="A38" s="262"/>
      <c r="B38" s="263"/>
      <c r="C38" s="263"/>
      <c r="D38" s="264"/>
      <c r="E38" s="264"/>
      <c r="F38" s="265"/>
      <c r="G38" s="264"/>
      <c r="H38" s="265"/>
      <c r="I38" s="264"/>
      <c r="J38" s="266"/>
    </row>
    <row r="39" spans="1:10" ht="12.75">
      <c r="A39" s="134"/>
      <c r="B39" s="431"/>
      <c r="C39" s="431"/>
      <c r="D39" s="135"/>
      <c r="E39" s="135"/>
      <c r="F39" s="136"/>
      <c r="G39" s="135"/>
      <c r="H39" s="136"/>
      <c r="I39" s="135"/>
      <c r="J39" s="136"/>
    </row>
    <row r="54" s="126" customFormat="1" ht="12.75"/>
  </sheetData>
  <sheetProtection password="E1AE" sheet="1" formatColumns="0" formatRows="0"/>
  <mergeCells count="15">
    <mergeCell ref="A1:J1"/>
    <mergeCell ref="A2:J2"/>
    <mergeCell ref="A3:J3"/>
    <mergeCell ref="A4:J4"/>
    <mergeCell ref="E6:F6"/>
    <mergeCell ref="I6:J6"/>
    <mergeCell ref="B20:C20"/>
    <mergeCell ref="B36:C36"/>
    <mergeCell ref="B37:C37"/>
    <mergeCell ref="C8:H8"/>
    <mergeCell ref="A11:J11"/>
    <mergeCell ref="A14:C15"/>
    <mergeCell ref="B17:C17"/>
    <mergeCell ref="B18:C18"/>
    <mergeCell ref="B19:C19"/>
  </mergeCells>
  <printOptions horizontalCentered="1" verticalCentered="1"/>
  <pageMargins left="0.25" right="0.25" top="0.25" bottom="0.5" header="0.5" footer="0.25"/>
  <pageSetup horizontalDpi="600" verticalDpi="600" orientation="landscape" scale="82" r:id="rId1"/>
  <headerFooter alignWithMargins="0">
    <oddFooter>&amp;LDSS-16 10-24-2016&amp;RPage 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S56"/>
  <sheetViews>
    <sheetView zoomScalePageLayoutView="0" workbookViewId="0" topLeftCell="A13">
      <selection activeCell="C27" sqref="C27"/>
    </sheetView>
  </sheetViews>
  <sheetFormatPr defaultColWidth="9.7109375" defaultRowHeight="12.75"/>
  <cols>
    <col min="1" max="1" width="4.7109375" style="22" customWidth="1"/>
    <col min="2" max="2" width="13.57421875" style="22" customWidth="1"/>
    <col min="3" max="3" width="40.140625" style="22" customWidth="1"/>
    <col min="4" max="4" width="13.00390625" style="22" customWidth="1"/>
    <col min="5" max="5" width="12.421875" style="31" customWidth="1"/>
    <col min="6" max="6" width="13.28125" style="22" bestFit="1" customWidth="1"/>
    <col min="7" max="7" width="11.7109375" style="22" customWidth="1"/>
    <col min="8" max="8" width="13.421875" style="22" customWidth="1"/>
    <col min="9" max="9" width="11.28125" style="22" customWidth="1"/>
    <col min="10" max="10" width="14.140625" style="22" customWidth="1"/>
    <col min="11" max="11" width="9.7109375" style="22" customWidth="1"/>
    <col min="12" max="12" width="18.8515625" style="22" customWidth="1"/>
    <col min="13" max="16384" width="9.7109375" style="22" customWidth="1"/>
  </cols>
  <sheetData>
    <row r="1" spans="1:15" s="18" customFormat="1" ht="12.75">
      <c r="A1" s="1107" t="s">
        <v>45</v>
      </c>
      <c r="B1" s="1107"/>
      <c r="C1" s="1107"/>
      <c r="D1" s="1107"/>
      <c r="E1" s="1107"/>
      <c r="F1" s="1107"/>
      <c r="G1" s="1107"/>
      <c r="H1" s="1107"/>
      <c r="I1" s="1107"/>
      <c r="J1" s="1107"/>
      <c r="K1" s="75"/>
      <c r="L1" s="75"/>
      <c r="M1" s="75"/>
      <c r="N1" s="75"/>
      <c r="O1" s="75"/>
    </row>
    <row r="2" spans="1:15" s="18" customFormat="1" ht="12.75">
      <c r="A2" s="1107" t="s">
        <v>46</v>
      </c>
      <c r="B2" s="1107"/>
      <c r="C2" s="1107"/>
      <c r="D2" s="1107"/>
      <c r="E2" s="1107"/>
      <c r="F2" s="1107"/>
      <c r="G2" s="1107"/>
      <c r="H2" s="1107"/>
      <c r="I2" s="1107"/>
      <c r="J2" s="1107"/>
      <c r="K2" s="75"/>
      <c r="L2" s="75"/>
      <c r="M2" s="75"/>
      <c r="N2" s="75"/>
      <c r="O2" s="75"/>
    </row>
    <row r="3" spans="1:15" s="18" customFormat="1" ht="12.75">
      <c r="A3" s="1107" t="s">
        <v>47</v>
      </c>
      <c r="B3" s="1107"/>
      <c r="C3" s="1107"/>
      <c r="D3" s="1107"/>
      <c r="E3" s="1107"/>
      <c r="F3" s="1107"/>
      <c r="G3" s="1107"/>
      <c r="H3" s="1107"/>
      <c r="I3" s="1107"/>
      <c r="J3" s="1107"/>
      <c r="K3" s="75"/>
      <c r="L3" s="75"/>
      <c r="M3" s="75"/>
      <c r="N3" s="75"/>
      <c r="O3" s="75"/>
    </row>
    <row r="4" spans="1:15" s="18" customFormat="1" ht="12.75">
      <c r="A4" s="1107" t="s">
        <v>48</v>
      </c>
      <c r="B4" s="1107"/>
      <c r="C4" s="1107"/>
      <c r="D4" s="1107"/>
      <c r="E4" s="1107"/>
      <c r="F4" s="1107"/>
      <c r="G4" s="1107"/>
      <c r="H4" s="1107"/>
      <c r="I4" s="1107"/>
      <c r="J4" s="1107"/>
      <c r="K4" s="75"/>
      <c r="L4" s="75"/>
      <c r="M4" s="75"/>
      <c r="N4" s="75"/>
      <c r="O4" s="75"/>
    </row>
    <row r="5" spans="1:19" s="18" customFormat="1" ht="13.5" thickBot="1">
      <c r="A5" s="12"/>
      <c r="B5" s="13"/>
      <c r="C5" s="13"/>
      <c r="D5" s="440"/>
      <c r="E5" s="440"/>
      <c r="F5" s="440"/>
      <c r="G5" s="440"/>
      <c r="H5" s="440"/>
      <c r="I5" s="440"/>
      <c r="J5" s="440"/>
      <c r="K5" s="76"/>
      <c r="L5" s="76"/>
      <c r="M5" s="76"/>
      <c r="N5" s="76"/>
      <c r="O5" s="76"/>
      <c r="P5" s="87"/>
      <c r="Q5" s="87"/>
      <c r="R5" s="87"/>
      <c r="S5" s="87"/>
    </row>
    <row r="6" spans="1:19" s="18" customFormat="1" ht="20.25" customHeight="1">
      <c r="A6" s="93"/>
      <c r="B6" s="77" t="s">
        <v>54</v>
      </c>
      <c r="C6" s="78"/>
      <c r="D6" s="78" t="s">
        <v>6</v>
      </c>
      <c r="E6" s="1114">
        <f>'P1 Info &amp; Certification'!L20</f>
        <v>44013</v>
      </c>
      <c r="F6" s="1114"/>
      <c r="G6" s="96"/>
      <c r="H6" s="95" t="s">
        <v>7</v>
      </c>
      <c r="I6" s="1114">
        <f>'P1 Info &amp; Certification'!N20</f>
        <v>44377</v>
      </c>
      <c r="J6" s="1131"/>
      <c r="K6" s="88"/>
      <c r="L6" s="32"/>
      <c r="M6" s="92"/>
      <c r="N6" s="92"/>
      <c r="O6" s="32"/>
      <c r="P6" s="87"/>
      <c r="Q6" s="87"/>
      <c r="R6" s="87"/>
      <c r="S6" s="87"/>
    </row>
    <row r="7" spans="1:19" s="18" customFormat="1" ht="12.75">
      <c r="A7" s="83"/>
      <c r="B7" s="458"/>
      <c r="C7" s="458"/>
      <c r="D7" s="458"/>
      <c r="E7" s="13"/>
      <c r="F7" s="13"/>
      <c r="G7" s="13"/>
      <c r="H7" s="13"/>
      <c r="I7" s="13"/>
      <c r="J7" s="81"/>
      <c r="K7" s="13"/>
      <c r="L7" s="13"/>
      <c r="M7" s="13"/>
      <c r="N7" s="13"/>
      <c r="O7" s="13"/>
      <c r="P7" s="87"/>
      <c r="Q7" s="87"/>
      <c r="R7" s="87"/>
      <c r="S7" s="87"/>
    </row>
    <row r="8" spans="1:19" s="18" customFormat="1" ht="18" customHeight="1" thickBot="1">
      <c r="A8" s="97"/>
      <c r="B8" s="445" t="s">
        <v>59</v>
      </c>
      <c r="C8" s="1149" t="str">
        <f>'P1 Info &amp; Certification'!E12</f>
        <v>COMMUNITY HEALTH CENTER, INC.</v>
      </c>
      <c r="D8" s="1149"/>
      <c r="E8" s="1149"/>
      <c r="F8" s="1149"/>
      <c r="G8" s="1149"/>
      <c r="H8" s="1149"/>
      <c r="I8" s="463"/>
      <c r="J8" s="464"/>
      <c r="K8" s="91"/>
      <c r="L8" s="91"/>
      <c r="M8" s="91"/>
      <c r="N8" s="91"/>
      <c r="O8" s="91"/>
      <c r="P8" s="87"/>
      <c r="Q8" s="87"/>
      <c r="R8" s="87"/>
      <c r="S8" s="87"/>
    </row>
    <row r="9" spans="1:10" s="18" customFormat="1" ht="12.75">
      <c r="A9" s="16"/>
      <c r="B9" s="19"/>
      <c r="C9" s="19"/>
      <c r="D9" s="19"/>
      <c r="E9" s="20"/>
      <c r="F9" s="19"/>
      <c r="G9" s="21"/>
      <c r="H9" s="19"/>
      <c r="I9" s="19"/>
      <c r="J9" s="19"/>
    </row>
    <row r="10" spans="1:10" s="18" customFormat="1" ht="13.5" thickBot="1">
      <c r="A10" s="16"/>
      <c r="B10" s="19"/>
      <c r="C10" s="19"/>
      <c r="D10" s="19"/>
      <c r="E10" s="20"/>
      <c r="F10" s="19"/>
      <c r="G10" s="21"/>
      <c r="H10" s="19"/>
      <c r="I10" s="19"/>
      <c r="J10" s="17" t="s">
        <v>343</v>
      </c>
    </row>
    <row r="11" spans="1:10" s="18" customFormat="1" ht="19.5" customHeight="1">
      <c r="A11" s="1146" t="s">
        <v>290</v>
      </c>
      <c r="B11" s="1147"/>
      <c r="C11" s="1147"/>
      <c r="D11" s="1147"/>
      <c r="E11" s="1147"/>
      <c r="F11" s="1147"/>
      <c r="G11" s="1147"/>
      <c r="H11" s="1147"/>
      <c r="I11" s="1147"/>
      <c r="J11" s="1148"/>
    </row>
    <row r="12" spans="1:10" s="18" customFormat="1" ht="13.5" thickBot="1">
      <c r="A12" s="113"/>
      <c r="B12" s="114"/>
      <c r="C12" s="114"/>
      <c r="D12" s="114"/>
      <c r="E12" s="115"/>
      <c r="F12" s="114"/>
      <c r="G12" s="114"/>
      <c r="H12" s="114"/>
      <c r="I12" s="114"/>
      <c r="J12" s="116"/>
    </row>
    <row r="13" spans="1:10" s="30" customFormat="1" ht="10.5" customHeight="1">
      <c r="A13" s="117"/>
      <c r="B13" s="118"/>
      <c r="C13" s="119"/>
      <c r="D13" s="1"/>
      <c r="E13" s="2" t="s">
        <v>2</v>
      </c>
      <c r="F13" s="1"/>
      <c r="G13" s="1" t="s">
        <v>10</v>
      </c>
      <c r="H13" s="1" t="s">
        <v>11</v>
      </c>
      <c r="I13" s="1" t="s">
        <v>12</v>
      </c>
      <c r="J13" s="212" t="s">
        <v>13</v>
      </c>
    </row>
    <row r="14" spans="1:10" s="30" customFormat="1" ht="10.5" customHeight="1">
      <c r="A14" s="1136" t="s">
        <v>74</v>
      </c>
      <c r="B14" s="1137"/>
      <c r="C14" s="1138"/>
      <c r="D14" s="1" t="s">
        <v>9</v>
      </c>
      <c r="E14" s="2" t="s">
        <v>14</v>
      </c>
      <c r="F14" s="1"/>
      <c r="G14" s="1" t="s">
        <v>15</v>
      </c>
      <c r="H14" s="1" t="s">
        <v>16</v>
      </c>
      <c r="I14" s="1" t="s">
        <v>17</v>
      </c>
      <c r="J14" s="212" t="s">
        <v>18</v>
      </c>
    </row>
    <row r="15" spans="1:10" ht="10.5" customHeight="1">
      <c r="A15" s="1136"/>
      <c r="B15" s="1137"/>
      <c r="C15" s="1138"/>
      <c r="D15" s="1" t="s">
        <v>0</v>
      </c>
      <c r="E15" s="2" t="s">
        <v>19</v>
      </c>
      <c r="F15" s="1" t="s">
        <v>1</v>
      </c>
      <c r="G15" s="1" t="s">
        <v>20</v>
      </c>
      <c r="H15" s="1" t="s">
        <v>21</v>
      </c>
      <c r="I15" s="1" t="s">
        <v>291</v>
      </c>
      <c r="J15" s="212" t="s">
        <v>22</v>
      </c>
    </row>
    <row r="16" spans="1:10" ht="10.5" customHeight="1" thickBot="1">
      <c r="A16" s="120"/>
      <c r="B16" s="121"/>
      <c r="C16" s="122"/>
      <c r="D16" s="6" t="s">
        <v>60</v>
      </c>
      <c r="E16" s="4" t="s">
        <v>61</v>
      </c>
      <c r="F16" s="5" t="s">
        <v>62</v>
      </c>
      <c r="G16" s="6" t="s">
        <v>63</v>
      </c>
      <c r="H16" s="6" t="s">
        <v>64</v>
      </c>
      <c r="I16" s="6" t="s">
        <v>65</v>
      </c>
      <c r="J16" s="436" t="s">
        <v>66</v>
      </c>
    </row>
    <row r="17" spans="1:10" ht="12" customHeight="1">
      <c r="A17" s="213" t="s">
        <v>103</v>
      </c>
      <c r="B17" s="1145" t="s">
        <v>104</v>
      </c>
      <c r="C17" s="1145"/>
      <c r="D17" s="132"/>
      <c r="E17" s="133"/>
      <c r="F17" s="132"/>
      <c r="G17" s="132"/>
      <c r="H17" s="132"/>
      <c r="I17" s="132"/>
      <c r="J17" s="254"/>
    </row>
    <row r="18" spans="1:10" ht="12" customHeight="1">
      <c r="A18" s="218" t="s">
        <v>70</v>
      </c>
      <c r="B18" s="441" t="s">
        <v>105</v>
      </c>
      <c r="C18" s="446"/>
      <c r="D18" s="138"/>
      <c r="E18" s="29">
        <f>+'Attachment A'!C33</f>
        <v>303014</v>
      </c>
      <c r="F18" s="28">
        <f>SUM(D18:E18)</f>
        <v>303014</v>
      </c>
      <c r="G18" s="29"/>
      <c r="H18" s="28">
        <f aca="true" t="shared" si="0" ref="H18:H24">F18+G18</f>
        <v>303014</v>
      </c>
      <c r="I18" s="29"/>
      <c r="J18" s="227">
        <f aca="true" t="shared" si="1" ref="J18:J24">H18+I18</f>
        <v>303014</v>
      </c>
    </row>
    <row r="19" spans="1:10" ht="12" customHeight="1">
      <c r="A19" s="220" t="s">
        <v>71</v>
      </c>
      <c r="B19" s="1129" t="s">
        <v>106</v>
      </c>
      <c r="C19" s="1151"/>
      <c r="D19" s="29"/>
      <c r="E19" s="29">
        <f>+'Attachment A'!C34</f>
        <v>423513</v>
      </c>
      <c r="F19" s="28">
        <f>SUM(D19:E19)</f>
        <v>423513</v>
      </c>
      <c r="G19" s="29"/>
      <c r="H19" s="28">
        <f t="shared" si="0"/>
        <v>423513</v>
      </c>
      <c r="I19" s="29"/>
      <c r="J19" s="227">
        <f t="shared" si="1"/>
        <v>423513</v>
      </c>
    </row>
    <row r="20" spans="1:10" ht="12" customHeight="1">
      <c r="A20" s="220" t="s">
        <v>72</v>
      </c>
      <c r="B20" s="446" t="s">
        <v>107</v>
      </c>
      <c r="C20" s="446"/>
      <c r="D20" s="29"/>
      <c r="E20" s="29">
        <f>+'Attachment A'!C35</f>
        <v>1234036</v>
      </c>
      <c r="F20" s="28">
        <f aca="true" t="shared" si="2" ref="F20:F29">SUM(D20:E20)</f>
        <v>1234036</v>
      </c>
      <c r="G20" s="29"/>
      <c r="H20" s="28">
        <f t="shared" si="0"/>
        <v>1234036</v>
      </c>
      <c r="I20" s="29">
        <v>0</v>
      </c>
      <c r="J20" s="227">
        <f t="shared" si="1"/>
        <v>1234036</v>
      </c>
    </row>
    <row r="21" spans="1:10" ht="12" customHeight="1">
      <c r="A21" s="220" t="s">
        <v>73</v>
      </c>
      <c r="B21" s="26" t="s">
        <v>108</v>
      </c>
      <c r="C21" s="26"/>
      <c r="D21" s="29"/>
      <c r="E21" s="29">
        <f>+'Attachment A'!C36</f>
        <v>199659</v>
      </c>
      <c r="F21" s="28">
        <f t="shared" si="2"/>
        <v>199659</v>
      </c>
      <c r="G21" s="29"/>
      <c r="H21" s="28">
        <f t="shared" si="0"/>
        <v>199659</v>
      </c>
      <c r="I21" s="29"/>
      <c r="J21" s="227">
        <f t="shared" si="1"/>
        <v>199659</v>
      </c>
    </row>
    <row r="22" spans="1:10" ht="12" customHeight="1">
      <c r="A22" s="220" t="s">
        <v>80</v>
      </c>
      <c r="B22" s="26" t="s">
        <v>109</v>
      </c>
      <c r="C22" s="26"/>
      <c r="D22" s="29"/>
      <c r="E22" s="29">
        <f>+'Attachment A'!C37</f>
        <v>1238606</v>
      </c>
      <c r="F22" s="28">
        <f t="shared" si="2"/>
        <v>1238606</v>
      </c>
      <c r="G22" s="29"/>
      <c r="H22" s="28">
        <f t="shared" si="0"/>
        <v>1238606</v>
      </c>
      <c r="I22" s="29"/>
      <c r="J22" s="227">
        <f t="shared" si="1"/>
        <v>1238606</v>
      </c>
    </row>
    <row r="23" spans="1:10" ht="12" customHeight="1">
      <c r="A23" s="220" t="s">
        <v>81</v>
      </c>
      <c r="B23" s="26" t="s">
        <v>110</v>
      </c>
      <c r="C23" s="26"/>
      <c r="D23" s="29"/>
      <c r="E23" s="29"/>
      <c r="F23" s="28">
        <f t="shared" si="2"/>
        <v>0</v>
      </c>
      <c r="G23" s="29"/>
      <c r="H23" s="28">
        <f t="shared" si="0"/>
        <v>0</v>
      </c>
      <c r="I23" s="29"/>
      <c r="J23" s="227">
        <f t="shared" si="1"/>
        <v>0</v>
      </c>
    </row>
    <row r="24" spans="1:10" ht="12" customHeight="1">
      <c r="A24" s="220" t="s">
        <v>112</v>
      </c>
      <c r="B24" s="26" t="s">
        <v>111</v>
      </c>
      <c r="C24" s="26"/>
      <c r="D24" s="29"/>
      <c r="E24" s="29">
        <f>+'Attachment A'!C38</f>
        <v>3293224</v>
      </c>
      <c r="F24" s="28">
        <f t="shared" si="2"/>
        <v>3293224</v>
      </c>
      <c r="G24" s="29"/>
      <c r="H24" s="28">
        <f t="shared" si="0"/>
        <v>3293224</v>
      </c>
      <c r="I24" s="29"/>
      <c r="J24" s="227">
        <f t="shared" si="1"/>
        <v>3293224</v>
      </c>
    </row>
    <row r="25" spans="1:10" ht="12" customHeight="1">
      <c r="A25" s="220" t="s">
        <v>114</v>
      </c>
      <c r="B25" s="26" t="s">
        <v>44</v>
      </c>
      <c r="C25" s="26"/>
      <c r="D25" s="29"/>
      <c r="E25" s="29"/>
      <c r="F25" s="28"/>
      <c r="G25" s="29"/>
      <c r="H25" s="28"/>
      <c r="I25" s="29"/>
      <c r="J25" s="227"/>
    </row>
    <row r="26" spans="1:10" ht="12" customHeight="1">
      <c r="A26" s="220"/>
      <c r="B26" s="466"/>
      <c r="C26" s="470" t="s">
        <v>450</v>
      </c>
      <c r="D26" s="29"/>
      <c r="E26" s="29">
        <f>+'Attachment A'!C39</f>
        <v>6490</v>
      </c>
      <c r="F26" s="28">
        <f t="shared" si="2"/>
        <v>6490</v>
      </c>
      <c r="G26" s="29"/>
      <c r="H26" s="28">
        <f>F26+G26</f>
        <v>6490</v>
      </c>
      <c r="I26" s="29"/>
      <c r="J26" s="227">
        <f>H26+I26</f>
        <v>6490</v>
      </c>
    </row>
    <row r="27" spans="1:10" ht="12" customHeight="1">
      <c r="A27" s="220"/>
      <c r="B27" s="466"/>
      <c r="C27" s="461" t="s">
        <v>982</v>
      </c>
      <c r="D27" s="29"/>
      <c r="E27" s="29"/>
      <c r="F27" s="28">
        <f t="shared" si="2"/>
        <v>0</v>
      </c>
      <c r="G27" s="29">
        <v>-147091</v>
      </c>
      <c r="H27" s="28">
        <f>F27+G27</f>
        <v>-147091</v>
      </c>
      <c r="I27" s="29"/>
      <c r="J27" s="227">
        <f>H27+I27</f>
        <v>-147091</v>
      </c>
    </row>
    <row r="28" spans="1:10" ht="12" customHeight="1">
      <c r="A28" s="223"/>
      <c r="B28" s="465"/>
      <c r="C28" s="462"/>
      <c r="D28" s="29"/>
      <c r="E28" s="29"/>
      <c r="F28" s="28">
        <f t="shared" si="2"/>
        <v>0</v>
      </c>
      <c r="G28" s="29"/>
      <c r="H28" s="28">
        <f>F28+G28</f>
        <v>0</v>
      </c>
      <c r="I28" s="29"/>
      <c r="J28" s="227">
        <f>H28+I28</f>
        <v>0</v>
      </c>
    </row>
    <row r="29" spans="1:10" ht="12" customHeight="1">
      <c r="A29" s="223"/>
      <c r="B29" s="465"/>
      <c r="C29" s="462"/>
      <c r="D29" s="29"/>
      <c r="E29" s="29"/>
      <c r="F29" s="28">
        <f t="shared" si="2"/>
        <v>0</v>
      </c>
      <c r="G29" s="29"/>
      <c r="H29" s="28">
        <f>F29+G29</f>
        <v>0</v>
      </c>
      <c r="I29" s="29"/>
      <c r="J29" s="227">
        <f>H29+I29</f>
        <v>0</v>
      </c>
    </row>
    <row r="30" spans="1:10" ht="12" customHeight="1">
      <c r="A30" s="223"/>
      <c r="B30" s="106"/>
      <c r="C30" s="108"/>
      <c r="D30" s="105"/>
      <c r="E30" s="29"/>
      <c r="F30" s="28">
        <f>SUM(D30:E30)</f>
        <v>0</v>
      </c>
      <c r="G30" s="29"/>
      <c r="H30" s="28">
        <f>F30+G30</f>
        <v>0</v>
      </c>
      <c r="I30" s="29"/>
      <c r="J30" s="227">
        <f>H30+I30</f>
        <v>0</v>
      </c>
    </row>
    <row r="31" spans="1:10" ht="12" customHeight="1">
      <c r="A31" s="228" t="s">
        <v>113</v>
      </c>
      <c r="B31" s="111" t="s">
        <v>227</v>
      </c>
      <c r="C31" s="127"/>
      <c r="D31" s="128">
        <f aca="true" t="shared" si="3" ref="D31:J31">SUM(D17:D30)</f>
        <v>0</v>
      </c>
      <c r="E31" s="128">
        <f t="shared" si="3"/>
        <v>6698542</v>
      </c>
      <c r="F31" s="128">
        <f t="shared" si="3"/>
        <v>6698542</v>
      </c>
      <c r="G31" s="128">
        <f t="shared" si="3"/>
        <v>-147091</v>
      </c>
      <c r="H31" s="128">
        <f t="shared" si="3"/>
        <v>6551451</v>
      </c>
      <c r="I31" s="128">
        <f t="shared" si="3"/>
        <v>0</v>
      </c>
      <c r="J31" s="229">
        <f t="shared" si="3"/>
        <v>6551451</v>
      </c>
    </row>
    <row r="32" spans="1:10" ht="12" customHeight="1">
      <c r="A32" s="255"/>
      <c r="B32" s="189"/>
      <c r="C32" s="189"/>
      <c r="D32" s="190"/>
      <c r="E32" s="191"/>
      <c r="F32" s="190"/>
      <c r="G32" s="190"/>
      <c r="H32" s="192"/>
      <c r="I32" s="190"/>
      <c r="J32" s="256"/>
    </row>
    <row r="33" spans="1:10" ht="12" customHeight="1">
      <c r="A33" s="244" t="s">
        <v>115</v>
      </c>
      <c r="B33" s="1145" t="s">
        <v>116</v>
      </c>
      <c r="C33" s="1145"/>
      <c r="D33" s="100"/>
      <c r="E33" s="101"/>
      <c r="F33" s="8"/>
      <c r="G33" s="100"/>
      <c r="H33" s="8"/>
      <c r="I33" s="100"/>
      <c r="J33" s="217"/>
    </row>
    <row r="34" spans="1:10" ht="12.75">
      <c r="A34" s="218" t="s">
        <v>70</v>
      </c>
      <c r="B34" s="1132" t="s">
        <v>117</v>
      </c>
      <c r="C34" s="1133"/>
      <c r="D34" s="34">
        <f>+'Attachment A'!AM21</f>
        <v>16537894.8927584</v>
      </c>
      <c r="E34" s="34">
        <f>+'Attachment A'!AN21</f>
        <v>3827140.9000000004</v>
      </c>
      <c r="F34" s="28">
        <f>SUM(D34:E34)</f>
        <v>20365035.792758398</v>
      </c>
      <c r="G34" s="34"/>
      <c r="H34" s="36">
        <f aca="true" t="shared" si="4" ref="H34:H47">F34+G34</f>
        <v>20365035.792758398</v>
      </c>
      <c r="I34" s="37"/>
      <c r="J34" s="219">
        <f aca="true" t="shared" si="5" ref="J34:J48">H34+I34</f>
        <v>20365035.792758398</v>
      </c>
    </row>
    <row r="35" spans="1:10" ht="12.75">
      <c r="A35" s="220" t="s">
        <v>71</v>
      </c>
      <c r="B35" s="1129" t="s">
        <v>118</v>
      </c>
      <c r="C35" s="1130"/>
      <c r="D35" s="38"/>
      <c r="E35" s="38">
        <v>0</v>
      </c>
      <c r="F35" s="28">
        <f>SUM(D35:E35)</f>
        <v>0</v>
      </c>
      <c r="G35" s="38"/>
      <c r="H35" s="36">
        <f t="shared" si="4"/>
        <v>0</v>
      </c>
      <c r="I35" s="39"/>
      <c r="J35" s="221">
        <f t="shared" si="5"/>
        <v>0</v>
      </c>
    </row>
    <row r="36" spans="1:10" ht="12.75">
      <c r="A36" s="220" t="s">
        <v>72</v>
      </c>
      <c r="B36" s="441" t="s">
        <v>119</v>
      </c>
      <c r="C36" s="442"/>
      <c r="D36" s="38"/>
      <c r="E36" s="38">
        <f>+'Attachment A'!C40</f>
        <v>917051</v>
      </c>
      <c r="F36" s="28">
        <f aca="true" t="shared" si="6" ref="F36:F47">SUM(D36:E36)</f>
        <v>917051</v>
      </c>
      <c r="G36" s="38"/>
      <c r="H36" s="36">
        <f t="shared" si="4"/>
        <v>917051</v>
      </c>
      <c r="I36" s="39"/>
      <c r="J36" s="221">
        <f t="shared" si="5"/>
        <v>917051</v>
      </c>
    </row>
    <row r="37" spans="1:10" ht="12.75">
      <c r="A37" s="220" t="s">
        <v>73</v>
      </c>
      <c r="B37" s="441" t="s">
        <v>120</v>
      </c>
      <c r="C37" s="442"/>
      <c r="D37" s="38"/>
      <c r="E37" s="38">
        <f>+'Attachment A'!C41</f>
        <v>3349758</v>
      </c>
      <c r="F37" s="28">
        <f t="shared" si="6"/>
        <v>3349758</v>
      </c>
      <c r="G37" s="38"/>
      <c r="H37" s="36">
        <f t="shared" si="4"/>
        <v>3349758</v>
      </c>
      <c r="I37" s="39"/>
      <c r="J37" s="221">
        <f t="shared" si="5"/>
        <v>3349758</v>
      </c>
    </row>
    <row r="38" spans="1:10" ht="12.75">
      <c r="A38" s="220" t="s">
        <v>80</v>
      </c>
      <c r="B38" s="441" t="s">
        <v>121</v>
      </c>
      <c r="C38" s="442"/>
      <c r="D38" s="38"/>
      <c r="E38" s="38">
        <f>+'Attachment A'!C42</f>
        <v>233139</v>
      </c>
      <c r="F38" s="28">
        <f t="shared" si="6"/>
        <v>233139</v>
      </c>
      <c r="G38" s="38"/>
      <c r="H38" s="36">
        <f t="shared" si="4"/>
        <v>233139</v>
      </c>
      <c r="I38" s="39"/>
      <c r="J38" s="221">
        <f t="shared" si="5"/>
        <v>233139</v>
      </c>
    </row>
    <row r="39" spans="1:10" ht="12.75">
      <c r="A39" s="220" t="s">
        <v>81</v>
      </c>
      <c r="B39" s="441" t="s">
        <v>106</v>
      </c>
      <c r="C39" s="442"/>
      <c r="D39" s="38"/>
      <c r="E39" s="38"/>
      <c r="F39" s="28">
        <f t="shared" si="6"/>
        <v>0</v>
      </c>
      <c r="G39" s="38"/>
      <c r="H39" s="36">
        <f>F39+G39</f>
        <v>0</v>
      </c>
      <c r="I39" s="39"/>
      <c r="J39" s="221">
        <f>H39+I39</f>
        <v>0</v>
      </c>
    </row>
    <row r="40" spans="1:10" ht="12.75">
      <c r="A40" s="220" t="s">
        <v>112</v>
      </c>
      <c r="B40" s="441" t="s">
        <v>122</v>
      </c>
      <c r="C40" s="442"/>
      <c r="D40" s="139"/>
      <c r="E40" s="38">
        <f>+'Attachment A'!C43</f>
        <v>1269735</v>
      </c>
      <c r="F40" s="28">
        <f t="shared" si="6"/>
        <v>1269735</v>
      </c>
      <c r="G40" s="38"/>
      <c r="H40" s="36">
        <f t="shared" si="4"/>
        <v>1269735</v>
      </c>
      <c r="I40" s="39"/>
      <c r="J40" s="221">
        <f t="shared" si="5"/>
        <v>1269735</v>
      </c>
    </row>
    <row r="41" spans="1:10" ht="12.75">
      <c r="A41" s="220" t="s">
        <v>114</v>
      </c>
      <c r="B41" s="446" t="s">
        <v>359</v>
      </c>
      <c r="C41" s="442"/>
      <c r="D41" s="139"/>
      <c r="E41" s="38"/>
      <c r="F41" s="28">
        <f t="shared" si="6"/>
        <v>0</v>
      </c>
      <c r="G41" s="38"/>
      <c r="H41" s="36">
        <f t="shared" si="4"/>
        <v>0</v>
      </c>
      <c r="I41" s="39"/>
      <c r="J41" s="221">
        <f t="shared" si="5"/>
        <v>0</v>
      </c>
    </row>
    <row r="42" spans="1:10" ht="12.75">
      <c r="A42" s="220" t="s">
        <v>113</v>
      </c>
      <c r="B42" s="446" t="s">
        <v>123</v>
      </c>
      <c r="C42" s="442"/>
      <c r="D42" s="139"/>
      <c r="E42" s="38"/>
      <c r="F42" s="28">
        <f t="shared" si="6"/>
        <v>0</v>
      </c>
      <c r="G42" s="38"/>
      <c r="H42" s="36">
        <f t="shared" si="4"/>
        <v>0</v>
      </c>
      <c r="I42" s="39"/>
      <c r="J42" s="221">
        <f t="shared" si="5"/>
        <v>0</v>
      </c>
    </row>
    <row r="43" spans="1:10" ht="12.75">
      <c r="A43" s="220" t="s">
        <v>124</v>
      </c>
      <c r="B43" s="26" t="s">
        <v>44</v>
      </c>
      <c r="C43" s="442"/>
      <c r="D43" s="139"/>
      <c r="E43" s="38"/>
      <c r="F43" s="28"/>
      <c r="G43" s="38"/>
      <c r="H43" s="36"/>
      <c r="I43" s="39"/>
      <c r="J43" s="221"/>
    </row>
    <row r="44" spans="1:10" ht="12.75">
      <c r="A44" s="220"/>
      <c r="B44" s="465"/>
      <c r="C44" s="460" t="s">
        <v>444</v>
      </c>
      <c r="D44" s="38"/>
      <c r="E44" s="38">
        <f>+'Attachment A'!C44</f>
        <v>14217897.600000001</v>
      </c>
      <c r="F44" s="28">
        <f t="shared" si="6"/>
        <v>14217897.600000001</v>
      </c>
      <c r="G44" s="38"/>
      <c r="H44" s="36">
        <f t="shared" si="4"/>
        <v>14217897.600000001</v>
      </c>
      <c r="I44" s="39"/>
      <c r="J44" s="221">
        <f t="shared" si="5"/>
        <v>14217897.600000001</v>
      </c>
    </row>
    <row r="45" spans="1:11" ht="12.75">
      <c r="A45" s="220"/>
      <c r="B45" s="465"/>
      <c r="C45" s="461" t="s">
        <v>983</v>
      </c>
      <c r="D45" s="38"/>
      <c r="E45" s="38"/>
      <c r="F45" s="28">
        <f t="shared" si="6"/>
        <v>0</v>
      </c>
      <c r="G45" s="38">
        <v>-2182466</v>
      </c>
      <c r="H45" s="40">
        <f t="shared" si="4"/>
        <v>-2182466</v>
      </c>
      <c r="I45" s="38"/>
      <c r="J45" s="222">
        <f t="shared" si="5"/>
        <v>-2182466</v>
      </c>
      <c r="K45" s="33"/>
    </row>
    <row r="46" spans="1:11" ht="12.75">
      <c r="A46" s="220"/>
      <c r="B46" s="465"/>
      <c r="C46" s="461"/>
      <c r="D46" s="38"/>
      <c r="E46" s="38"/>
      <c r="F46" s="28">
        <f t="shared" si="6"/>
        <v>0</v>
      </c>
      <c r="G46" s="38"/>
      <c r="H46" s="40">
        <f>F46+G46</f>
        <v>0</v>
      </c>
      <c r="I46" s="38"/>
      <c r="J46" s="222">
        <f>H46+I46</f>
        <v>0</v>
      </c>
      <c r="K46" s="33"/>
    </row>
    <row r="47" spans="1:11" ht="12.75">
      <c r="A47" s="220"/>
      <c r="B47" s="465"/>
      <c r="C47" s="462"/>
      <c r="D47" s="38"/>
      <c r="E47" s="38"/>
      <c r="F47" s="28">
        <f t="shared" si="6"/>
        <v>0</v>
      </c>
      <c r="G47" s="38"/>
      <c r="H47" s="40">
        <f t="shared" si="4"/>
        <v>0</v>
      </c>
      <c r="I47" s="38"/>
      <c r="J47" s="222">
        <f t="shared" si="5"/>
        <v>0</v>
      </c>
      <c r="K47" s="33"/>
    </row>
    <row r="48" spans="1:11" ht="12.75" customHeight="1">
      <c r="A48" s="223"/>
      <c r="B48" s="110"/>
      <c r="C48" s="460"/>
      <c r="D48" s="104"/>
      <c r="E48" s="41"/>
      <c r="F48" s="28">
        <f>SUM(D48:E48)</f>
        <v>0</v>
      </c>
      <c r="G48" s="41"/>
      <c r="H48" s="40">
        <f>F48+G48</f>
        <v>0</v>
      </c>
      <c r="I48" s="41"/>
      <c r="J48" s="222">
        <f t="shared" si="5"/>
        <v>0</v>
      </c>
      <c r="K48" s="33"/>
    </row>
    <row r="49" spans="1:10" s="126" customFormat="1" ht="12.75">
      <c r="A49" s="224" t="s">
        <v>125</v>
      </c>
      <c r="B49" s="1142" t="s">
        <v>228</v>
      </c>
      <c r="C49" s="1143"/>
      <c r="D49" s="129">
        <f aca="true" t="shared" si="7" ref="D49:J49">SUM(D34:D48)</f>
        <v>16537894.8927584</v>
      </c>
      <c r="E49" s="129">
        <f t="shared" si="7"/>
        <v>23814721.5</v>
      </c>
      <c r="F49" s="129">
        <f t="shared" si="7"/>
        <v>40352616.3927584</v>
      </c>
      <c r="G49" s="129">
        <f t="shared" si="7"/>
        <v>-2182466</v>
      </c>
      <c r="H49" s="129">
        <f t="shared" si="7"/>
        <v>38170150.3927584</v>
      </c>
      <c r="I49" s="129">
        <f t="shared" si="7"/>
        <v>0</v>
      </c>
      <c r="J49" s="225">
        <f t="shared" si="7"/>
        <v>38170150.3927584</v>
      </c>
    </row>
    <row r="50" spans="1:10" ht="15.75" customHeight="1" thickBot="1">
      <c r="A50" s="257" t="s">
        <v>126</v>
      </c>
      <c r="B50" s="1152" t="s">
        <v>338</v>
      </c>
      <c r="C50" s="1153"/>
      <c r="D50" s="327">
        <f>D49+D31</f>
        <v>16537894.8927584</v>
      </c>
      <c r="E50" s="327">
        <f aca="true" t="shared" si="8" ref="E50:J50">E49+E31</f>
        <v>30513263.5</v>
      </c>
      <c r="F50" s="327">
        <f t="shared" si="8"/>
        <v>47051158.3927584</v>
      </c>
      <c r="G50" s="327">
        <f t="shared" si="8"/>
        <v>-2329557</v>
      </c>
      <c r="H50" s="327">
        <f t="shared" si="8"/>
        <v>44721601.3927584</v>
      </c>
      <c r="I50" s="327">
        <f t="shared" si="8"/>
        <v>0</v>
      </c>
      <c r="J50" s="328">
        <f t="shared" si="8"/>
        <v>44721601.3927584</v>
      </c>
    </row>
    <row r="51" spans="1:10" ht="13.5" thickTop="1">
      <c r="A51" s="258"/>
      <c r="B51" s="446"/>
      <c r="C51" s="446"/>
      <c r="D51" s="467"/>
      <c r="E51" s="467"/>
      <c r="F51" s="329"/>
      <c r="G51" s="467"/>
      <c r="H51" s="329"/>
      <c r="I51" s="467"/>
      <c r="J51" s="330"/>
    </row>
    <row r="52" spans="1:10" ht="19.5" customHeight="1" thickBot="1">
      <c r="A52" s="259" t="s">
        <v>127</v>
      </c>
      <c r="B52" s="1152" t="s">
        <v>339</v>
      </c>
      <c r="C52" s="1153"/>
      <c r="D52" s="327">
        <f>D50+'P6 Form A-4 - Non-Allow Other'!D37</f>
        <v>84649577.46584506</v>
      </c>
      <c r="E52" s="327">
        <f>E50+'P6 Form A-4 - Non-Allow Other'!E37</f>
        <v>90042359.03249645</v>
      </c>
      <c r="F52" s="327">
        <f>F50+'P6 Form A-4 - Non-Allow Other'!F37</f>
        <v>174691936.4983415</v>
      </c>
      <c r="G52" s="327">
        <f>G50+'P6 Form A-4 - Non-Allow Other'!G37</f>
        <v>0.40000000037252903</v>
      </c>
      <c r="H52" s="327">
        <f>H50+'P6 Form A-4 - Non-Allow Other'!H37</f>
        <v>174691936.8983415</v>
      </c>
      <c r="I52" s="327">
        <f>I50+'P6 Form A-4 - Non-Allow Other'!I37</f>
        <v>0</v>
      </c>
      <c r="J52" s="328">
        <f>J50+'P6 Form A-4 - Non-Allow Other'!J37</f>
        <v>174691936.8983415</v>
      </c>
    </row>
    <row r="53" spans="1:11" ht="13.5" thickTop="1">
      <c r="A53" s="260"/>
      <c r="B53" s="1154"/>
      <c r="C53" s="1154"/>
      <c r="D53" s="140"/>
      <c r="E53" s="141"/>
      <c r="F53" s="140"/>
      <c r="G53" s="140"/>
      <c r="H53" s="140"/>
      <c r="I53" s="140"/>
      <c r="J53" s="261"/>
      <c r="K53" s="142"/>
    </row>
    <row r="54" spans="1:10" ht="15.75" thickBot="1">
      <c r="A54" s="262"/>
      <c r="B54" s="468" t="s">
        <v>340</v>
      </c>
      <c r="C54" s="263"/>
      <c r="D54" s="469"/>
      <c r="E54" s="469"/>
      <c r="F54" s="265"/>
      <c r="G54" s="469"/>
      <c r="H54" s="265"/>
      <c r="I54" s="469"/>
      <c r="J54" s="266"/>
    </row>
    <row r="55" spans="1:10" ht="12.75">
      <c r="A55" s="134"/>
      <c r="B55" s="1151"/>
      <c r="C55" s="1151"/>
      <c r="D55" s="135"/>
      <c r="E55" s="135"/>
      <c r="F55" s="136"/>
      <c r="G55" s="135"/>
      <c r="H55" s="136"/>
      <c r="I55" s="135"/>
      <c r="J55" s="136"/>
    </row>
    <row r="56" spans="1:10" ht="12.75">
      <c r="A56" s="134"/>
      <c r="B56" s="24"/>
      <c r="C56" s="24"/>
      <c r="D56" s="135"/>
      <c r="E56" s="135"/>
      <c r="F56" s="136"/>
      <c r="G56" s="135"/>
      <c r="H56" s="136"/>
      <c r="I56" s="135"/>
      <c r="J56" s="136"/>
    </row>
  </sheetData>
  <sheetProtection password="E1AE" sheet="1" formatColumns="0" formatRows="0"/>
  <mergeCells count="19">
    <mergeCell ref="B49:C49"/>
    <mergeCell ref="B50:C50"/>
    <mergeCell ref="B53:C53"/>
    <mergeCell ref="B55:C55"/>
    <mergeCell ref="B52:C52"/>
    <mergeCell ref="A11:J11"/>
    <mergeCell ref="A14:C15"/>
    <mergeCell ref="B33:C33"/>
    <mergeCell ref="B34:C34"/>
    <mergeCell ref="B35:C35"/>
    <mergeCell ref="B19:C19"/>
    <mergeCell ref="B17:C17"/>
    <mergeCell ref="A1:J1"/>
    <mergeCell ref="A2:J2"/>
    <mergeCell ref="A3:J3"/>
    <mergeCell ref="A4:J4"/>
    <mergeCell ref="I6:J6"/>
    <mergeCell ref="C8:H8"/>
    <mergeCell ref="E6:F6"/>
  </mergeCells>
  <printOptions horizontalCentered="1" verticalCentered="1"/>
  <pageMargins left="0.25" right="0.25" top="0.25" bottom="0.5" header="0.5" footer="0.25"/>
  <pageSetup fitToHeight="1" fitToWidth="1" horizontalDpi="600" verticalDpi="600" orientation="landscape" scale="70" r:id="rId1"/>
  <headerFooter alignWithMargins="0">
    <oddFooter>&amp;LDSS-16 10-24-2016&amp;RPage 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S37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3.57421875" style="155" customWidth="1"/>
    <col min="2" max="3" width="16.421875" style="14" customWidth="1"/>
    <col min="4" max="4" width="15.421875" style="14" customWidth="1"/>
    <col min="5" max="5" width="19.421875" style="14" bestFit="1" customWidth="1"/>
    <col min="6" max="6" width="16.421875" style="14" customWidth="1"/>
    <col min="7" max="7" width="13.57421875" style="14" customWidth="1"/>
    <col min="8" max="8" width="17.7109375" style="14" customWidth="1"/>
    <col min="9" max="9" width="16.57421875" style="14" customWidth="1"/>
    <col min="10" max="16384" width="9.140625" style="14" customWidth="1"/>
  </cols>
  <sheetData>
    <row r="1" spans="1:18" ht="12.75">
      <c r="A1" s="1107" t="s">
        <v>45</v>
      </c>
      <c r="B1" s="1107"/>
      <c r="C1" s="1107"/>
      <c r="D1" s="1107"/>
      <c r="E1" s="1107"/>
      <c r="F1" s="1107"/>
      <c r="G1" s="1107"/>
      <c r="H1" s="1107"/>
      <c r="I1" s="1107"/>
      <c r="J1" s="75"/>
      <c r="K1" s="75"/>
      <c r="L1" s="75"/>
      <c r="M1" s="75"/>
      <c r="N1" s="75"/>
      <c r="O1" s="75"/>
      <c r="P1" s="75"/>
      <c r="Q1" s="75"/>
      <c r="R1" s="75"/>
    </row>
    <row r="2" spans="1:18" ht="12.75">
      <c r="A2" s="1107" t="s">
        <v>46</v>
      </c>
      <c r="B2" s="1107"/>
      <c r="C2" s="1107"/>
      <c r="D2" s="1107"/>
      <c r="E2" s="1107"/>
      <c r="F2" s="1107"/>
      <c r="G2" s="1107"/>
      <c r="H2" s="1107"/>
      <c r="I2" s="1107"/>
      <c r="J2" s="75"/>
      <c r="K2" s="75"/>
      <c r="L2" s="75"/>
      <c r="M2" s="75"/>
      <c r="N2" s="75"/>
      <c r="O2" s="75"/>
      <c r="P2" s="75"/>
      <c r="Q2" s="75"/>
      <c r="R2" s="75"/>
    </row>
    <row r="3" spans="1:18" ht="12.75">
      <c r="A3" s="1107" t="s">
        <v>47</v>
      </c>
      <c r="B3" s="1107"/>
      <c r="C3" s="1107"/>
      <c r="D3" s="1107"/>
      <c r="E3" s="1107"/>
      <c r="F3" s="1107"/>
      <c r="G3" s="1107"/>
      <c r="H3" s="1107"/>
      <c r="I3" s="1107"/>
      <c r="J3" s="75"/>
      <c r="K3" s="75"/>
      <c r="L3" s="75"/>
      <c r="M3" s="75"/>
      <c r="N3" s="75"/>
      <c r="O3" s="75"/>
      <c r="P3" s="75"/>
      <c r="Q3" s="75"/>
      <c r="R3" s="75"/>
    </row>
    <row r="4" spans="1:18" ht="12.75">
      <c r="A4" s="1107" t="s">
        <v>48</v>
      </c>
      <c r="B4" s="1107"/>
      <c r="C4" s="1107"/>
      <c r="D4" s="1107"/>
      <c r="E4" s="1107"/>
      <c r="F4" s="1107"/>
      <c r="G4" s="1107"/>
      <c r="H4" s="1107"/>
      <c r="I4" s="1107"/>
      <c r="J4" s="75"/>
      <c r="K4" s="75"/>
      <c r="L4" s="75"/>
      <c r="M4" s="75"/>
      <c r="N4" s="75"/>
      <c r="O4" s="75"/>
      <c r="P4" s="75"/>
      <c r="Q4" s="75"/>
      <c r="R4" s="75"/>
    </row>
    <row r="5" spans="1:18" ht="13.5" thickBot="1">
      <c r="A5" s="151"/>
      <c r="B5" s="12"/>
      <c r="C5" s="12"/>
      <c r="D5" s="12"/>
      <c r="E5" s="12"/>
      <c r="F5" s="440"/>
      <c r="G5" s="440"/>
      <c r="H5" s="440"/>
      <c r="I5" s="440"/>
      <c r="J5" s="85"/>
      <c r="K5" s="85"/>
      <c r="L5" s="85"/>
      <c r="M5" s="85"/>
      <c r="N5" s="85"/>
      <c r="O5" s="85"/>
      <c r="P5" s="85"/>
      <c r="Q5" s="85"/>
      <c r="R5" s="85"/>
    </row>
    <row r="6" spans="1:19" ht="21.75" customHeight="1">
      <c r="A6" s="152"/>
      <c r="B6" s="77" t="s">
        <v>54</v>
      </c>
      <c r="C6" s="77"/>
      <c r="D6" s="202"/>
      <c r="E6" s="78" t="s">
        <v>6</v>
      </c>
      <c r="F6" s="94">
        <f>'P1 Info &amp; Certification'!L20</f>
        <v>44013</v>
      </c>
      <c r="G6" s="148"/>
      <c r="H6" s="95" t="str">
        <f>'P1 Info &amp; Certification'!M20</f>
        <v>To</v>
      </c>
      <c r="I6" s="443">
        <f>'P1 Info &amp; Certification'!N20</f>
        <v>44377</v>
      </c>
      <c r="J6" s="147"/>
      <c r="K6" s="89"/>
      <c r="L6" s="13"/>
      <c r="M6" s="88"/>
      <c r="N6" s="32"/>
      <c r="O6" s="147"/>
      <c r="P6" s="147"/>
      <c r="Q6" s="32"/>
      <c r="R6" s="146"/>
      <c r="S6" s="146"/>
    </row>
    <row r="7" spans="1:19" ht="12.75">
      <c r="A7" s="153"/>
      <c r="B7" s="458"/>
      <c r="C7" s="458"/>
      <c r="D7" s="458"/>
      <c r="E7" s="458"/>
      <c r="F7" s="13"/>
      <c r="G7" s="13"/>
      <c r="H7" s="13"/>
      <c r="I7" s="81"/>
      <c r="J7" s="13"/>
      <c r="K7" s="13"/>
      <c r="L7" s="13"/>
      <c r="M7" s="13"/>
      <c r="N7" s="13"/>
      <c r="O7" s="13"/>
      <c r="P7" s="13"/>
      <c r="Q7" s="13"/>
      <c r="R7" s="146"/>
      <c r="S7" s="146"/>
    </row>
    <row r="8" spans="1:19" ht="22.5" customHeight="1" thickBot="1">
      <c r="A8" s="154"/>
      <c r="B8" s="84" t="s">
        <v>59</v>
      </c>
      <c r="C8" s="1115" t="str">
        <f>'P1 Info &amp; Certification'!E12</f>
        <v>COMMUNITY HEALTH CENTER, INC.</v>
      </c>
      <c r="D8" s="1115"/>
      <c r="E8" s="1115"/>
      <c r="F8" s="1115"/>
      <c r="G8" s="1115"/>
      <c r="H8" s="1115"/>
      <c r="I8" s="464"/>
      <c r="J8" s="145"/>
      <c r="K8" s="145"/>
      <c r="L8" s="145"/>
      <c r="M8" s="145"/>
      <c r="N8" s="145"/>
      <c r="O8" s="145"/>
      <c r="P8" s="145"/>
      <c r="Q8" s="145"/>
      <c r="R8" s="146"/>
      <c r="S8" s="146"/>
    </row>
    <row r="9" spans="1:19" ht="12.75">
      <c r="A9" s="471"/>
      <c r="B9" s="472"/>
      <c r="C9" s="472"/>
      <c r="D9" s="472"/>
      <c r="E9" s="472"/>
      <c r="F9" s="472"/>
      <c r="G9" s="472"/>
      <c r="H9" s="472"/>
      <c r="I9" s="472"/>
      <c r="J9" s="43"/>
      <c r="K9" s="43"/>
      <c r="L9" s="43"/>
      <c r="M9" s="43"/>
      <c r="N9" s="43"/>
      <c r="O9" s="43"/>
      <c r="P9" s="43"/>
      <c r="Q9" s="43"/>
      <c r="R9" s="146"/>
      <c r="S9" s="146"/>
    </row>
    <row r="10" spans="1:9" ht="12.75">
      <c r="A10" s="156"/>
      <c r="B10" s="146"/>
      <c r="C10" s="146"/>
      <c r="D10" s="146"/>
      <c r="E10" s="146"/>
      <c r="F10" s="146"/>
      <c r="G10" s="146"/>
      <c r="H10" s="146"/>
      <c r="I10" s="146"/>
    </row>
    <row r="11" spans="1:9" ht="13.5" thickBot="1">
      <c r="A11" s="156"/>
      <c r="B11" s="146"/>
      <c r="C11" s="146"/>
      <c r="D11" s="146"/>
      <c r="E11" s="146"/>
      <c r="F11" s="146"/>
      <c r="G11" s="146"/>
      <c r="H11" s="146"/>
      <c r="I11" s="296" t="s">
        <v>274</v>
      </c>
    </row>
    <row r="12" spans="1:9" ht="28.5" customHeight="1">
      <c r="A12" s="1176" t="s">
        <v>273</v>
      </c>
      <c r="B12" s="1177"/>
      <c r="C12" s="1177"/>
      <c r="D12" s="1177"/>
      <c r="E12" s="1178"/>
      <c r="F12" s="1178"/>
      <c r="G12" s="1178"/>
      <c r="H12" s="1177"/>
      <c r="I12" s="1179"/>
    </row>
    <row r="13" spans="1:9" ht="12.75">
      <c r="A13" s="1161" t="s">
        <v>267</v>
      </c>
      <c r="B13" s="1162"/>
      <c r="C13" s="1162"/>
      <c r="D13" s="1162"/>
      <c r="E13" s="369"/>
      <c r="F13" s="366"/>
      <c r="G13" s="413"/>
      <c r="H13" s="1180" t="s">
        <v>271</v>
      </c>
      <c r="I13" s="1181"/>
    </row>
    <row r="14" spans="1:9" ht="12.75">
      <c r="A14" s="1163"/>
      <c r="B14" s="1164"/>
      <c r="C14" s="1164"/>
      <c r="D14" s="1164"/>
      <c r="E14" s="370"/>
      <c r="F14" s="364"/>
      <c r="G14" s="414"/>
      <c r="H14" s="169" t="s">
        <v>272</v>
      </c>
      <c r="I14" s="204" t="s">
        <v>203</v>
      </c>
    </row>
    <row r="15" spans="1:9" ht="12.75" customHeight="1">
      <c r="A15" s="1165"/>
      <c r="B15" s="1166"/>
      <c r="C15" s="1166"/>
      <c r="D15" s="1166"/>
      <c r="E15" s="371" t="s">
        <v>270</v>
      </c>
      <c r="F15" s="367" t="s">
        <v>266</v>
      </c>
      <c r="G15" s="415" t="s">
        <v>254</v>
      </c>
      <c r="H15" s="170" t="s">
        <v>205</v>
      </c>
      <c r="I15" s="205" t="s">
        <v>204</v>
      </c>
    </row>
    <row r="16" spans="1:9" ht="12.75" customHeight="1">
      <c r="A16" s="452"/>
      <c r="B16" s="447"/>
      <c r="C16" s="447"/>
      <c r="D16" s="447"/>
      <c r="E16" s="416" t="s">
        <v>60</v>
      </c>
      <c r="F16" s="417" t="s">
        <v>61</v>
      </c>
      <c r="G16" s="418" t="s">
        <v>62</v>
      </c>
      <c r="H16" s="419" t="s">
        <v>63</v>
      </c>
      <c r="I16" s="420" t="s">
        <v>64</v>
      </c>
    </row>
    <row r="17" spans="1:9" ht="12.75" customHeight="1">
      <c r="A17" s="298"/>
      <c r="B17" s="1182" t="s">
        <v>268</v>
      </c>
      <c r="C17" s="1183"/>
      <c r="D17" s="1183"/>
      <c r="E17" s="372" t="s">
        <v>269</v>
      </c>
      <c r="F17" s="411">
        <v>125000</v>
      </c>
      <c r="G17" s="365">
        <v>1500</v>
      </c>
      <c r="H17" s="337">
        <v>1040</v>
      </c>
      <c r="I17" s="341">
        <f>H17/2080</f>
        <v>0.5</v>
      </c>
    </row>
    <row r="18" spans="1:9" ht="19.5" customHeight="1">
      <c r="A18" s="207" t="s">
        <v>83</v>
      </c>
      <c r="B18" s="1175" t="s">
        <v>229</v>
      </c>
      <c r="C18" s="1166"/>
      <c r="D18" s="1166"/>
      <c r="E18" s="371"/>
      <c r="F18" s="412"/>
      <c r="G18" s="338"/>
      <c r="H18" s="339"/>
      <c r="I18" s="342"/>
    </row>
    <row r="19" spans="1:9" ht="19.5" customHeight="1">
      <c r="A19" s="474" t="s">
        <v>49</v>
      </c>
      <c r="B19" s="1167" t="s">
        <v>473</v>
      </c>
      <c r="C19" s="1168"/>
      <c r="D19" s="1169"/>
      <c r="E19" s="475"/>
      <c r="F19" s="394">
        <f>+'P3 Form A-1 Health Care'!D19</f>
        <v>8514278</v>
      </c>
      <c r="G19" s="476">
        <f>+'Form B-1 Detail'!G66</f>
        <v>112805.12</v>
      </c>
      <c r="H19" s="394">
        <f>+'Form B-1 Detail'!H66</f>
        <v>77051.5</v>
      </c>
      <c r="I19" s="373">
        <f>ROUND(H19/2080,2)</f>
        <v>37.04</v>
      </c>
    </row>
    <row r="20" spans="1:9" ht="19.5" customHeight="1">
      <c r="A20" s="474" t="s">
        <v>50</v>
      </c>
      <c r="B20" s="1167"/>
      <c r="C20" s="1168"/>
      <c r="D20" s="1169"/>
      <c r="E20" s="475"/>
      <c r="F20" s="394"/>
      <c r="G20" s="477"/>
      <c r="H20" s="394"/>
      <c r="I20" s="373">
        <f aca="true" t="shared" si="0" ref="I20:I28">ROUND(H20/2080,2)</f>
        <v>0</v>
      </c>
    </row>
    <row r="21" spans="1:9" ht="19.5" customHeight="1">
      <c r="A21" s="474" t="s">
        <v>82</v>
      </c>
      <c r="B21" s="1167"/>
      <c r="C21" s="1168"/>
      <c r="D21" s="1169"/>
      <c r="E21" s="475"/>
      <c r="F21" s="394"/>
      <c r="G21" s="476"/>
      <c r="H21" s="394"/>
      <c r="I21" s="373">
        <f t="shared" si="0"/>
        <v>0</v>
      </c>
    </row>
    <row r="22" spans="1:9" ht="19.5" customHeight="1">
      <c r="A22" s="474" t="s">
        <v>51</v>
      </c>
      <c r="B22" s="1167"/>
      <c r="C22" s="1168"/>
      <c r="D22" s="1169"/>
      <c r="E22" s="475"/>
      <c r="F22" s="394"/>
      <c r="G22" s="477"/>
      <c r="H22" s="394"/>
      <c r="I22" s="373">
        <f t="shared" si="0"/>
        <v>0</v>
      </c>
    </row>
    <row r="23" spans="1:9" ht="19.5" customHeight="1">
      <c r="A23" s="474" t="s">
        <v>156</v>
      </c>
      <c r="B23" s="1167"/>
      <c r="C23" s="1168"/>
      <c r="D23" s="1169"/>
      <c r="E23" s="475"/>
      <c r="F23" s="394"/>
      <c r="G23" s="477"/>
      <c r="H23" s="394"/>
      <c r="I23" s="373">
        <f t="shared" si="0"/>
        <v>0</v>
      </c>
    </row>
    <row r="24" spans="1:9" ht="19.5" customHeight="1">
      <c r="A24" s="474" t="s">
        <v>55</v>
      </c>
      <c r="B24" s="1167"/>
      <c r="C24" s="1168"/>
      <c r="D24" s="1169"/>
      <c r="E24" s="475"/>
      <c r="F24" s="394"/>
      <c r="G24" s="477"/>
      <c r="H24" s="394"/>
      <c r="I24" s="373">
        <f t="shared" si="0"/>
        <v>0</v>
      </c>
    </row>
    <row r="25" spans="1:9" ht="19.5" customHeight="1">
      <c r="A25" s="474" t="s">
        <v>56</v>
      </c>
      <c r="B25" s="1167"/>
      <c r="C25" s="1168"/>
      <c r="D25" s="1169"/>
      <c r="E25" s="475"/>
      <c r="F25" s="394"/>
      <c r="G25" s="477"/>
      <c r="H25" s="394"/>
      <c r="I25" s="373">
        <f t="shared" si="0"/>
        <v>0</v>
      </c>
    </row>
    <row r="26" spans="1:9" ht="19.5" customHeight="1">
      <c r="A26" s="474" t="s">
        <v>161</v>
      </c>
      <c r="B26" s="1167"/>
      <c r="C26" s="1168"/>
      <c r="D26" s="1169"/>
      <c r="E26" s="475"/>
      <c r="F26" s="394"/>
      <c r="G26" s="477"/>
      <c r="H26" s="394"/>
      <c r="I26" s="373">
        <f t="shared" si="0"/>
        <v>0</v>
      </c>
    </row>
    <row r="27" spans="1:9" ht="19.5" customHeight="1">
      <c r="A27" s="474" t="s">
        <v>162</v>
      </c>
      <c r="B27" s="1167"/>
      <c r="C27" s="1168"/>
      <c r="D27" s="1169"/>
      <c r="E27" s="475"/>
      <c r="F27" s="394"/>
      <c r="G27" s="477"/>
      <c r="H27" s="394"/>
      <c r="I27" s="373">
        <f t="shared" si="0"/>
        <v>0</v>
      </c>
    </row>
    <row r="28" spans="1:9" ht="19.5" customHeight="1">
      <c r="A28" s="474" t="s">
        <v>163</v>
      </c>
      <c r="B28" s="1167"/>
      <c r="C28" s="1168"/>
      <c r="D28" s="1169"/>
      <c r="E28" s="475"/>
      <c r="F28" s="394"/>
      <c r="G28" s="477"/>
      <c r="H28" s="394"/>
      <c r="I28" s="373">
        <f t="shared" si="0"/>
        <v>0</v>
      </c>
    </row>
    <row r="29" spans="1:9" ht="24.75" customHeight="1" thickBot="1">
      <c r="A29" s="253"/>
      <c r="B29" s="1170" t="s">
        <v>255</v>
      </c>
      <c r="C29" s="1171"/>
      <c r="D29" s="1172"/>
      <c r="E29" s="397"/>
      <c r="F29" s="473">
        <f>SUM(F19:F28)</f>
        <v>8514278</v>
      </c>
      <c r="G29" s="473">
        <f>SUM(G19:G28)</f>
        <v>112805.12</v>
      </c>
      <c r="H29" s="473">
        <f>SUM(H19:H28)</f>
        <v>77051.5</v>
      </c>
      <c r="I29" s="395">
        <f>SUM(I19:I28)</f>
        <v>37.04</v>
      </c>
    </row>
    <row r="30" spans="1:10" ht="19.5" customHeight="1" thickTop="1">
      <c r="A30" s="253"/>
      <c r="B30" s="1173"/>
      <c r="C30" s="1173"/>
      <c r="D30" s="1173"/>
      <c r="E30" s="454"/>
      <c r="F30" s="295"/>
      <c r="G30" s="294"/>
      <c r="H30" s="295"/>
      <c r="I30" s="396"/>
      <c r="J30" s="146"/>
    </row>
    <row r="31" spans="1:9" ht="19.5" customHeight="1">
      <c r="A31" s="389" t="s">
        <v>84</v>
      </c>
      <c r="B31" s="1174" t="s">
        <v>206</v>
      </c>
      <c r="C31" s="1174"/>
      <c r="D31" s="1174"/>
      <c r="E31" s="455"/>
      <c r="F31" s="338"/>
      <c r="G31" s="338"/>
      <c r="H31" s="390"/>
      <c r="I31" s="391"/>
    </row>
    <row r="32" spans="1:9" ht="19.5" customHeight="1">
      <c r="A32" s="474" t="s">
        <v>49</v>
      </c>
      <c r="B32" s="1167" t="s">
        <v>473</v>
      </c>
      <c r="C32" s="1168"/>
      <c r="D32" s="1169"/>
      <c r="E32" s="479"/>
      <c r="F32" s="392">
        <f>+'P3 Form A-1 Health Care'!D20</f>
        <v>3603639</v>
      </c>
      <c r="G32" s="480">
        <f>+'Form B-1 Detail'!G106</f>
        <v>53211</v>
      </c>
      <c r="H32" s="392">
        <f>+'Form B-1 Detail'!H106</f>
        <v>69138.54</v>
      </c>
      <c r="I32" s="393">
        <f>ROUND(H32/2080,2)</f>
        <v>33.24</v>
      </c>
    </row>
    <row r="33" spans="1:9" ht="19.5" customHeight="1">
      <c r="A33" s="474" t="s">
        <v>50</v>
      </c>
      <c r="B33" s="1155"/>
      <c r="C33" s="1156"/>
      <c r="D33" s="1157"/>
      <c r="E33" s="475"/>
      <c r="F33" s="394"/>
      <c r="G33" s="477"/>
      <c r="H33" s="394"/>
      <c r="I33" s="393">
        <f>ROUND(H33/2080,2)</f>
        <v>0</v>
      </c>
    </row>
    <row r="34" spans="1:9" ht="19.5" customHeight="1">
      <c r="A34" s="474" t="s">
        <v>82</v>
      </c>
      <c r="B34" s="1155"/>
      <c r="C34" s="1156"/>
      <c r="D34" s="1157"/>
      <c r="E34" s="475"/>
      <c r="F34" s="394"/>
      <c r="G34" s="477"/>
      <c r="H34" s="394"/>
      <c r="I34" s="393">
        <f>ROUND(H34/2080,2)</f>
        <v>0</v>
      </c>
    </row>
    <row r="35" spans="1:9" ht="19.5" customHeight="1">
      <c r="A35" s="474" t="s">
        <v>51</v>
      </c>
      <c r="B35" s="1155"/>
      <c r="C35" s="1156"/>
      <c r="D35" s="1157"/>
      <c r="E35" s="475"/>
      <c r="F35" s="394"/>
      <c r="G35" s="477"/>
      <c r="H35" s="394"/>
      <c r="I35" s="393">
        <f>ROUND(H35/2080,2)</f>
        <v>0</v>
      </c>
    </row>
    <row r="36" spans="1:9" ht="19.5" customHeight="1">
      <c r="A36" s="474" t="s">
        <v>156</v>
      </c>
      <c r="B36" s="1155"/>
      <c r="C36" s="1156"/>
      <c r="D36" s="1157"/>
      <c r="E36" s="475"/>
      <c r="F36" s="394"/>
      <c r="G36" s="477"/>
      <c r="H36" s="394"/>
      <c r="I36" s="393">
        <f>ROUND(H36/2080,2)</f>
        <v>0</v>
      </c>
    </row>
    <row r="37" spans="1:9" ht="24.75" customHeight="1" thickBot="1">
      <c r="A37" s="293"/>
      <c r="B37" s="1158" t="s">
        <v>256</v>
      </c>
      <c r="C37" s="1159"/>
      <c r="D37" s="1160"/>
      <c r="E37" s="453"/>
      <c r="F37" s="473">
        <f>SUM(F32:F36)</f>
        <v>3603639</v>
      </c>
      <c r="G37" s="473">
        <f>SUM(G32:G36)</f>
        <v>53211</v>
      </c>
      <c r="H37" s="473">
        <f>SUM(H32:H36)</f>
        <v>69138.54</v>
      </c>
      <c r="I37" s="395">
        <f>SUM(I32:I36)</f>
        <v>33.24</v>
      </c>
    </row>
    <row r="38" ht="13.5" thickTop="1"/>
  </sheetData>
  <sheetProtection password="E1AE" sheet="1" formatColumns="0" formatRows="0"/>
  <mergeCells count="29">
    <mergeCell ref="A1:I1"/>
    <mergeCell ref="A2:I2"/>
    <mergeCell ref="A3:I3"/>
    <mergeCell ref="A4:I4"/>
    <mergeCell ref="C8:H8"/>
    <mergeCell ref="B17:D17"/>
    <mergeCell ref="B18:D18"/>
    <mergeCell ref="B19:D19"/>
    <mergeCell ref="B20:D20"/>
    <mergeCell ref="B21:D21"/>
    <mergeCell ref="A12:I12"/>
    <mergeCell ref="H13:I13"/>
    <mergeCell ref="B33:D33"/>
    <mergeCell ref="B22:D22"/>
    <mergeCell ref="B23:D23"/>
    <mergeCell ref="B24:D24"/>
    <mergeCell ref="B25:D25"/>
    <mergeCell ref="B26:D26"/>
    <mergeCell ref="B27:D27"/>
    <mergeCell ref="B34:D34"/>
    <mergeCell ref="B37:D37"/>
    <mergeCell ref="A13:D15"/>
    <mergeCell ref="B35:D35"/>
    <mergeCell ref="B36:D36"/>
    <mergeCell ref="B28:D28"/>
    <mergeCell ref="B29:D29"/>
    <mergeCell ref="B30:D30"/>
    <mergeCell ref="B31:D31"/>
    <mergeCell ref="B32:D32"/>
  </mergeCells>
  <printOptions horizontalCentered="1" verticalCentered="1"/>
  <pageMargins left="0.25" right="0.25" top="0.25" bottom="0.25" header="0.5" footer="0.25"/>
  <pageSetup horizontalDpi="600" verticalDpi="600" orientation="landscape" scale="80" r:id="rId1"/>
  <headerFooter alignWithMargins="0">
    <oddFooter>&amp;LDSS-16 10-24-2016&amp;RPage 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S39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3.57421875" style="155" customWidth="1"/>
    <col min="2" max="3" width="16.421875" style="14" customWidth="1"/>
    <col min="4" max="4" width="15.421875" style="14" customWidth="1"/>
    <col min="5" max="5" width="19.421875" style="14" bestFit="1" customWidth="1"/>
    <col min="6" max="6" width="16.421875" style="14" customWidth="1"/>
    <col min="7" max="7" width="13.57421875" style="14" customWidth="1"/>
    <col min="8" max="8" width="17.7109375" style="14" customWidth="1"/>
    <col min="9" max="9" width="16.57421875" style="14" customWidth="1"/>
    <col min="10" max="16384" width="9.140625" style="14" customWidth="1"/>
  </cols>
  <sheetData>
    <row r="1" spans="1:18" ht="12.75">
      <c r="A1" s="1107" t="s">
        <v>45</v>
      </c>
      <c r="B1" s="1107"/>
      <c r="C1" s="1107"/>
      <c r="D1" s="1107"/>
      <c r="E1" s="1107"/>
      <c r="F1" s="1107"/>
      <c r="G1" s="1107"/>
      <c r="H1" s="1107"/>
      <c r="I1" s="1107"/>
      <c r="J1" s="75"/>
      <c r="K1" s="75"/>
      <c r="L1" s="75"/>
      <c r="M1" s="75"/>
      <c r="N1" s="75"/>
      <c r="O1" s="75"/>
      <c r="P1" s="75"/>
      <c r="Q1" s="75"/>
      <c r="R1" s="75"/>
    </row>
    <row r="2" spans="1:18" ht="12.75">
      <c r="A2" s="1107" t="s">
        <v>46</v>
      </c>
      <c r="B2" s="1107"/>
      <c r="C2" s="1107"/>
      <c r="D2" s="1107"/>
      <c r="E2" s="1107"/>
      <c r="F2" s="1107"/>
      <c r="G2" s="1107"/>
      <c r="H2" s="1107"/>
      <c r="I2" s="1107"/>
      <c r="J2" s="75"/>
      <c r="K2" s="75"/>
      <c r="L2" s="75"/>
      <c r="M2" s="75"/>
      <c r="N2" s="75"/>
      <c r="O2" s="75"/>
      <c r="P2" s="75"/>
      <c r="Q2" s="75"/>
      <c r="R2" s="75"/>
    </row>
    <row r="3" spans="1:18" ht="12.75">
      <c r="A3" s="1107" t="s">
        <v>47</v>
      </c>
      <c r="B3" s="1107"/>
      <c r="C3" s="1107"/>
      <c r="D3" s="1107"/>
      <c r="E3" s="1107"/>
      <c r="F3" s="1107"/>
      <c r="G3" s="1107"/>
      <c r="H3" s="1107"/>
      <c r="I3" s="1107"/>
      <c r="J3" s="75"/>
      <c r="K3" s="75"/>
      <c r="L3" s="75"/>
      <c r="M3" s="75"/>
      <c r="N3" s="75"/>
      <c r="O3" s="75"/>
      <c r="P3" s="75"/>
      <c r="Q3" s="75"/>
      <c r="R3" s="75"/>
    </row>
    <row r="4" spans="1:18" ht="12.75">
      <c r="A4" s="1107" t="s">
        <v>48</v>
      </c>
      <c r="B4" s="1107"/>
      <c r="C4" s="1107"/>
      <c r="D4" s="1107"/>
      <c r="E4" s="1107"/>
      <c r="F4" s="1107"/>
      <c r="G4" s="1107"/>
      <c r="H4" s="1107"/>
      <c r="I4" s="1107"/>
      <c r="J4" s="75"/>
      <c r="K4" s="75"/>
      <c r="L4" s="75"/>
      <c r="M4" s="75"/>
      <c r="N4" s="75"/>
      <c r="O4" s="75"/>
      <c r="P4" s="75"/>
      <c r="Q4" s="75"/>
      <c r="R4" s="75"/>
    </row>
    <row r="5" spans="1:18" ht="13.5" thickBot="1">
      <c r="A5" s="151"/>
      <c r="B5" s="12"/>
      <c r="C5" s="12"/>
      <c r="D5" s="12"/>
      <c r="E5" s="12"/>
      <c r="F5" s="440"/>
      <c r="G5" s="440"/>
      <c r="H5" s="440"/>
      <c r="I5" s="440"/>
      <c r="J5" s="314"/>
      <c r="K5" s="314"/>
      <c r="L5" s="314"/>
      <c r="M5" s="314"/>
      <c r="N5" s="314"/>
      <c r="O5" s="314"/>
      <c r="P5" s="314"/>
      <c r="Q5" s="314"/>
      <c r="R5" s="314"/>
    </row>
    <row r="6" spans="1:19" ht="21.75" customHeight="1">
      <c r="A6" s="152"/>
      <c r="B6" s="77" t="s">
        <v>54</v>
      </c>
      <c r="C6" s="77"/>
      <c r="D6" s="202"/>
      <c r="E6" s="78" t="s">
        <v>6</v>
      </c>
      <c r="F6" s="94">
        <f>'P1 Info &amp; Certification'!L20</f>
        <v>44013</v>
      </c>
      <c r="G6" s="148"/>
      <c r="H6" s="95" t="str">
        <f>'P1 Info &amp; Certification'!M20</f>
        <v>To</v>
      </c>
      <c r="I6" s="443">
        <f>'P1 Info &amp; Certification'!N20</f>
        <v>44377</v>
      </c>
      <c r="J6" s="147"/>
      <c r="K6" s="319"/>
      <c r="L6" s="13"/>
      <c r="M6" s="316"/>
      <c r="N6" s="318"/>
      <c r="O6" s="147"/>
      <c r="P6" s="147"/>
      <c r="Q6" s="318"/>
      <c r="R6" s="146"/>
      <c r="S6" s="146"/>
    </row>
    <row r="7" spans="1:19" ht="12.75">
      <c r="A7" s="153"/>
      <c r="B7" s="458"/>
      <c r="C7" s="458"/>
      <c r="D7" s="458"/>
      <c r="E7" s="458"/>
      <c r="F7" s="13"/>
      <c r="G7" s="13"/>
      <c r="H7" s="13"/>
      <c r="I7" s="81"/>
      <c r="J7" s="13"/>
      <c r="K7" s="13"/>
      <c r="L7" s="13"/>
      <c r="M7" s="13"/>
      <c r="N7" s="13"/>
      <c r="O7" s="13"/>
      <c r="P7" s="13"/>
      <c r="Q7" s="13"/>
      <c r="R7" s="146"/>
      <c r="S7" s="146"/>
    </row>
    <row r="8" spans="1:19" ht="22.5" customHeight="1" thickBot="1">
      <c r="A8" s="154"/>
      <c r="B8" s="84" t="s">
        <v>59</v>
      </c>
      <c r="C8" s="1115" t="str">
        <f>'P1 Info &amp; Certification'!E12</f>
        <v>COMMUNITY HEALTH CENTER, INC.</v>
      </c>
      <c r="D8" s="1115"/>
      <c r="E8" s="1115"/>
      <c r="F8" s="1115"/>
      <c r="G8" s="1115"/>
      <c r="H8" s="1115"/>
      <c r="I8" s="464"/>
      <c r="J8" s="317"/>
      <c r="K8" s="317"/>
      <c r="L8" s="317"/>
      <c r="M8" s="317"/>
      <c r="N8" s="317"/>
      <c r="O8" s="317"/>
      <c r="P8" s="317"/>
      <c r="Q8" s="317"/>
      <c r="R8" s="146"/>
      <c r="S8" s="146"/>
    </row>
    <row r="9" spans="1:19" ht="12.75">
      <c r="A9" s="471"/>
      <c r="B9" s="472"/>
      <c r="C9" s="472"/>
      <c r="D9" s="472"/>
      <c r="E9" s="472"/>
      <c r="F9" s="472"/>
      <c r="G9" s="472"/>
      <c r="H9" s="472"/>
      <c r="I9" s="472"/>
      <c r="J9" s="315"/>
      <c r="K9" s="315"/>
      <c r="L9" s="315"/>
      <c r="M9" s="315"/>
      <c r="N9" s="315"/>
      <c r="O9" s="315"/>
      <c r="P9" s="315"/>
      <c r="Q9" s="315"/>
      <c r="R9" s="146"/>
      <c r="S9" s="146"/>
    </row>
    <row r="10" spans="1:9" ht="12.75">
      <c r="A10" s="156"/>
      <c r="B10" s="146"/>
      <c r="C10" s="146"/>
      <c r="D10" s="146"/>
      <c r="E10" s="146"/>
      <c r="F10" s="146"/>
      <c r="G10" s="146"/>
      <c r="H10" s="146"/>
      <c r="I10" s="146"/>
    </row>
    <row r="11" spans="1:9" ht="13.5" thickBot="1">
      <c r="A11" s="156"/>
      <c r="B11" s="146"/>
      <c r="C11" s="146"/>
      <c r="D11" s="146"/>
      <c r="E11" s="146"/>
      <c r="F11" s="146"/>
      <c r="G11" s="146"/>
      <c r="H11" s="146"/>
      <c r="I11" s="296" t="s">
        <v>275</v>
      </c>
    </row>
    <row r="12" spans="1:9" ht="28.5" customHeight="1">
      <c r="A12" s="1176" t="s">
        <v>273</v>
      </c>
      <c r="B12" s="1177"/>
      <c r="C12" s="1177"/>
      <c r="D12" s="1177"/>
      <c r="E12" s="1177"/>
      <c r="F12" s="1177"/>
      <c r="G12" s="1177"/>
      <c r="H12" s="1177"/>
      <c r="I12" s="1179"/>
    </row>
    <row r="13" spans="1:9" ht="12.75" customHeight="1">
      <c r="A13" s="1161" t="s">
        <v>267</v>
      </c>
      <c r="B13" s="1162"/>
      <c r="C13" s="1162"/>
      <c r="D13" s="1162"/>
      <c r="E13" s="369"/>
      <c r="F13" s="366"/>
      <c r="G13" s="413"/>
      <c r="H13" s="1180" t="s">
        <v>271</v>
      </c>
      <c r="I13" s="1181"/>
    </row>
    <row r="14" spans="1:9" ht="12.75">
      <c r="A14" s="1163"/>
      <c r="B14" s="1164"/>
      <c r="C14" s="1164"/>
      <c r="D14" s="1164"/>
      <c r="E14" s="370"/>
      <c r="F14" s="364"/>
      <c r="G14" s="414"/>
      <c r="H14" s="169" t="s">
        <v>272</v>
      </c>
      <c r="I14" s="204" t="s">
        <v>203</v>
      </c>
    </row>
    <row r="15" spans="1:9" ht="12.75" customHeight="1">
      <c r="A15" s="1165"/>
      <c r="B15" s="1166"/>
      <c r="C15" s="1166"/>
      <c r="D15" s="1166"/>
      <c r="E15" s="371" t="s">
        <v>270</v>
      </c>
      <c r="F15" s="367" t="s">
        <v>266</v>
      </c>
      <c r="G15" s="415" t="s">
        <v>254</v>
      </c>
      <c r="H15" s="170" t="s">
        <v>205</v>
      </c>
      <c r="I15" s="205" t="s">
        <v>204</v>
      </c>
    </row>
    <row r="16" spans="1:9" ht="12.75" customHeight="1">
      <c r="A16" s="452"/>
      <c r="B16" s="447"/>
      <c r="C16" s="447"/>
      <c r="D16" s="447"/>
      <c r="E16" s="416" t="s">
        <v>60</v>
      </c>
      <c r="F16" s="417" t="s">
        <v>61</v>
      </c>
      <c r="G16" s="418" t="s">
        <v>62</v>
      </c>
      <c r="H16" s="419" t="s">
        <v>63</v>
      </c>
      <c r="I16" s="420" t="s">
        <v>64</v>
      </c>
    </row>
    <row r="17" spans="1:9" ht="12.75" customHeight="1">
      <c r="A17" s="298"/>
      <c r="B17" s="1182" t="s">
        <v>268</v>
      </c>
      <c r="C17" s="1183"/>
      <c r="D17" s="1183"/>
      <c r="E17" s="386" t="s">
        <v>269</v>
      </c>
      <c r="F17" s="387">
        <v>125000</v>
      </c>
      <c r="G17" s="387">
        <v>1500</v>
      </c>
      <c r="H17" s="347">
        <v>1040</v>
      </c>
      <c r="I17" s="348">
        <f>H17/2080</f>
        <v>0.5</v>
      </c>
    </row>
    <row r="18" spans="1:9" ht="19.5" customHeight="1">
      <c r="A18" s="207" t="s">
        <v>91</v>
      </c>
      <c r="B18" s="1184" t="s">
        <v>287</v>
      </c>
      <c r="C18" s="1185"/>
      <c r="D18" s="1185"/>
      <c r="E18" s="455"/>
      <c r="F18" s="338"/>
      <c r="G18" s="338"/>
      <c r="H18" s="390"/>
      <c r="I18" s="391"/>
    </row>
    <row r="19" spans="1:9" ht="19.5" customHeight="1">
      <c r="A19" s="474" t="s">
        <v>49</v>
      </c>
      <c r="B19" s="1167" t="s">
        <v>473</v>
      </c>
      <c r="C19" s="1168"/>
      <c r="D19" s="1168"/>
      <c r="E19" s="482"/>
      <c r="F19" s="378">
        <f>+'P3 Form A-1 Health Care'!D21</f>
        <v>14232548</v>
      </c>
      <c r="G19" s="480">
        <f>+'Form B-1 Detail'!G428</f>
        <v>208016</v>
      </c>
      <c r="H19" s="480">
        <f>+'Form B-1 Detail'!H428</f>
        <v>338975.171</v>
      </c>
      <c r="I19" s="393">
        <f>ROUND(H19/2080,2)</f>
        <v>162.97</v>
      </c>
    </row>
    <row r="20" spans="1:9" ht="19.5" customHeight="1">
      <c r="A20" s="474" t="s">
        <v>50</v>
      </c>
      <c r="B20" s="1167"/>
      <c r="C20" s="1168"/>
      <c r="D20" s="1168"/>
      <c r="E20" s="483"/>
      <c r="F20" s="379"/>
      <c r="G20" s="477"/>
      <c r="H20" s="394"/>
      <c r="I20" s="393">
        <f>ROUND(H20/2080,2)</f>
        <v>0</v>
      </c>
    </row>
    <row r="21" spans="1:9" ht="19.5" customHeight="1">
      <c r="A21" s="474" t="s">
        <v>82</v>
      </c>
      <c r="B21" s="1167"/>
      <c r="C21" s="1168"/>
      <c r="D21" s="1168"/>
      <c r="E21" s="483"/>
      <c r="F21" s="379"/>
      <c r="G21" s="477"/>
      <c r="H21" s="394"/>
      <c r="I21" s="393">
        <f>ROUND(H21/2080,2)</f>
        <v>0</v>
      </c>
    </row>
    <row r="22" spans="1:9" ht="19.5" customHeight="1">
      <c r="A22" s="474" t="s">
        <v>51</v>
      </c>
      <c r="B22" s="484"/>
      <c r="C22" s="485"/>
      <c r="D22" s="485"/>
      <c r="E22" s="483"/>
      <c r="F22" s="379"/>
      <c r="G22" s="477"/>
      <c r="H22" s="394"/>
      <c r="I22" s="393">
        <f>ROUND(H22/2080,2)</f>
        <v>0</v>
      </c>
    </row>
    <row r="23" spans="1:9" ht="19.5" customHeight="1">
      <c r="A23" s="474" t="s">
        <v>156</v>
      </c>
      <c r="B23" s="484"/>
      <c r="C23" s="485"/>
      <c r="D23" s="485"/>
      <c r="E23" s="483"/>
      <c r="F23" s="379"/>
      <c r="G23" s="477"/>
      <c r="H23" s="394"/>
      <c r="I23" s="393">
        <f>ROUND(H23/2080,2)</f>
        <v>0</v>
      </c>
    </row>
    <row r="24" spans="1:9" ht="24.75" customHeight="1" thickBot="1">
      <c r="A24" s="293"/>
      <c r="B24" s="1170" t="s">
        <v>276</v>
      </c>
      <c r="C24" s="1171"/>
      <c r="D24" s="1171"/>
      <c r="E24" s="388"/>
      <c r="F24" s="481">
        <f>SUM(F19:F23)</f>
        <v>14232548</v>
      </c>
      <c r="G24" s="473">
        <f>SUM(G19:G23)</f>
        <v>208016</v>
      </c>
      <c r="H24" s="473">
        <f>SUM(H19:H23)</f>
        <v>338975.171</v>
      </c>
      <c r="I24" s="395">
        <f>SUM(I19:I23)</f>
        <v>162.97</v>
      </c>
    </row>
    <row r="25" spans="1:9" ht="19.5" customHeight="1" thickTop="1">
      <c r="A25" s="293"/>
      <c r="B25" s="375"/>
      <c r="C25" s="375"/>
      <c r="D25" s="375"/>
      <c r="E25" s="375"/>
      <c r="F25" s="368"/>
      <c r="G25" s="294"/>
      <c r="H25" s="295"/>
      <c r="I25" s="374"/>
    </row>
    <row r="26" spans="1:9" ht="19.5" customHeight="1">
      <c r="A26" s="207" t="s">
        <v>92</v>
      </c>
      <c r="B26" s="1174" t="s">
        <v>207</v>
      </c>
      <c r="C26" s="1174"/>
      <c r="D26" s="1174"/>
      <c r="E26" s="455"/>
      <c r="F26" s="338"/>
      <c r="G26" s="338"/>
      <c r="H26" s="390"/>
      <c r="I26" s="391"/>
    </row>
    <row r="27" spans="1:9" ht="19.5" customHeight="1">
      <c r="A27" s="474" t="s">
        <v>49</v>
      </c>
      <c r="B27" s="1167" t="s">
        <v>473</v>
      </c>
      <c r="C27" s="1168"/>
      <c r="D27" s="1168"/>
      <c r="E27" s="486"/>
      <c r="F27" s="392"/>
      <c r="G27" s="480">
        <f>+'Form B-1 Detail'!G507</f>
        <v>30382</v>
      </c>
      <c r="H27" s="480">
        <f>+'Form B-1 Detail'!H507</f>
        <v>20659.76</v>
      </c>
      <c r="I27" s="393">
        <f>ROUND(H27/2080,2)</f>
        <v>9.93</v>
      </c>
    </row>
    <row r="28" spans="1:9" ht="19.5" customHeight="1">
      <c r="A28" s="474" t="s">
        <v>50</v>
      </c>
      <c r="B28" s="1155"/>
      <c r="C28" s="1156"/>
      <c r="D28" s="1157"/>
      <c r="E28" s="478"/>
      <c r="F28" s="394"/>
      <c r="G28" s="477"/>
      <c r="H28" s="394"/>
      <c r="I28" s="393">
        <f>ROUND(H28/2080,2)</f>
        <v>0</v>
      </c>
    </row>
    <row r="29" spans="1:9" ht="19.5" customHeight="1">
      <c r="A29" s="474" t="s">
        <v>82</v>
      </c>
      <c r="B29" s="1155"/>
      <c r="C29" s="1156"/>
      <c r="D29" s="1157"/>
      <c r="E29" s="478"/>
      <c r="F29" s="394"/>
      <c r="G29" s="477"/>
      <c r="H29" s="394"/>
      <c r="I29" s="393">
        <f>ROUND(H29/2080,2)</f>
        <v>0</v>
      </c>
    </row>
    <row r="30" spans="1:9" ht="19.5" customHeight="1">
      <c r="A30" s="474" t="s">
        <v>51</v>
      </c>
      <c r="B30" s="484"/>
      <c r="C30" s="485"/>
      <c r="D30" s="475"/>
      <c r="E30" s="478"/>
      <c r="F30" s="394"/>
      <c r="G30" s="477"/>
      <c r="H30" s="394"/>
      <c r="I30" s="393">
        <f>ROUND(H30/2080,2)</f>
        <v>0</v>
      </c>
    </row>
    <row r="31" spans="1:9" ht="19.5" customHeight="1">
      <c r="A31" s="474" t="s">
        <v>156</v>
      </c>
      <c r="B31" s="484"/>
      <c r="C31" s="485"/>
      <c r="D31" s="475"/>
      <c r="E31" s="478"/>
      <c r="F31" s="394"/>
      <c r="G31" s="477"/>
      <c r="H31" s="394"/>
      <c r="I31" s="393">
        <f>ROUND(H31/2080,2)</f>
        <v>0</v>
      </c>
    </row>
    <row r="32" spans="1:9" ht="27" customHeight="1" thickBot="1">
      <c r="A32" s="293"/>
      <c r="B32" s="1170" t="s">
        <v>277</v>
      </c>
      <c r="C32" s="1171"/>
      <c r="D32" s="1172"/>
      <c r="E32" s="380"/>
      <c r="F32" s="473">
        <f>SUM(F27:F31)</f>
        <v>0</v>
      </c>
      <c r="G32" s="473">
        <f>SUM(G27:G31)</f>
        <v>30382</v>
      </c>
      <c r="H32" s="473">
        <f>SUM(H27:H31)</f>
        <v>20659.76</v>
      </c>
      <c r="I32" s="395">
        <f>SUM(I27:I31)</f>
        <v>9.93</v>
      </c>
    </row>
    <row r="33" spans="1:9" ht="19.5" customHeight="1" thickTop="1">
      <c r="A33" s="293"/>
      <c r="B33" s="375"/>
      <c r="C33" s="375"/>
      <c r="D33" s="375"/>
      <c r="E33" s="297"/>
      <c r="F33" s="368"/>
      <c r="G33" s="294"/>
      <c r="H33" s="295"/>
      <c r="I33" s="374"/>
    </row>
    <row r="34" spans="1:9" ht="19.5" customHeight="1">
      <c r="A34" s="207" t="s">
        <v>75</v>
      </c>
      <c r="B34" s="1184" t="s">
        <v>345</v>
      </c>
      <c r="C34" s="1185"/>
      <c r="D34" s="1186"/>
      <c r="E34" s="455"/>
      <c r="F34" s="338"/>
      <c r="G34" s="338"/>
      <c r="H34" s="390"/>
      <c r="I34" s="391"/>
    </row>
    <row r="35" spans="1:9" ht="19.5" customHeight="1">
      <c r="A35" s="474" t="s">
        <v>49</v>
      </c>
      <c r="B35" s="1167" t="s">
        <v>473</v>
      </c>
      <c r="C35" s="1168"/>
      <c r="D35" s="1168"/>
      <c r="E35" s="479"/>
      <c r="F35" s="392">
        <f>+'Form B-1 Detail'!F592</f>
        <v>1693695.6787325079</v>
      </c>
      <c r="G35" s="392">
        <f>+'Form B-1 Detail'!G592</f>
        <v>17048</v>
      </c>
      <c r="H35" s="392">
        <f>+'Form B-1 Detail'!H592</f>
        <v>40066.549008</v>
      </c>
      <c r="I35" s="393">
        <f>ROUND(H35/2080,2)</f>
        <v>19.26</v>
      </c>
    </row>
    <row r="36" spans="1:9" ht="19.5" customHeight="1">
      <c r="A36" s="474" t="s">
        <v>50</v>
      </c>
      <c r="B36" s="1167"/>
      <c r="C36" s="1168"/>
      <c r="D36" s="1169"/>
      <c r="E36" s="475"/>
      <c r="F36" s="394"/>
      <c r="G36" s="477"/>
      <c r="H36" s="394"/>
      <c r="I36" s="393">
        <f>ROUND(H36/2080,2)</f>
        <v>0</v>
      </c>
    </row>
    <row r="37" spans="1:9" ht="19.5" customHeight="1">
      <c r="A37" s="474" t="s">
        <v>82</v>
      </c>
      <c r="B37" s="1167"/>
      <c r="C37" s="1168"/>
      <c r="D37" s="1169"/>
      <c r="E37" s="475"/>
      <c r="F37" s="394"/>
      <c r="G37" s="477"/>
      <c r="H37" s="394"/>
      <c r="I37" s="393">
        <f>ROUND(H37/2080,2)</f>
        <v>0</v>
      </c>
    </row>
    <row r="38" spans="1:9" ht="24.75" customHeight="1" thickBot="1">
      <c r="A38" s="293"/>
      <c r="B38" s="1170" t="s">
        <v>278</v>
      </c>
      <c r="C38" s="1171"/>
      <c r="D38" s="1172"/>
      <c r="E38" s="453"/>
      <c r="F38" s="473">
        <f>SUM(F35:F37)</f>
        <v>1693695.6787325079</v>
      </c>
      <c r="G38" s="473">
        <f>SUM(G35:G37)</f>
        <v>17048</v>
      </c>
      <c r="H38" s="473">
        <f>SUM(H35:H37)</f>
        <v>40066.549008</v>
      </c>
      <c r="I38" s="395">
        <f>SUM(I35:I37)</f>
        <v>19.26</v>
      </c>
    </row>
    <row r="39" spans="1:9" ht="14.25" thickBot="1" thickTop="1">
      <c r="A39" s="301"/>
      <c r="B39" s="381"/>
      <c r="C39" s="382"/>
      <c r="D39" s="383"/>
      <c r="E39" s="383"/>
      <c r="F39" s="376"/>
      <c r="G39" s="302"/>
      <c r="H39" s="303"/>
      <c r="I39" s="377"/>
    </row>
  </sheetData>
  <sheetProtection password="E1AE" sheet="1" formatColumns="0" formatRows="0"/>
  <mergeCells count="24">
    <mergeCell ref="B36:D36"/>
    <mergeCell ref="B37:D37"/>
    <mergeCell ref="B38:D38"/>
    <mergeCell ref="B27:D27"/>
    <mergeCell ref="B28:D28"/>
    <mergeCell ref="B29:D29"/>
    <mergeCell ref="B32:D32"/>
    <mergeCell ref="B34:D34"/>
    <mergeCell ref="B35:D35"/>
    <mergeCell ref="B18:D18"/>
    <mergeCell ref="B19:D19"/>
    <mergeCell ref="B20:D20"/>
    <mergeCell ref="B21:D21"/>
    <mergeCell ref="B24:D24"/>
    <mergeCell ref="B26:D26"/>
    <mergeCell ref="A13:D15"/>
    <mergeCell ref="H13:I13"/>
    <mergeCell ref="B17:D17"/>
    <mergeCell ref="A1:I1"/>
    <mergeCell ref="A2:I2"/>
    <mergeCell ref="A3:I3"/>
    <mergeCell ref="A4:I4"/>
    <mergeCell ref="C8:H8"/>
    <mergeCell ref="A12:I12"/>
  </mergeCells>
  <printOptions horizontalCentered="1" verticalCentered="1"/>
  <pageMargins left="0.25" right="0.25" top="0.25" bottom="0.25" header="0.5" footer="0.25"/>
  <pageSetup horizontalDpi="600" verticalDpi="600" orientation="landscape" scale="80" r:id="rId1"/>
  <headerFooter alignWithMargins="0">
    <oddFooter>&amp;LDSS-16 10-24-2016&amp;RPage 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AI597"/>
  <sheetViews>
    <sheetView zoomScalePageLayoutView="0" workbookViewId="0" topLeftCell="A4">
      <selection activeCell="C9" sqref="C9"/>
    </sheetView>
  </sheetViews>
  <sheetFormatPr defaultColWidth="9.140625" defaultRowHeight="19.5" customHeight="1"/>
  <cols>
    <col min="1" max="1" width="4.00390625" style="155" bestFit="1" customWidth="1"/>
    <col min="2" max="3" width="16.421875" style="14" customWidth="1"/>
    <col min="4" max="4" width="15.421875" style="14" customWidth="1"/>
    <col min="5" max="5" width="19.421875" style="14" bestFit="1" customWidth="1"/>
    <col min="6" max="6" width="16.421875" style="14" customWidth="1"/>
    <col min="7" max="7" width="13.57421875" style="14" customWidth="1"/>
    <col min="8" max="8" width="17.7109375" style="14" customWidth="1"/>
    <col min="9" max="9" width="16.57421875" style="14" customWidth="1"/>
    <col min="10" max="35" width="9.140625" style="637" customWidth="1"/>
    <col min="36" max="16384" width="9.140625" style="14" customWidth="1"/>
  </cols>
  <sheetData>
    <row r="1" spans="1:9" ht="12.75">
      <c r="A1" s="1107" t="s">
        <v>45</v>
      </c>
      <c r="B1" s="1107"/>
      <c r="C1" s="1107"/>
      <c r="D1" s="1107"/>
      <c r="E1" s="1107"/>
      <c r="F1" s="1107"/>
      <c r="G1" s="1107"/>
      <c r="H1" s="1107"/>
      <c r="I1" s="1107"/>
    </row>
    <row r="2" spans="1:9" ht="12.75">
      <c r="A2" s="1107" t="s">
        <v>46</v>
      </c>
      <c r="B2" s="1107"/>
      <c r="C2" s="1107"/>
      <c r="D2" s="1107"/>
      <c r="E2" s="1107"/>
      <c r="F2" s="1107"/>
      <c r="G2" s="1107"/>
      <c r="H2" s="1107"/>
      <c r="I2" s="1107"/>
    </row>
    <row r="3" spans="1:9" ht="12.75">
      <c r="A3" s="1107" t="s">
        <v>47</v>
      </c>
      <c r="B3" s="1107"/>
      <c r="C3" s="1107"/>
      <c r="D3" s="1107"/>
      <c r="E3" s="1107"/>
      <c r="F3" s="1107"/>
      <c r="G3" s="1107"/>
      <c r="H3" s="1107"/>
      <c r="I3" s="1107"/>
    </row>
    <row r="4" spans="1:9" ht="12.75">
      <c r="A4" s="1107" t="s">
        <v>48</v>
      </c>
      <c r="B4" s="1107"/>
      <c r="C4" s="1107"/>
      <c r="D4" s="1107"/>
      <c r="E4" s="1107"/>
      <c r="F4" s="1107"/>
      <c r="G4" s="1107"/>
      <c r="H4" s="1107"/>
      <c r="I4" s="1107"/>
    </row>
    <row r="5" spans="1:9" ht="13.5" thickBot="1">
      <c r="A5" s="151"/>
      <c r="B5" s="12"/>
      <c r="C5" s="12"/>
      <c r="D5" s="12"/>
      <c r="E5" s="12"/>
      <c r="F5" s="514"/>
      <c r="G5" s="514"/>
      <c r="H5" s="514"/>
      <c r="I5" s="514"/>
    </row>
    <row r="6" spans="1:9" ht="21.75" customHeight="1">
      <c r="A6" s="152"/>
      <c r="B6" s="77" t="s">
        <v>54</v>
      </c>
      <c r="C6" s="77"/>
      <c r="D6" s="202"/>
      <c r="E6" s="78" t="s">
        <v>6</v>
      </c>
      <c r="F6" s="94">
        <f>'P1 Info &amp; Certification'!L20</f>
        <v>44013</v>
      </c>
      <c r="G6" s="148"/>
      <c r="H6" s="95" t="str">
        <f>'P1 Info &amp; Certification'!M20</f>
        <v>To</v>
      </c>
      <c r="I6" s="516">
        <f>'P1 Info &amp; Certification'!N20</f>
        <v>44377</v>
      </c>
    </row>
    <row r="7" spans="1:9" ht="12.75">
      <c r="A7" s="153"/>
      <c r="B7" s="526"/>
      <c r="C7" s="526"/>
      <c r="D7" s="526"/>
      <c r="E7" s="526"/>
      <c r="F7" s="13"/>
      <c r="G7" s="13"/>
      <c r="H7" s="13"/>
      <c r="I7" s="81"/>
    </row>
    <row r="8" spans="1:9" ht="22.5" customHeight="1" thickBot="1">
      <c r="A8" s="154"/>
      <c r="B8" s="84" t="s">
        <v>59</v>
      </c>
      <c r="C8" s="1115" t="str">
        <f>'P1 Info &amp; Certification'!E12</f>
        <v>COMMUNITY HEALTH CENTER, INC.</v>
      </c>
      <c r="D8" s="1115"/>
      <c r="E8" s="1115"/>
      <c r="F8" s="1115"/>
      <c r="G8" s="1115"/>
      <c r="H8" s="1115"/>
      <c r="I8" s="464"/>
    </row>
    <row r="9" spans="1:9" ht="12.75">
      <c r="A9" s="471"/>
      <c r="B9" s="515"/>
      <c r="C9" s="515"/>
      <c r="D9" s="515"/>
      <c r="E9" s="515"/>
      <c r="F9" s="515"/>
      <c r="G9" s="515"/>
      <c r="H9" s="515"/>
      <c r="I9" s="515"/>
    </row>
    <row r="10" spans="1:9" ht="12.75">
      <c r="A10" s="156"/>
      <c r="B10" s="146"/>
      <c r="C10" s="146"/>
      <c r="D10" s="146"/>
      <c r="E10" s="146"/>
      <c r="F10" s="146"/>
      <c r="G10" s="146"/>
      <c r="H10" s="146"/>
      <c r="I10" s="146"/>
    </row>
    <row r="11" spans="1:9" ht="13.5" thickBot="1">
      <c r="A11" s="156"/>
      <c r="B11" s="146"/>
      <c r="C11" s="146"/>
      <c r="D11" s="146"/>
      <c r="E11" s="146"/>
      <c r="F11" s="146"/>
      <c r="G11" s="146"/>
      <c r="H11" s="146"/>
      <c r="I11" s="296" t="s">
        <v>274</v>
      </c>
    </row>
    <row r="12" spans="1:9" ht="28.5" customHeight="1">
      <c r="A12" s="1176" t="s">
        <v>273</v>
      </c>
      <c r="B12" s="1177"/>
      <c r="C12" s="1177"/>
      <c r="D12" s="1177"/>
      <c r="E12" s="1178"/>
      <c r="F12" s="1178"/>
      <c r="G12" s="1178"/>
      <c r="H12" s="1177"/>
      <c r="I12" s="1179"/>
    </row>
    <row r="13" spans="1:9" ht="12.75">
      <c r="A13" s="1161" t="s">
        <v>267</v>
      </c>
      <c r="B13" s="1162"/>
      <c r="C13" s="1162"/>
      <c r="D13" s="1162"/>
      <c r="E13" s="369"/>
      <c r="F13" s="366"/>
      <c r="G13" s="413"/>
      <c r="H13" s="1180" t="s">
        <v>271</v>
      </c>
      <c r="I13" s="1181"/>
    </row>
    <row r="14" spans="1:9" ht="12.75">
      <c r="A14" s="1163"/>
      <c r="B14" s="1164"/>
      <c r="C14" s="1164"/>
      <c r="D14" s="1164"/>
      <c r="E14" s="370"/>
      <c r="F14" s="364"/>
      <c r="G14" s="414"/>
      <c r="H14" s="169" t="s">
        <v>272</v>
      </c>
      <c r="I14" s="204" t="s">
        <v>203</v>
      </c>
    </row>
    <row r="15" spans="1:9" ht="12.75" customHeight="1">
      <c r="A15" s="1165"/>
      <c r="B15" s="1166"/>
      <c r="C15" s="1166"/>
      <c r="D15" s="1166"/>
      <c r="E15" s="371" t="s">
        <v>270</v>
      </c>
      <c r="F15" s="367" t="s">
        <v>266</v>
      </c>
      <c r="G15" s="415" t="s">
        <v>254</v>
      </c>
      <c r="H15" s="170" t="s">
        <v>205</v>
      </c>
      <c r="I15" s="205" t="s">
        <v>204</v>
      </c>
    </row>
    <row r="16" spans="1:9" ht="12.75" customHeight="1">
      <c r="A16" s="519"/>
      <c r="B16" s="520"/>
      <c r="C16" s="520"/>
      <c r="D16" s="520"/>
      <c r="E16" s="416" t="s">
        <v>60</v>
      </c>
      <c r="F16" s="417" t="s">
        <v>61</v>
      </c>
      <c r="G16" s="418" t="s">
        <v>62</v>
      </c>
      <c r="H16" s="419" t="s">
        <v>63</v>
      </c>
      <c r="I16" s="420" t="s">
        <v>64</v>
      </c>
    </row>
    <row r="17" spans="1:9" ht="12.75" customHeight="1">
      <c r="A17" s="298"/>
      <c r="B17" s="1182" t="s">
        <v>268</v>
      </c>
      <c r="C17" s="1183"/>
      <c r="D17" s="1183"/>
      <c r="E17" s="372" t="s">
        <v>269</v>
      </c>
      <c r="F17" s="411">
        <v>125000</v>
      </c>
      <c r="G17" s="365">
        <v>1500</v>
      </c>
      <c r="H17" s="337">
        <v>1040</v>
      </c>
      <c r="I17" s="341">
        <f>H17/2080</f>
        <v>0.5</v>
      </c>
    </row>
    <row r="18" spans="1:9" ht="19.5" customHeight="1">
      <c r="A18" s="207" t="s">
        <v>83</v>
      </c>
      <c r="B18" s="1175" t="s">
        <v>229</v>
      </c>
      <c r="C18" s="1166"/>
      <c r="D18" s="1166"/>
      <c r="E18" s="371"/>
      <c r="F18" s="412"/>
      <c r="G18" s="338"/>
      <c r="H18" s="339"/>
      <c r="I18" s="342"/>
    </row>
    <row r="19" spans="1:9" ht="19.5" customHeight="1">
      <c r="A19" s="474">
        <v>1</v>
      </c>
      <c r="B19" s="1187" t="s">
        <v>229</v>
      </c>
      <c r="C19" s="1188"/>
      <c r="D19" s="1189"/>
      <c r="E19" s="639" t="s">
        <v>269</v>
      </c>
      <c r="F19" s="736">
        <v>279798</v>
      </c>
      <c r="G19" s="736">
        <v>1320</v>
      </c>
      <c r="H19" s="736">
        <v>2122</v>
      </c>
      <c r="I19" s="1306">
        <f aca="true" t="shared" si="0" ref="I19:I60">ROUND(H19/2080,2)</f>
        <v>1.02</v>
      </c>
    </row>
    <row r="20" spans="1:9" ht="19.5" customHeight="1">
      <c r="A20" s="474">
        <v>2</v>
      </c>
      <c r="B20" s="1187" t="s">
        <v>229</v>
      </c>
      <c r="C20" s="1188"/>
      <c r="D20" s="1189"/>
      <c r="E20" s="639" t="s">
        <v>269</v>
      </c>
      <c r="F20" s="736">
        <v>247342</v>
      </c>
      <c r="G20" s="736">
        <v>6847</v>
      </c>
      <c r="H20" s="736">
        <v>2093.5</v>
      </c>
      <c r="I20" s="1306">
        <f t="shared" si="0"/>
        <v>1.01</v>
      </c>
    </row>
    <row r="21" spans="1:9" ht="19.5" customHeight="1">
      <c r="A21" s="474">
        <v>3</v>
      </c>
      <c r="B21" s="1187" t="s">
        <v>229</v>
      </c>
      <c r="C21" s="1188"/>
      <c r="D21" s="1189"/>
      <c r="E21" s="639" t="s">
        <v>269</v>
      </c>
      <c r="F21" s="736">
        <v>239351.07935419134</v>
      </c>
      <c r="G21" s="736">
        <v>2041</v>
      </c>
      <c r="H21" s="736">
        <v>1904</v>
      </c>
      <c r="I21" s="1306">
        <f t="shared" si="0"/>
        <v>0.92</v>
      </c>
    </row>
    <row r="22" spans="1:35" s="946" customFormat="1" ht="19.5" customHeight="1">
      <c r="A22" s="945">
        <v>4</v>
      </c>
      <c r="B22" s="1187" t="s">
        <v>229</v>
      </c>
      <c r="C22" s="1188"/>
      <c r="D22" s="1189"/>
      <c r="E22" s="639" t="s">
        <v>269</v>
      </c>
      <c r="F22" s="736">
        <v>83178.20576728482</v>
      </c>
      <c r="G22" s="736">
        <v>977.12</v>
      </c>
      <c r="H22" s="736">
        <v>604.4199999999998</v>
      </c>
      <c r="I22" s="1306">
        <f t="shared" si="0"/>
        <v>0.29</v>
      </c>
      <c r="J22" s="637"/>
      <c r="K22" s="637"/>
      <c r="L22" s="637"/>
      <c r="M22" s="637"/>
      <c r="N22" s="637"/>
      <c r="O22" s="637"/>
      <c r="P22" s="637"/>
      <c r="Q22" s="637"/>
      <c r="R22" s="637"/>
      <c r="S22" s="637"/>
      <c r="T22" s="637"/>
      <c r="U22" s="637"/>
      <c r="V22" s="637"/>
      <c r="W22" s="637"/>
      <c r="X22" s="637"/>
      <c r="Y22" s="637"/>
      <c r="Z22" s="637"/>
      <c r="AA22" s="637"/>
      <c r="AB22" s="637"/>
      <c r="AC22" s="637"/>
      <c r="AD22" s="637"/>
      <c r="AE22" s="637"/>
      <c r="AF22" s="637"/>
      <c r="AG22" s="637"/>
      <c r="AH22" s="637"/>
      <c r="AI22" s="637"/>
    </row>
    <row r="23" spans="1:9" ht="19.5" customHeight="1">
      <c r="A23" s="474">
        <v>5</v>
      </c>
      <c r="B23" s="1187" t="s">
        <v>229</v>
      </c>
      <c r="C23" s="1188"/>
      <c r="D23" s="1189"/>
      <c r="E23" s="639" t="s">
        <v>269</v>
      </c>
      <c r="F23" s="736">
        <v>163949</v>
      </c>
      <c r="G23" s="736">
        <v>3664</v>
      </c>
      <c r="H23" s="736">
        <v>2195.25</v>
      </c>
      <c r="I23" s="1306">
        <f t="shared" si="0"/>
        <v>1.06</v>
      </c>
    </row>
    <row r="24" spans="1:9" ht="19.5" customHeight="1">
      <c r="A24" s="474">
        <v>6</v>
      </c>
      <c r="B24" s="1187" t="s">
        <v>229</v>
      </c>
      <c r="C24" s="1188"/>
      <c r="D24" s="1189"/>
      <c r="E24" s="639" t="s">
        <v>269</v>
      </c>
      <c r="F24" s="736">
        <v>2505.4539761034175</v>
      </c>
      <c r="G24" s="736">
        <v>0</v>
      </c>
      <c r="H24" s="736">
        <v>0</v>
      </c>
      <c r="I24" s="1306">
        <f t="shared" si="0"/>
        <v>0</v>
      </c>
    </row>
    <row r="25" spans="1:9" ht="19.5" customHeight="1">
      <c r="A25" s="474">
        <v>7</v>
      </c>
      <c r="B25" s="1187" t="s">
        <v>229</v>
      </c>
      <c r="C25" s="1188"/>
      <c r="D25" s="1189"/>
      <c r="E25" s="639" t="s">
        <v>269</v>
      </c>
      <c r="F25" s="736">
        <v>165679</v>
      </c>
      <c r="G25" s="736">
        <v>4384</v>
      </c>
      <c r="H25" s="736">
        <v>2197.5</v>
      </c>
      <c r="I25" s="1306">
        <f t="shared" si="0"/>
        <v>1.06</v>
      </c>
    </row>
    <row r="26" spans="1:9" ht="19.5" customHeight="1">
      <c r="A26" s="474">
        <v>8</v>
      </c>
      <c r="B26" s="1187" t="s">
        <v>229</v>
      </c>
      <c r="C26" s="1188"/>
      <c r="D26" s="1189"/>
      <c r="E26" s="639" t="s">
        <v>269</v>
      </c>
      <c r="F26" s="736">
        <v>244154.25510633114</v>
      </c>
      <c r="G26" s="736">
        <v>4383</v>
      </c>
      <c r="H26" s="736">
        <v>2080</v>
      </c>
      <c r="I26" s="1306">
        <f t="shared" si="0"/>
        <v>1</v>
      </c>
    </row>
    <row r="27" spans="1:9" ht="19.5" customHeight="1">
      <c r="A27" s="474">
        <v>9</v>
      </c>
      <c r="B27" s="1187" t="s">
        <v>229</v>
      </c>
      <c r="C27" s="1188"/>
      <c r="D27" s="1189"/>
      <c r="E27" s="639" t="s">
        <v>269</v>
      </c>
      <c r="F27" s="736">
        <v>225485.87700680297</v>
      </c>
      <c r="G27" s="736">
        <v>1994</v>
      </c>
      <c r="H27" s="736">
        <v>2080</v>
      </c>
      <c r="I27" s="1306">
        <f t="shared" si="0"/>
        <v>1</v>
      </c>
    </row>
    <row r="28" spans="1:35" s="946" customFormat="1" ht="19.5" customHeight="1">
      <c r="A28" s="945">
        <v>10</v>
      </c>
      <c r="B28" s="1187" t="s">
        <v>229</v>
      </c>
      <c r="C28" s="1188"/>
      <c r="D28" s="1189"/>
      <c r="E28" s="639" t="s">
        <v>269</v>
      </c>
      <c r="F28" s="736">
        <v>134033</v>
      </c>
      <c r="G28" s="736">
        <f>416-216</f>
        <v>200</v>
      </c>
      <c r="H28" s="736">
        <v>883.19</v>
      </c>
      <c r="I28" s="1306">
        <f t="shared" si="0"/>
        <v>0.42</v>
      </c>
      <c r="J28" s="637"/>
      <c r="K28" s="637"/>
      <c r="L28" s="637"/>
      <c r="M28" s="637"/>
      <c r="N28" s="637"/>
      <c r="O28" s="637"/>
      <c r="P28" s="637"/>
      <c r="Q28" s="637"/>
      <c r="R28" s="637"/>
      <c r="S28" s="637"/>
      <c r="T28" s="637"/>
      <c r="U28" s="637"/>
      <c r="V28" s="637"/>
      <c r="W28" s="637"/>
      <c r="X28" s="637"/>
      <c r="Y28" s="637"/>
      <c r="Z28" s="637"/>
      <c r="AA28" s="637"/>
      <c r="AB28" s="637"/>
      <c r="AC28" s="637"/>
      <c r="AD28" s="637"/>
      <c r="AE28" s="637"/>
      <c r="AF28" s="637"/>
      <c r="AG28" s="637"/>
      <c r="AH28" s="637"/>
      <c r="AI28" s="637"/>
    </row>
    <row r="29" spans="1:9" ht="19.5" customHeight="1">
      <c r="A29" s="474">
        <v>11</v>
      </c>
      <c r="B29" s="1187" t="s">
        <v>229</v>
      </c>
      <c r="C29" s="1188"/>
      <c r="D29" s="1189"/>
      <c r="E29" s="639" t="s">
        <v>269</v>
      </c>
      <c r="F29" s="736">
        <v>146134.97266796607</v>
      </c>
      <c r="G29" s="736">
        <v>2944</v>
      </c>
      <c r="H29" s="736">
        <v>2080</v>
      </c>
      <c r="I29" s="1306">
        <f t="shared" si="0"/>
        <v>1</v>
      </c>
    </row>
    <row r="30" spans="1:9" ht="19.5" customHeight="1">
      <c r="A30" s="474">
        <v>12</v>
      </c>
      <c r="B30" s="1187" t="s">
        <v>229</v>
      </c>
      <c r="C30" s="1188"/>
      <c r="D30" s="1189"/>
      <c r="E30" s="639" t="s">
        <v>269</v>
      </c>
      <c r="F30" s="736">
        <v>172390</v>
      </c>
      <c r="G30" s="736">
        <v>784</v>
      </c>
      <c r="H30" s="736">
        <v>2090</v>
      </c>
      <c r="I30" s="1306">
        <f t="shared" si="0"/>
        <v>1</v>
      </c>
    </row>
    <row r="31" spans="1:9" ht="19.5" customHeight="1">
      <c r="A31" s="474">
        <v>13</v>
      </c>
      <c r="B31" s="1187" t="s">
        <v>229</v>
      </c>
      <c r="C31" s="1188"/>
      <c r="D31" s="1189"/>
      <c r="E31" s="639" t="s">
        <v>269</v>
      </c>
      <c r="F31" s="736">
        <v>220736.81906054667</v>
      </c>
      <c r="G31" s="736">
        <v>2383</v>
      </c>
      <c r="H31" s="736">
        <v>2080</v>
      </c>
      <c r="I31" s="1306">
        <f t="shared" si="0"/>
        <v>1</v>
      </c>
    </row>
    <row r="32" spans="1:9" ht="19.5" customHeight="1">
      <c r="A32" s="474">
        <v>14</v>
      </c>
      <c r="B32" s="1187" t="s">
        <v>229</v>
      </c>
      <c r="C32" s="1188"/>
      <c r="D32" s="1189"/>
      <c r="E32" s="639" t="s">
        <v>269</v>
      </c>
      <c r="F32" s="736">
        <v>269547.1514159305</v>
      </c>
      <c r="G32" s="736">
        <v>3582</v>
      </c>
      <c r="H32" s="736">
        <v>2096</v>
      </c>
      <c r="I32" s="1306">
        <f t="shared" si="0"/>
        <v>1.01</v>
      </c>
    </row>
    <row r="33" spans="1:9" ht="19.5" customHeight="1">
      <c r="A33" s="474">
        <v>15</v>
      </c>
      <c r="B33" s="1187" t="s">
        <v>229</v>
      </c>
      <c r="C33" s="1188"/>
      <c r="D33" s="1189"/>
      <c r="E33" s="639" t="s">
        <v>269</v>
      </c>
      <c r="F33" s="736">
        <v>242850.96805704178</v>
      </c>
      <c r="G33" s="736">
        <v>3291</v>
      </c>
      <c r="H33" s="736">
        <v>2124</v>
      </c>
      <c r="I33" s="1306">
        <f t="shared" si="0"/>
        <v>1.02</v>
      </c>
    </row>
    <row r="34" spans="1:9" ht="19.5" customHeight="1">
      <c r="A34" s="474">
        <v>16</v>
      </c>
      <c r="B34" s="1187" t="s">
        <v>229</v>
      </c>
      <c r="C34" s="1188"/>
      <c r="D34" s="1189"/>
      <c r="E34" s="639" t="s">
        <v>269</v>
      </c>
      <c r="F34" s="736">
        <v>207951</v>
      </c>
      <c r="G34" s="736">
        <v>2020</v>
      </c>
      <c r="H34" s="736">
        <v>2128</v>
      </c>
      <c r="I34" s="1306">
        <f t="shared" si="0"/>
        <v>1.02</v>
      </c>
    </row>
    <row r="35" spans="1:35" s="946" customFormat="1" ht="19.5" customHeight="1">
      <c r="A35" s="945">
        <v>17</v>
      </c>
      <c r="B35" s="1187" t="s">
        <v>229</v>
      </c>
      <c r="C35" s="1188"/>
      <c r="D35" s="1189"/>
      <c r="E35" s="639" t="s">
        <v>269</v>
      </c>
      <c r="F35" s="736">
        <v>180996.31027318482</v>
      </c>
      <c r="G35" s="736">
        <v>2175</v>
      </c>
      <c r="H35" s="736">
        <v>1291.5799999999995</v>
      </c>
      <c r="I35" s="1306">
        <f t="shared" si="0"/>
        <v>0.62</v>
      </c>
      <c r="J35" s="637"/>
      <c r="K35" s="637"/>
      <c r="L35" s="637"/>
      <c r="M35" s="637"/>
      <c r="N35" s="637"/>
      <c r="O35" s="637"/>
      <c r="P35" s="637"/>
      <c r="Q35" s="637"/>
      <c r="R35" s="637"/>
      <c r="S35" s="637"/>
      <c r="T35" s="637"/>
      <c r="U35" s="637"/>
      <c r="V35" s="637"/>
      <c r="W35" s="637"/>
      <c r="X35" s="637"/>
      <c r="Y35" s="637"/>
      <c r="Z35" s="637"/>
      <c r="AA35" s="637"/>
      <c r="AB35" s="637"/>
      <c r="AC35" s="637"/>
      <c r="AD35" s="637"/>
      <c r="AE35" s="637"/>
      <c r="AF35" s="637"/>
      <c r="AG35" s="637"/>
      <c r="AH35" s="637"/>
      <c r="AI35" s="637"/>
    </row>
    <row r="36" spans="1:9" ht="19.5" customHeight="1">
      <c r="A36" s="474">
        <v>18</v>
      </c>
      <c r="B36" s="1187" t="s">
        <v>229</v>
      </c>
      <c r="C36" s="1188"/>
      <c r="D36" s="1189"/>
      <c r="E36" s="639" t="s">
        <v>269</v>
      </c>
      <c r="F36" s="736">
        <v>227721</v>
      </c>
      <c r="G36" s="736">
        <v>3625</v>
      </c>
      <c r="H36" s="736">
        <v>2234</v>
      </c>
      <c r="I36" s="1306">
        <f t="shared" si="0"/>
        <v>1.07</v>
      </c>
    </row>
    <row r="37" spans="1:9" ht="19.5" customHeight="1">
      <c r="A37" s="474">
        <v>19</v>
      </c>
      <c r="B37" s="1187" t="s">
        <v>229</v>
      </c>
      <c r="C37" s="1188"/>
      <c r="D37" s="1189"/>
      <c r="E37" s="639" t="s">
        <v>269</v>
      </c>
      <c r="F37" s="736">
        <v>252485</v>
      </c>
      <c r="G37" s="736">
        <v>1087</v>
      </c>
      <c r="H37" s="736">
        <v>2509.75</v>
      </c>
      <c r="I37" s="1306">
        <f t="shared" si="0"/>
        <v>1.21</v>
      </c>
    </row>
    <row r="38" spans="1:9" ht="19.5" customHeight="1">
      <c r="A38" s="474">
        <v>20</v>
      </c>
      <c r="B38" s="1187" t="s">
        <v>229</v>
      </c>
      <c r="C38" s="1188"/>
      <c r="D38" s="1189"/>
      <c r="E38" s="639" t="s">
        <v>269</v>
      </c>
      <c r="F38" s="736">
        <v>107506.21398432851</v>
      </c>
      <c r="G38" s="736">
        <v>1112</v>
      </c>
      <c r="H38" s="736">
        <v>919.25</v>
      </c>
      <c r="I38" s="1306">
        <f t="shared" si="0"/>
        <v>0.44</v>
      </c>
    </row>
    <row r="39" spans="1:9" ht="19.5" customHeight="1">
      <c r="A39" s="474">
        <v>21</v>
      </c>
      <c r="B39" s="1187" t="s">
        <v>229</v>
      </c>
      <c r="C39" s="1188"/>
      <c r="D39" s="1189"/>
      <c r="E39" s="639" t="s">
        <v>269</v>
      </c>
      <c r="F39" s="736">
        <v>123257.17132137061</v>
      </c>
      <c r="G39" s="736">
        <v>2426</v>
      </c>
      <c r="H39" s="736">
        <v>1020</v>
      </c>
      <c r="I39" s="1306">
        <f t="shared" si="0"/>
        <v>0.49</v>
      </c>
    </row>
    <row r="40" spans="1:9" ht="19.5" customHeight="1">
      <c r="A40" s="474">
        <v>22</v>
      </c>
      <c r="B40" s="1187" t="s">
        <v>229</v>
      </c>
      <c r="C40" s="1188"/>
      <c r="D40" s="1189"/>
      <c r="E40" s="639" t="s">
        <v>269</v>
      </c>
      <c r="F40" s="736">
        <v>269109.6490426232</v>
      </c>
      <c r="G40" s="736">
        <v>3819</v>
      </c>
      <c r="H40" s="736">
        <v>2411</v>
      </c>
      <c r="I40" s="1306">
        <f t="shared" si="0"/>
        <v>1.16</v>
      </c>
    </row>
    <row r="41" spans="1:9" ht="19.5" customHeight="1">
      <c r="A41" s="474">
        <v>23</v>
      </c>
      <c r="B41" s="1187" t="s">
        <v>229</v>
      </c>
      <c r="C41" s="1188"/>
      <c r="D41" s="1189"/>
      <c r="E41" s="639" t="s">
        <v>269</v>
      </c>
      <c r="F41" s="736">
        <v>208198</v>
      </c>
      <c r="G41" s="736">
        <v>3657</v>
      </c>
      <c r="H41" s="736">
        <v>1675.75</v>
      </c>
      <c r="I41" s="1306">
        <f t="shared" si="0"/>
        <v>0.81</v>
      </c>
    </row>
    <row r="42" spans="1:9" ht="19.5" customHeight="1">
      <c r="A42" s="474">
        <v>24</v>
      </c>
      <c r="B42" s="1187" t="s">
        <v>229</v>
      </c>
      <c r="C42" s="1188"/>
      <c r="D42" s="1189"/>
      <c r="E42" s="639" t="s">
        <v>269</v>
      </c>
      <c r="F42" s="736">
        <v>213329.07357300847</v>
      </c>
      <c r="G42" s="736">
        <v>1921</v>
      </c>
      <c r="H42" s="736">
        <v>2150</v>
      </c>
      <c r="I42" s="1306">
        <f t="shared" si="0"/>
        <v>1.03</v>
      </c>
    </row>
    <row r="43" spans="1:9" ht="19.5" customHeight="1">
      <c r="A43" s="474">
        <v>25</v>
      </c>
      <c r="B43" s="1187" t="s">
        <v>229</v>
      </c>
      <c r="C43" s="1188"/>
      <c r="D43" s="1189"/>
      <c r="E43" s="639" t="s">
        <v>269</v>
      </c>
      <c r="F43" s="736">
        <v>276845.829480981</v>
      </c>
      <c r="G43" s="736">
        <v>4031</v>
      </c>
      <c r="H43" s="736">
        <v>2128</v>
      </c>
      <c r="I43" s="1306">
        <f t="shared" si="0"/>
        <v>1.02</v>
      </c>
    </row>
    <row r="44" spans="1:9" ht="19.5" customHeight="1">
      <c r="A44" s="474">
        <v>26</v>
      </c>
      <c r="B44" s="1187" t="s">
        <v>229</v>
      </c>
      <c r="C44" s="1188"/>
      <c r="D44" s="1189"/>
      <c r="E44" s="639" t="s">
        <v>269</v>
      </c>
      <c r="F44" s="736">
        <v>216264</v>
      </c>
      <c r="G44" s="736">
        <v>4065</v>
      </c>
      <c r="H44" s="736">
        <v>2108</v>
      </c>
      <c r="I44" s="1306">
        <f t="shared" si="0"/>
        <v>1.01</v>
      </c>
    </row>
    <row r="45" spans="1:9" ht="19.5" customHeight="1">
      <c r="A45" s="474">
        <v>27</v>
      </c>
      <c r="B45" s="1187" t="s">
        <v>229</v>
      </c>
      <c r="C45" s="1188"/>
      <c r="D45" s="1189"/>
      <c r="E45" s="639" t="s">
        <v>269</v>
      </c>
      <c r="F45" s="736">
        <v>219222.59283010114</v>
      </c>
      <c r="G45" s="736">
        <v>3180</v>
      </c>
      <c r="H45" s="736">
        <v>2080</v>
      </c>
      <c r="I45" s="1306">
        <f t="shared" si="0"/>
        <v>1</v>
      </c>
    </row>
    <row r="46" spans="1:9" ht="19.5" customHeight="1">
      <c r="A46" s="474">
        <v>28</v>
      </c>
      <c r="B46" s="1187" t="s">
        <v>229</v>
      </c>
      <c r="C46" s="1188"/>
      <c r="D46" s="1189"/>
      <c r="E46" s="639" t="s">
        <v>269</v>
      </c>
      <c r="F46" s="736">
        <v>220643</v>
      </c>
      <c r="G46" s="736">
        <v>3723</v>
      </c>
      <c r="H46" s="736">
        <v>2172</v>
      </c>
      <c r="I46" s="1306">
        <f t="shared" si="0"/>
        <v>1.04</v>
      </c>
    </row>
    <row r="47" spans="1:9" ht="19.5" customHeight="1">
      <c r="A47" s="474">
        <v>29</v>
      </c>
      <c r="B47" s="1187" t="s">
        <v>229</v>
      </c>
      <c r="C47" s="1188"/>
      <c r="D47" s="1189"/>
      <c r="E47" s="639" t="s">
        <v>269</v>
      </c>
      <c r="F47" s="736">
        <v>117793.06683215026</v>
      </c>
      <c r="G47" s="736">
        <v>1154</v>
      </c>
      <c r="H47" s="736">
        <v>1000</v>
      </c>
      <c r="I47" s="1306">
        <f t="shared" si="0"/>
        <v>0.48</v>
      </c>
    </row>
    <row r="48" spans="1:9" ht="19.5" customHeight="1">
      <c r="A48" s="474">
        <v>30</v>
      </c>
      <c r="B48" s="1187" t="s">
        <v>229</v>
      </c>
      <c r="C48" s="1188"/>
      <c r="D48" s="1189"/>
      <c r="E48" s="639" t="s">
        <v>269</v>
      </c>
      <c r="F48" s="736">
        <v>42266</v>
      </c>
      <c r="G48" s="736">
        <v>332</v>
      </c>
      <c r="H48" s="736">
        <v>352</v>
      </c>
      <c r="I48" s="1306">
        <f t="shared" si="0"/>
        <v>0.17</v>
      </c>
    </row>
    <row r="49" spans="1:35" s="946" customFormat="1" ht="19.5" customHeight="1">
      <c r="A49" s="945">
        <v>31</v>
      </c>
      <c r="B49" s="1187" t="s">
        <v>229</v>
      </c>
      <c r="C49" s="1188"/>
      <c r="D49" s="1189"/>
      <c r="E49" s="639" t="s">
        <v>269</v>
      </c>
      <c r="F49" s="736">
        <v>158418</v>
      </c>
      <c r="G49" s="736">
        <v>216</v>
      </c>
      <c r="H49" s="736">
        <v>1196.81</v>
      </c>
      <c r="I49" s="1306">
        <f t="shared" si="0"/>
        <v>0.58</v>
      </c>
      <c r="J49" s="637"/>
      <c r="K49" s="637"/>
      <c r="L49" s="637"/>
      <c r="M49" s="637"/>
      <c r="N49" s="637"/>
      <c r="O49" s="637"/>
      <c r="P49" s="637"/>
      <c r="Q49" s="637"/>
      <c r="R49" s="637"/>
      <c r="S49" s="637"/>
      <c r="T49" s="637"/>
      <c r="U49" s="637"/>
      <c r="V49" s="637"/>
      <c r="W49" s="637"/>
      <c r="X49" s="637"/>
      <c r="Y49" s="637"/>
      <c r="Z49" s="637"/>
      <c r="AA49" s="637"/>
      <c r="AB49" s="637"/>
      <c r="AC49" s="637"/>
      <c r="AD49" s="637"/>
      <c r="AE49" s="637"/>
      <c r="AF49" s="637"/>
      <c r="AG49" s="637"/>
      <c r="AH49" s="637"/>
      <c r="AI49" s="637"/>
    </row>
    <row r="50" spans="1:9" ht="19.5" customHeight="1">
      <c r="A50" s="474">
        <v>32</v>
      </c>
      <c r="B50" s="1187" t="s">
        <v>229</v>
      </c>
      <c r="C50" s="1188"/>
      <c r="D50" s="1189"/>
      <c r="E50" s="639" t="s">
        <v>269</v>
      </c>
      <c r="F50" s="736">
        <v>262269</v>
      </c>
      <c r="G50" s="736">
        <v>3112</v>
      </c>
      <c r="H50" s="736">
        <v>2080</v>
      </c>
      <c r="I50" s="1306">
        <f t="shared" si="0"/>
        <v>1</v>
      </c>
    </row>
    <row r="51" spans="1:9" ht="19.5" customHeight="1">
      <c r="A51" s="474">
        <v>33</v>
      </c>
      <c r="B51" s="1187" t="s">
        <v>229</v>
      </c>
      <c r="C51" s="1188"/>
      <c r="D51" s="1189"/>
      <c r="E51" s="639" t="s">
        <v>269</v>
      </c>
      <c r="F51" s="736">
        <v>224638</v>
      </c>
      <c r="G51" s="736">
        <v>2902</v>
      </c>
      <c r="H51" s="736">
        <v>2081</v>
      </c>
      <c r="I51" s="1306">
        <f t="shared" si="0"/>
        <v>1</v>
      </c>
    </row>
    <row r="52" spans="1:9" ht="19.5" customHeight="1">
      <c r="A52" s="474">
        <v>34</v>
      </c>
      <c r="B52" s="1187" t="s">
        <v>229</v>
      </c>
      <c r="C52" s="1188"/>
      <c r="D52" s="1189"/>
      <c r="E52" s="639" t="s">
        <v>269</v>
      </c>
      <c r="F52" s="736">
        <v>275458.088589065</v>
      </c>
      <c r="G52" s="736">
        <v>4734</v>
      </c>
      <c r="H52" s="736">
        <v>2080.0000000000005</v>
      </c>
      <c r="I52" s="1306">
        <f t="shared" si="0"/>
        <v>1</v>
      </c>
    </row>
    <row r="53" spans="1:9" ht="19.5" customHeight="1">
      <c r="A53" s="474">
        <v>35</v>
      </c>
      <c r="B53" s="1187" t="s">
        <v>229</v>
      </c>
      <c r="C53" s="1188"/>
      <c r="D53" s="1189"/>
      <c r="E53" s="639" t="s">
        <v>269</v>
      </c>
      <c r="F53" s="736">
        <v>267306</v>
      </c>
      <c r="G53" s="736">
        <v>3113</v>
      </c>
      <c r="H53" s="736">
        <v>2108.5</v>
      </c>
      <c r="I53" s="1306">
        <f t="shared" si="0"/>
        <v>1.01</v>
      </c>
    </row>
    <row r="54" spans="1:9" ht="19.5" customHeight="1">
      <c r="A54" s="474">
        <v>36</v>
      </c>
      <c r="B54" s="1187" t="s">
        <v>229</v>
      </c>
      <c r="C54" s="1188"/>
      <c r="D54" s="1189"/>
      <c r="E54" s="639" t="s">
        <v>269</v>
      </c>
      <c r="F54" s="736">
        <v>159284.76768701765</v>
      </c>
      <c r="G54" s="736">
        <v>2266</v>
      </c>
      <c r="H54" s="736">
        <v>1416</v>
      </c>
      <c r="I54" s="1306">
        <f t="shared" si="0"/>
        <v>0.68</v>
      </c>
    </row>
    <row r="55" spans="1:9" ht="19.5" customHeight="1">
      <c r="A55" s="474">
        <v>37</v>
      </c>
      <c r="B55" s="1187" t="s">
        <v>229</v>
      </c>
      <c r="C55" s="1188"/>
      <c r="D55" s="1189"/>
      <c r="E55" s="639" t="s">
        <v>269</v>
      </c>
      <c r="F55" s="736">
        <v>163946.78616214424</v>
      </c>
      <c r="G55" s="736">
        <v>971</v>
      </c>
      <c r="H55" s="736">
        <v>1563</v>
      </c>
      <c r="I55" s="1306">
        <f t="shared" si="0"/>
        <v>0.75</v>
      </c>
    </row>
    <row r="56" spans="1:9" ht="19.5" customHeight="1">
      <c r="A56" s="569">
        <v>38</v>
      </c>
      <c r="B56" s="1187" t="s">
        <v>229</v>
      </c>
      <c r="C56" s="1188"/>
      <c r="D56" s="1189"/>
      <c r="E56" s="639" t="s">
        <v>269</v>
      </c>
      <c r="F56" s="736">
        <v>127000.81063064846</v>
      </c>
      <c r="G56" s="736">
        <v>2835</v>
      </c>
      <c r="H56" s="736">
        <v>1049</v>
      </c>
      <c r="I56" s="1306">
        <f t="shared" si="0"/>
        <v>0.5</v>
      </c>
    </row>
    <row r="57" spans="1:9" ht="19.5" customHeight="1">
      <c r="A57" s="569">
        <v>39</v>
      </c>
      <c r="B57" s="1187" t="s">
        <v>229</v>
      </c>
      <c r="C57" s="1188"/>
      <c r="D57" s="1189"/>
      <c r="E57" s="639" t="s">
        <v>269</v>
      </c>
      <c r="F57" s="736">
        <v>229948.2909745614</v>
      </c>
      <c r="G57" s="736">
        <v>3748</v>
      </c>
      <c r="H57" s="736">
        <v>2108</v>
      </c>
      <c r="I57" s="1306">
        <f t="shared" si="0"/>
        <v>1.01</v>
      </c>
    </row>
    <row r="58" spans="1:9" ht="19.5" customHeight="1">
      <c r="A58" s="569">
        <v>40</v>
      </c>
      <c r="B58" s="1187" t="s">
        <v>229</v>
      </c>
      <c r="C58" s="1188"/>
      <c r="D58" s="1189"/>
      <c r="E58" s="639" t="s">
        <v>269</v>
      </c>
      <c r="F58" s="736">
        <v>193783.11512017847</v>
      </c>
      <c r="G58" s="736">
        <v>3430</v>
      </c>
      <c r="H58" s="736">
        <v>1880</v>
      </c>
      <c r="I58" s="1306">
        <f t="shared" si="0"/>
        <v>0.9</v>
      </c>
    </row>
    <row r="59" spans="1:9" ht="19.5" customHeight="1">
      <c r="A59" s="569">
        <v>41</v>
      </c>
      <c r="B59" s="1187" t="s">
        <v>229</v>
      </c>
      <c r="C59" s="1188"/>
      <c r="D59" s="1189"/>
      <c r="E59" s="639" t="s">
        <v>269</v>
      </c>
      <c r="F59" s="736">
        <v>213109.44547746328</v>
      </c>
      <c r="G59" s="736">
        <v>3038</v>
      </c>
      <c r="H59" s="736">
        <v>2180</v>
      </c>
      <c r="I59" s="1306">
        <f t="shared" si="0"/>
        <v>1.05</v>
      </c>
    </row>
    <row r="60" spans="1:9" ht="19.5" customHeight="1">
      <c r="A60" s="569">
        <v>42</v>
      </c>
      <c r="B60" s="1187" t="s">
        <v>229</v>
      </c>
      <c r="C60" s="1188"/>
      <c r="D60" s="1189"/>
      <c r="E60" s="639" t="s">
        <v>269</v>
      </c>
      <c r="F60" s="736">
        <v>226347</v>
      </c>
      <c r="G60" s="736">
        <v>3280</v>
      </c>
      <c r="H60" s="736">
        <v>2124</v>
      </c>
      <c r="I60" s="1306">
        <f t="shared" si="0"/>
        <v>1.02</v>
      </c>
    </row>
    <row r="61" spans="1:9" ht="19.5" customHeight="1">
      <c r="A61" s="569">
        <v>43</v>
      </c>
      <c r="B61" s="1187" t="s">
        <v>229</v>
      </c>
      <c r="C61" s="1188"/>
      <c r="D61" s="1189"/>
      <c r="E61" s="639" t="s">
        <v>269</v>
      </c>
      <c r="F61" s="736">
        <v>235810</v>
      </c>
      <c r="G61" s="736">
        <v>1473</v>
      </c>
      <c r="H61" s="736">
        <v>1864</v>
      </c>
      <c r="I61" s="1306">
        <f>ROUND(H61/2080,2)</f>
        <v>0.9</v>
      </c>
    </row>
    <row r="62" spans="1:9" ht="19.5" customHeight="1">
      <c r="A62" s="569">
        <v>44</v>
      </c>
      <c r="B62" s="1187" t="s">
        <v>229</v>
      </c>
      <c r="C62" s="1188"/>
      <c r="D62" s="1189"/>
      <c r="E62" s="639" t="s">
        <v>269</v>
      </c>
      <c r="F62" s="949">
        <f>55813.5773093878+421</f>
        <v>56234.5773093878</v>
      </c>
      <c r="G62" s="947">
        <v>566</v>
      </c>
      <c r="H62" s="948">
        <v>512</v>
      </c>
      <c r="I62" s="1307">
        <f>ROUND(H62/2080,2)</f>
        <v>0.25</v>
      </c>
    </row>
    <row r="63" spans="1:9" ht="19.5" customHeight="1">
      <c r="A63" s="569"/>
      <c r="B63" s="1167"/>
      <c r="C63" s="1168"/>
      <c r="D63" s="1169"/>
      <c r="E63" s="771"/>
      <c r="F63" s="634"/>
      <c r="G63" s="634"/>
      <c r="H63" s="634"/>
      <c r="I63" s="373"/>
    </row>
    <row r="64" spans="1:9" ht="19.5" customHeight="1">
      <c r="A64" s="569"/>
      <c r="B64" s="1167"/>
      <c r="C64" s="1168"/>
      <c r="D64" s="1169"/>
      <c r="E64" s="771"/>
      <c r="F64" s="634"/>
      <c r="G64" s="634"/>
      <c r="H64" s="634"/>
      <c r="I64" s="373"/>
    </row>
    <row r="65" spans="1:9" ht="19.5" customHeight="1">
      <c r="A65" s="14"/>
      <c r="B65" s="1167"/>
      <c r="C65" s="1168"/>
      <c r="D65" s="1169"/>
      <c r="E65" s="521"/>
      <c r="F65" s="394"/>
      <c r="G65" s="477"/>
      <c r="H65" s="394"/>
      <c r="I65" s="660"/>
    </row>
    <row r="66" spans="1:9" ht="24.75" customHeight="1" thickBot="1">
      <c r="A66" s="253"/>
      <c r="B66" s="1170" t="s">
        <v>255</v>
      </c>
      <c r="C66" s="1171"/>
      <c r="D66" s="1172"/>
      <c r="E66" s="397"/>
      <c r="F66" s="776">
        <f>SUM(F19:F65)</f>
        <v>8514277.571700415</v>
      </c>
      <c r="G66" s="776">
        <f>SUM(G19:G65)</f>
        <v>112805.12</v>
      </c>
      <c r="H66" s="776">
        <f>SUM(H19:H65)</f>
        <v>77051.5</v>
      </c>
      <c r="I66" s="777">
        <f>SUM(I19:I65)</f>
        <v>37.03</v>
      </c>
    </row>
    <row r="67" spans="1:9" ht="19.5" customHeight="1" thickTop="1">
      <c r="A67" s="253"/>
      <c r="B67" s="1173"/>
      <c r="C67" s="1173"/>
      <c r="D67" s="1173"/>
      <c r="E67" s="523"/>
      <c r="F67" s="295"/>
      <c r="G67" s="294"/>
      <c r="H67" s="295"/>
      <c r="I67" s="396"/>
    </row>
    <row r="68" spans="1:9" ht="19.5" customHeight="1">
      <c r="A68" s="389" t="s">
        <v>84</v>
      </c>
      <c r="B68" s="1174" t="s">
        <v>206</v>
      </c>
      <c r="C68" s="1174"/>
      <c r="D68" s="1174"/>
      <c r="E68" s="524"/>
      <c r="F68" s="338"/>
      <c r="G68" s="338"/>
      <c r="H68" s="390"/>
      <c r="I68" s="391"/>
    </row>
    <row r="69" spans="1:9" ht="19.5" customHeight="1">
      <c r="A69" s="474">
        <v>1</v>
      </c>
      <c r="B69" s="1155" t="s">
        <v>206</v>
      </c>
      <c r="C69" s="1156"/>
      <c r="D69" s="1157"/>
      <c r="E69" s="479"/>
      <c r="F69" s="659">
        <v>117264</v>
      </c>
      <c r="G69" s="634">
        <v>685</v>
      </c>
      <c r="H69" s="634">
        <v>2534</v>
      </c>
      <c r="I69" s="658">
        <f aca="true" t="shared" si="1" ref="I69:I104">ROUND(H69/2080,2)</f>
        <v>1.22</v>
      </c>
    </row>
    <row r="70" spans="1:9" ht="19.5" customHeight="1">
      <c r="A70" s="474">
        <v>2</v>
      </c>
      <c r="B70" s="1155" t="s">
        <v>206</v>
      </c>
      <c r="C70" s="1156"/>
      <c r="D70" s="1157"/>
      <c r="E70" s="1046"/>
      <c r="F70" s="659">
        <v>121067</v>
      </c>
      <c r="G70" s="634">
        <v>686</v>
      </c>
      <c r="H70" s="634">
        <v>2545</v>
      </c>
      <c r="I70" s="658">
        <f t="shared" si="1"/>
        <v>1.22</v>
      </c>
    </row>
    <row r="71" spans="1:9" ht="19.5" customHeight="1">
      <c r="A71" s="474">
        <v>3</v>
      </c>
      <c r="B71" s="1155" t="s">
        <v>206</v>
      </c>
      <c r="C71" s="1156"/>
      <c r="D71" s="1157"/>
      <c r="E71" s="1046"/>
      <c r="F71" s="659">
        <v>97366</v>
      </c>
      <c r="G71" s="634">
        <v>891</v>
      </c>
      <c r="H71" s="634">
        <v>2157</v>
      </c>
      <c r="I71" s="658">
        <f t="shared" si="1"/>
        <v>1.04</v>
      </c>
    </row>
    <row r="72" spans="1:9" ht="19.5" customHeight="1">
      <c r="A72" s="474">
        <v>4</v>
      </c>
      <c r="B72" s="1155" t="s">
        <v>206</v>
      </c>
      <c r="C72" s="1156"/>
      <c r="D72" s="1157"/>
      <c r="E72" s="1046"/>
      <c r="F72" s="659">
        <v>63834</v>
      </c>
      <c r="G72" s="634">
        <v>227</v>
      </c>
      <c r="H72" s="634">
        <v>1332</v>
      </c>
      <c r="I72" s="658">
        <f t="shared" si="1"/>
        <v>0.64</v>
      </c>
    </row>
    <row r="73" spans="1:9" ht="19.5" customHeight="1">
      <c r="A73" s="474">
        <v>5</v>
      </c>
      <c r="B73" s="1155" t="s">
        <v>206</v>
      </c>
      <c r="C73" s="1156"/>
      <c r="D73" s="1157"/>
      <c r="E73" s="1046"/>
      <c r="F73" s="659">
        <v>95597</v>
      </c>
      <c r="G73" s="634">
        <v>1062</v>
      </c>
      <c r="H73" s="634">
        <v>2136.25</v>
      </c>
      <c r="I73" s="658">
        <f t="shared" si="1"/>
        <v>1.03</v>
      </c>
    </row>
    <row r="74" spans="1:9" ht="19.5" customHeight="1">
      <c r="A74" s="474">
        <v>6</v>
      </c>
      <c r="B74" s="1155" t="s">
        <v>206</v>
      </c>
      <c r="C74" s="1156"/>
      <c r="D74" s="1157"/>
      <c r="E74" s="1046"/>
      <c r="F74" s="659">
        <v>101076</v>
      </c>
      <c r="G74" s="634">
        <v>624</v>
      </c>
      <c r="H74" s="634">
        <v>2196.25</v>
      </c>
      <c r="I74" s="658">
        <f t="shared" si="1"/>
        <v>1.06</v>
      </c>
    </row>
    <row r="75" spans="1:9" s="637" customFormat="1" ht="19.5" customHeight="1">
      <c r="A75" s="957">
        <v>7</v>
      </c>
      <c r="B75" s="1187" t="s">
        <v>206</v>
      </c>
      <c r="C75" s="1188"/>
      <c r="D75" s="1189"/>
      <c r="E75" s="639"/>
      <c r="F75" s="1308">
        <v>89835</v>
      </c>
      <c r="G75" s="736">
        <f>910-25</f>
        <v>885</v>
      </c>
      <c r="H75" s="736">
        <v>1978.5</v>
      </c>
      <c r="I75" s="1307">
        <f t="shared" si="1"/>
        <v>0.95</v>
      </c>
    </row>
    <row r="76" spans="1:9" ht="19.5" customHeight="1">
      <c r="A76" s="474">
        <v>8</v>
      </c>
      <c r="B76" s="1155" t="s">
        <v>665</v>
      </c>
      <c r="C76" s="1156"/>
      <c r="D76" s="1157"/>
      <c r="E76" s="1046"/>
      <c r="F76" s="659">
        <v>80422.21641538697</v>
      </c>
      <c r="G76" s="634">
        <v>312</v>
      </c>
      <c r="H76" s="634">
        <v>1821.5</v>
      </c>
      <c r="I76" s="658">
        <f t="shared" si="1"/>
        <v>0.88</v>
      </c>
    </row>
    <row r="77" spans="1:9" ht="19.5" customHeight="1">
      <c r="A77" s="474">
        <v>9</v>
      </c>
      <c r="B77" s="1155" t="s">
        <v>665</v>
      </c>
      <c r="C77" s="1156"/>
      <c r="D77" s="1157"/>
      <c r="E77" s="625"/>
      <c r="F77" s="659">
        <v>13702.57834070721</v>
      </c>
      <c r="G77" s="634">
        <v>0</v>
      </c>
      <c r="H77" s="634">
        <v>320</v>
      </c>
      <c r="I77" s="658">
        <f t="shared" si="1"/>
        <v>0.15</v>
      </c>
    </row>
    <row r="78" spans="1:9" ht="19.5" customHeight="1">
      <c r="A78" s="474">
        <v>10</v>
      </c>
      <c r="B78" s="1155" t="s">
        <v>665</v>
      </c>
      <c r="C78" s="1156"/>
      <c r="D78" s="1157"/>
      <c r="E78" s="625"/>
      <c r="F78" s="659">
        <v>142545</v>
      </c>
      <c r="G78" s="634">
        <v>1247</v>
      </c>
      <c r="H78" s="634">
        <v>2835.25</v>
      </c>
      <c r="I78" s="658">
        <f t="shared" si="1"/>
        <v>1.36</v>
      </c>
    </row>
    <row r="79" spans="1:9" ht="19.5" customHeight="1">
      <c r="A79" s="474">
        <v>11</v>
      </c>
      <c r="B79" s="1155" t="s">
        <v>665</v>
      </c>
      <c r="C79" s="1156"/>
      <c r="D79" s="1157"/>
      <c r="E79" s="625"/>
      <c r="F79" s="659">
        <v>122620</v>
      </c>
      <c r="G79" s="634">
        <v>1491</v>
      </c>
      <c r="H79" s="634">
        <v>2618</v>
      </c>
      <c r="I79" s="658">
        <f t="shared" si="1"/>
        <v>1.26</v>
      </c>
    </row>
    <row r="80" spans="1:9" ht="19.5" customHeight="1">
      <c r="A80" s="474">
        <v>12</v>
      </c>
      <c r="B80" s="1155" t="s">
        <v>665</v>
      </c>
      <c r="C80" s="1156"/>
      <c r="D80" s="1157"/>
      <c r="E80" s="625"/>
      <c r="F80" s="659">
        <v>101286</v>
      </c>
      <c r="G80" s="634">
        <v>1095</v>
      </c>
      <c r="H80" s="634">
        <v>2154.5</v>
      </c>
      <c r="I80" s="658">
        <f t="shared" si="1"/>
        <v>1.04</v>
      </c>
    </row>
    <row r="81" spans="1:9" ht="19.5" customHeight="1">
      <c r="A81" s="474">
        <v>13</v>
      </c>
      <c r="B81" s="1155" t="s">
        <v>665</v>
      </c>
      <c r="C81" s="1156"/>
      <c r="D81" s="1157"/>
      <c r="E81" s="625"/>
      <c r="F81" s="659">
        <v>66718</v>
      </c>
      <c r="G81" s="634">
        <v>219</v>
      </c>
      <c r="H81" s="634">
        <v>1418.5</v>
      </c>
      <c r="I81" s="658">
        <f t="shared" si="1"/>
        <v>0.68</v>
      </c>
    </row>
    <row r="82" spans="1:9" ht="19.5" customHeight="1">
      <c r="A82" s="474">
        <v>14</v>
      </c>
      <c r="B82" s="1155" t="s">
        <v>665</v>
      </c>
      <c r="C82" s="1156"/>
      <c r="D82" s="1157"/>
      <c r="E82" s="625"/>
      <c r="F82" s="659">
        <v>113790</v>
      </c>
      <c r="G82" s="634">
        <v>784</v>
      </c>
      <c r="H82" s="634">
        <v>2358</v>
      </c>
      <c r="I82" s="658">
        <f t="shared" si="1"/>
        <v>1.13</v>
      </c>
    </row>
    <row r="83" spans="1:9" ht="19.5" customHeight="1">
      <c r="A83" s="474">
        <v>15</v>
      </c>
      <c r="B83" s="1155" t="s">
        <v>665</v>
      </c>
      <c r="C83" s="1156"/>
      <c r="D83" s="1157"/>
      <c r="E83" s="625"/>
      <c r="F83" s="659">
        <v>95131</v>
      </c>
      <c r="G83" s="694">
        <v>1205</v>
      </c>
      <c r="H83" s="659">
        <v>2095.5</v>
      </c>
      <c r="I83" s="658">
        <f t="shared" si="1"/>
        <v>1.01</v>
      </c>
    </row>
    <row r="84" spans="1:9" ht="19.5" customHeight="1">
      <c r="A84" s="474">
        <v>16</v>
      </c>
      <c r="B84" s="1155" t="s">
        <v>665</v>
      </c>
      <c r="C84" s="1156"/>
      <c r="D84" s="1157"/>
      <c r="E84" s="625"/>
      <c r="F84" s="659">
        <v>102224</v>
      </c>
      <c r="G84" s="774">
        <v>904</v>
      </c>
      <c r="H84" s="773">
        <v>2272.25</v>
      </c>
      <c r="I84" s="658">
        <f t="shared" si="1"/>
        <v>1.09</v>
      </c>
    </row>
    <row r="85" spans="1:9" ht="19.5" customHeight="1">
      <c r="A85" s="474">
        <v>17</v>
      </c>
      <c r="B85" s="1155" t="s">
        <v>665</v>
      </c>
      <c r="C85" s="1156"/>
      <c r="D85" s="1157"/>
      <c r="E85" s="625"/>
      <c r="F85" s="659">
        <v>91981</v>
      </c>
      <c r="G85" s="774">
        <v>976</v>
      </c>
      <c r="H85" s="773">
        <v>2089</v>
      </c>
      <c r="I85" s="658">
        <f t="shared" si="1"/>
        <v>1</v>
      </c>
    </row>
    <row r="86" spans="1:9" ht="19.5" customHeight="1">
      <c r="A86" s="474">
        <v>18</v>
      </c>
      <c r="B86" s="1155" t="s">
        <v>665</v>
      </c>
      <c r="C86" s="1156"/>
      <c r="D86" s="1157"/>
      <c r="E86" s="625"/>
      <c r="F86" s="659">
        <v>113673</v>
      </c>
      <c r="G86" s="774">
        <v>730</v>
      </c>
      <c r="H86" s="773">
        <v>2482.5</v>
      </c>
      <c r="I86" s="658">
        <f t="shared" si="1"/>
        <v>1.19</v>
      </c>
    </row>
    <row r="87" spans="1:9" ht="19.5" customHeight="1">
      <c r="A87" s="474">
        <v>19</v>
      </c>
      <c r="B87" s="1155" t="s">
        <v>665</v>
      </c>
      <c r="C87" s="1156"/>
      <c r="D87" s="1157"/>
      <c r="E87" s="625"/>
      <c r="F87" s="659">
        <v>56997</v>
      </c>
      <c r="G87" s="774">
        <v>713</v>
      </c>
      <c r="H87" s="773">
        <v>1347</v>
      </c>
      <c r="I87" s="658">
        <f t="shared" si="1"/>
        <v>0.65</v>
      </c>
    </row>
    <row r="88" spans="1:9" ht="19.5" customHeight="1">
      <c r="A88" s="474">
        <v>20</v>
      </c>
      <c r="B88" s="1155" t="s">
        <v>665</v>
      </c>
      <c r="C88" s="1156"/>
      <c r="D88" s="1157"/>
      <c r="E88" s="625"/>
      <c r="F88" s="659">
        <v>106132</v>
      </c>
      <c r="G88" s="774">
        <v>1535</v>
      </c>
      <c r="H88" s="773">
        <v>2202</v>
      </c>
      <c r="I88" s="658">
        <f t="shared" si="1"/>
        <v>1.06</v>
      </c>
    </row>
    <row r="89" spans="1:9" ht="19.5" customHeight="1">
      <c r="A89" s="474">
        <v>21</v>
      </c>
      <c r="B89" s="1155" t="s">
        <v>665</v>
      </c>
      <c r="C89" s="1156"/>
      <c r="D89" s="1157"/>
      <c r="E89" s="625"/>
      <c r="F89" s="659">
        <v>81678</v>
      </c>
      <c r="G89" s="774">
        <v>457</v>
      </c>
      <c r="H89" s="773">
        <v>1660.5</v>
      </c>
      <c r="I89" s="658">
        <f t="shared" si="1"/>
        <v>0.8</v>
      </c>
    </row>
    <row r="90" spans="1:9" ht="19.5" customHeight="1">
      <c r="A90" s="474">
        <v>22</v>
      </c>
      <c r="B90" s="1155" t="s">
        <v>665</v>
      </c>
      <c r="C90" s="1156"/>
      <c r="D90" s="1157"/>
      <c r="E90" s="625"/>
      <c r="F90" s="659">
        <v>114489</v>
      </c>
      <c r="G90" s="774">
        <v>2911</v>
      </c>
      <c r="H90" s="773">
        <v>1758.75</v>
      </c>
      <c r="I90" s="658">
        <f t="shared" si="1"/>
        <v>0.85</v>
      </c>
    </row>
    <row r="91" spans="1:9" ht="19.5" customHeight="1">
      <c r="A91" s="474">
        <v>23</v>
      </c>
      <c r="B91" s="1155" t="s">
        <v>665</v>
      </c>
      <c r="C91" s="1156"/>
      <c r="D91" s="1157"/>
      <c r="E91" s="625"/>
      <c r="F91" s="659">
        <v>147612.96001210142</v>
      </c>
      <c r="G91" s="774">
        <v>5436</v>
      </c>
      <c r="H91" s="773">
        <v>2194</v>
      </c>
      <c r="I91" s="658">
        <f t="shared" si="1"/>
        <v>1.05</v>
      </c>
    </row>
    <row r="92" spans="1:9" ht="19.5" customHeight="1">
      <c r="A92" s="474">
        <v>24</v>
      </c>
      <c r="B92" s="1155" t="s">
        <v>665</v>
      </c>
      <c r="C92" s="1156"/>
      <c r="D92" s="1157"/>
      <c r="E92" s="625"/>
      <c r="F92" s="659">
        <v>134669</v>
      </c>
      <c r="G92" s="774">
        <v>4502</v>
      </c>
      <c r="H92" s="773">
        <v>2100</v>
      </c>
      <c r="I92" s="658">
        <f t="shared" si="1"/>
        <v>1.01</v>
      </c>
    </row>
    <row r="93" spans="1:9" ht="19.5" customHeight="1">
      <c r="A93" s="474">
        <v>25</v>
      </c>
      <c r="B93" s="1155" t="s">
        <v>665</v>
      </c>
      <c r="C93" s="1156"/>
      <c r="D93" s="1157"/>
      <c r="E93" s="625"/>
      <c r="F93" s="659">
        <v>36579.628051109896</v>
      </c>
      <c r="G93" s="774">
        <v>501</v>
      </c>
      <c r="H93" s="773">
        <v>480</v>
      </c>
      <c r="I93" s="658">
        <f t="shared" si="1"/>
        <v>0.23</v>
      </c>
    </row>
    <row r="94" spans="1:9" ht="19.5" customHeight="1">
      <c r="A94" s="474">
        <v>26</v>
      </c>
      <c r="B94" s="1155" t="s">
        <v>665</v>
      </c>
      <c r="C94" s="1156"/>
      <c r="D94" s="1157"/>
      <c r="E94" s="625"/>
      <c r="F94" s="659">
        <v>97867</v>
      </c>
      <c r="G94" s="774">
        <v>2242</v>
      </c>
      <c r="H94" s="773">
        <v>2112</v>
      </c>
      <c r="I94" s="658">
        <f t="shared" si="1"/>
        <v>1.02</v>
      </c>
    </row>
    <row r="95" spans="1:9" ht="19.5" customHeight="1">
      <c r="A95" s="474">
        <v>27</v>
      </c>
      <c r="B95" s="1155" t="s">
        <v>665</v>
      </c>
      <c r="C95" s="1156"/>
      <c r="D95" s="1157"/>
      <c r="E95" s="625"/>
      <c r="F95" s="659">
        <v>94608</v>
      </c>
      <c r="G95" s="694">
        <v>825</v>
      </c>
      <c r="H95" s="659">
        <v>2092.5</v>
      </c>
      <c r="I95" s="658">
        <f t="shared" si="1"/>
        <v>1.01</v>
      </c>
    </row>
    <row r="96" spans="1:9" ht="19.5" customHeight="1">
      <c r="A96" s="474">
        <v>29</v>
      </c>
      <c r="B96" s="1155" t="s">
        <v>665</v>
      </c>
      <c r="C96" s="1156"/>
      <c r="D96" s="1157"/>
      <c r="E96" s="625"/>
      <c r="F96" s="949">
        <v>129939.56783919505</v>
      </c>
      <c r="G96" s="947">
        <v>2528</v>
      </c>
      <c r="H96" s="948">
        <v>2104</v>
      </c>
      <c r="I96" s="658">
        <f t="shared" si="1"/>
        <v>1.01</v>
      </c>
    </row>
    <row r="97" spans="1:9" ht="19.5" customHeight="1">
      <c r="A97" s="474">
        <v>30</v>
      </c>
      <c r="B97" s="1155" t="s">
        <v>665</v>
      </c>
      <c r="C97" s="1156"/>
      <c r="D97" s="1157"/>
      <c r="E97" s="625"/>
      <c r="F97" s="949">
        <v>131093</v>
      </c>
      <c r="G97" s="947">
        <v>3370</v>
      </c>
      <c r="H97" s="948">
        <v>2112</v>
      </c>
      <c r="I97" s="658">
        <f t="shared" si="1"/>
        <v>1.02</v>
      </c>
    </row>
    <row r="98" spans="1:9" ht="19.5" customHeight="1">
      <c r="A98" s="474">
        <v>31</v>
      </c>
      <c r="B98" s="1155" t="s">
        <v>665</v>
      </c>
      <c r="C98" s="1156"/>
      <c r="D98" s="1157"/>
      <c r="E98" s="625"/>
      <c r="F98" s="949">
        <v>54117.80588383382</v>
      </c>
      <c r="G98" s="947">
        <v>1130</v>
      </c>
      <c r="H98" s="948">
        <v>840</v>
      </c>
      <c r="I98" s="658">
        <f t="shared" si="1"/>
        <v>0.4</v>
      </c>
    </row>
    <row r="99" spans="1:9" ht="19.5" customHeight="1">
      <c r="A99" s="474">
        <v>32</v>
      </c>
      <c r="B99" s="1155" t="s">
        <v>665</v>
      </c>
      <c r="C99" s="1156"/>
      <c r="D99" s="1157"/>
      <c r="E99" s="625"/>
      <c r="F99" s="949">
        <v>30427.415660076615</v>
      </c>
      <c r="G99" s="947">
        <v>428</v>
      </c>
      <c r="H99" s="948">
        <v>504</v>
      </c>
      <c r="I99" s="658">
        <f t="shared" si="1"/>
        <v>0.24</v>
      </c>
    </row>
    <row r="100" spans="1:9" s="637" customFormat="1" ht="19.5" customHeight="1">
      <c r="A100" s="957">
        <v>33</v>
      </c>
      <c r="B100" s="1187" t="s">
        <v>665</v>
      </c>
      <c r="C100" s="1188"/>
      <c r="D100" s="1189"/>
      <c r="E100" s="958"/>
      <c r="F100" s="949">
        <v>127843</v>
      </c>
      <c r="G100" s="947">
        <v>3449</v>
      </c>
      <c r="H100" s="948">
        <v>1991.5</v>
      </c>
      <c r="I100" s="1307">
        <f t="shared" si="1"/>
        <v>0.96</v>
      </c>
    </row>
    <row r="101" spans="1:9" ht="19.5" customHeight="1">
      <c r="A101" s="474">
        <v>34</v>
      </c>
      <c r="B101" s="1155" t="s">
        <v>665</v>
      </c>
      <c r="C101" s="1156"/>
      <c r="D101" s="1157"/>
      <c r="E101" s="625"/>
      <c r="F101" s="949">
        <v>134076</v>
      </c>
      <c r="G101" s="947">
        <v>2352</v>
      </c>
      <c r="H101" s="948">
        <v>2080</v>
      </c>
      <c r="I101" s="658">
        <f t="shared" si="1"/>
        <v>1</v>
      </c>
    </row>
    <row r="102" spans="1:9" ht="19.5" customHeight="1">
      <c r="A102" s="474">
        <v>35</v>
      </c>
      <c r="B102" s="1155" t="s">
        <v>665</v>
      </c>
      <c r="C102" s="1156"/>
      <c r="D102" s="1157"/>
      <c r="E102" s="625"/>
      <c r="F102" s="949">
        <v>134558</v>
      </c>
      <c r="G102" s="947">
        <v>1557</v>
      </c>
      <c r="H102" s="948">
        <v>2080</v>
      </c>
      <c r="I102" s="658">
        <f t="shared" si="1"/>
        <v>1</v>
      </c>
    </row>
    <row r="103" spans="1:9" ht="19.5" customHeight="1">
      <c r="A103" s="474">
        <v>36</v>
      </c>
      <c r="B103" s="1155" t="s">
        <v>665</v>
      </c>
      <c r="C103" s="1156"/>
      <c r="D103" s="1157"/>
      <c r="E103" s="625"/>
      <c r="F103" s="949">
        <v>129239</v>
      </c>
      <c r="G103" s="947">
        <v>2813</v>
      </c>
      <c r="H103" s="948">
        <v>2080</v>
      </c>
      <c r="I103" s="658">
        <f t="shared" si="1"/>
        <v>1</v>
      </c>
    </row>
    <row r="104" spans="1:9" ht="19.5" customHeight="1">
      <c r="A104" s="474">
        <v>37</v>
      </c>
      <c r="B104" s="1155" t="s">
        <v>665</v>
      </c>
      <c r="C104" s="1156"/>
      <c r="D104" s="1157"/>
      <c r="E104" s="625"/>
      <c r="F104" s="949">
        <f>131601.555723335-21</f>
        <v>131580.555723335</v>
      </c>
      <c r="G104" s="947">
        <v>2439</v>
      </c>
      <c r="H104" s="948">
        <v>2056.29</v>
      </c>
      <c r="I104" s="658">
        <f t="shared" si="1"/>
        <v>0.99</v>
      </c>
    </row>
    <row r="105" spans="1:9" ht="19.5" customHeight="1">
      <c r="A105" s="474"/>
      <c r="B105" s="1155"/>
      <c r="C105" s="1156"/>
      <c r="D105" s="1157"/>
      <c r="E105" s="625"/>
      <c r="F105" s="938"/>
      <c r="G105" s="774"/>
      <c r="H105" s="773"/>
      <c r="I105" s="393"/>
    </row>
    <row r="106" spans="1:9" ht="24.75" customHeight="1" thickBot="1">
      <c r="A106" s="293"/>
      <c r="B106" s="1158" t="s">
        <v>256</v>
      </c>
      <c r="C106" s="1159"/>
      <c r="D106" s="1160"/>
      <c r="E106" s="522"/>
      <c r="F106" s="776">
        <f>SUM(F69:F105)</f>
        <v>3603638.7279257462</v>
      </c>
      <c r="G106" s="776">
        <f>SUM(G69:G105)</f>
        <v>53211</v>
      </c>
      <c r="H106" s="776">
        <f>SUM(H69:H105)</f>
        <v>69138.54</v>
      </c>
      <c r="I106" s="777">
        <f>ROUND(H106/2080,2)</f>
        <v>33.24</v>
      </c>
    </row>
    <row r="107" ht="19.5" customHeight="1" thickTop="1"/>
    <row r="108" spans="1:9" ht="19.5" customHeight="1">
      <c r="A108" s="207" t="s">
        <v>91</v>
      </c>
      <c r="B108" s="1184" t="s">
        <v>287</v>
      </c>
      <c r="C108" s="1185"/>
      <c r="D108" s="1185"/>
      <c r="E108" s="524"/>
      <c r="F108" s="338"/>
      <c r="G108" s="338"/>
      <c r="H108" s="390"/>
      <c r="I108" s="391"/>
    </row>
    <row r="109" spans="1:9" ht="19.5" customHeight="1">
      <c r="A109" s="474">
        <v>1</v>
      </c>
      <c r="B109" s="883" t="s">
        <v>692</v>
      </c>
      <c r="C109" s="884"/>
      <c r="D109" s="885"/>
      <c r="E109" s="886"/>
      <c r="F109" s="775">
        <v>92591.22642095305</v>
      </c>
      <c r="G109" s="895">
        <v>712</v>
      </c>
      <c r="H109" s="532">
        <v>2545.25</v>
      </c>
      <c r="I109" s="1307">
        <f aca="true" t="shared" si="2" ref="I109:I172">ROUND(H109/2080,2)</f>
        <v>1.22</v>
      </c>
    </row>
    <row r="110" spans="1:9" ht="19.5" customHeight="1">
      <c r="A110" s="474">
        <f>+A109+1</f>
        <v>2</v>
      </c>
      <c r="B110" t="s">
        <v>692</v>
      </c>
      <c r="C110" s="884"/>
      <c r="D110" s="885"/>
      <c r="E110" s="886"/>
      <c r="F110" s="775">
        <v>18163.138272523156</v>
      </c>
      <c r="G110" s="895">
        <v>755</v>
      </c>
      <c r="H110" s="532">
        <v>713.5</v>
      </c>
      <c r="I110" s="1307">
        <f t="shared" si="2"/>
        <v>0.34</v>
      </c>
    </row>
    <row r="111" spans="1:9" ht="19.5" customHeight="1">
      <c r="A111" s="474">
        <f aca="true" t="shared" si="3" ref="A111:A174">+A110+1</f>
        <v>3</v>
      </c>
      <c r="B111" t="s">
        <v>692</v>
      </c>
      <c r="C111" s="884"/>
      <c r="D111" s="885"/>
      <c r="E111" s="886"/>
      <c r="F111" s="775">
        <v>729.0470197824769</v>
      </c>
      <c r="G111" s="895">
        <v>0</v>
      </c>
      <c r="H111" s="532">
        <v>8</v>
      </c>
      <c r="I111" s="1307">
        <f t="shared" si="2"/>
        <v>0</v>
      </c>
    </row>
    <row r="112" spans="1:9" ht="19.5" customHeight="1">
      <c r="A112" s="474">
        <f t="shared" si="3"/>
        <v>4</v>
      </c>
      <c r="B112" t="s">
        <v>692</v>
      </c>
      <c r="C112" s="884"/>
      <c r="D112" s="885"/>
      <c r="E112" s="886"/>
      <c r="F112" s="775">
        <v>47335.8025377354</v>
      </c>
      <c r="G112" s="895">
        <v>0</v>
      </c>
      <c r="H112" s="532">
        <v>1827.25</v>
      </c>
      <c r="I112" s="1307">
        <f t="shared" si="2"/>
        <v>0.88</v>
      </c>
    </row>
    <row r="113" spans="1:9" ht="19.5" customHeight="1">
      <c r="A113" s="474">
        <f t="shared" si="3"/>
        <v>5</v>
      </c>
      <c r="B113" t="s">
        <v>692</v>
      </c>
      <c r="C113" s="884"/>
      <c r="D113" s="885"/>
      <c r="E113" s="886"/>
      <c r="F113" s="775">
        <v>14020.410210299777</v>
      </c>
      <c r="G113" s="895">
        <v>16</v>
      </c>
      <c r="H113" s="532">
        <v>231.5</v>
      </c>
      <c r="I113" s="1307">
        <f t="shared" si="2"/>
        <v>0.11</v>
      </c>
    </row>
    <row r="114" spans="1:9" ht="19.5" customHeight="1">
      <c r="A114" s="474">
        <f t="shared" si="3"/>
        <v>6</v>
      </c>
      <c r="B114" t="s">
        <v>692</v>
      </c>
      <c r="C114" s="887"/>
      <c r="D114" s="888"/>
      <c r="E114" s="886"/>
      <c r="F114" s="775">
        <v>3606.6009986008694</v>
      </c>
      <c r="G114" s="895">
        <v>0</v>
      </c>
      <c r="H114" s="532">
        <v>118.75</v>
      </c>
      <c r="I114" s="1307">
        <f t="shared" si="2"/>
        <v>0.06</v>
      </c>
    </row>
    <row r="115" spans="1:9" ht="19.5" customHeight="1">
      <c r="A115" s="474">
        <f t="shared" si="3"/>
        <v>7</v>
      </c>
      <c r="B115" t="s">
        <v>692</v>
      </c>
      <c r="C115" s="884"/>
      <c r="D115" s="885"/>
      <c r="E115" s="886"/>
      <c r="F115" s="775">
        <v>58948.97256779497</v>
      </c>
      <c r="G115" s="895">
        <v>0</v>
      </c>
      <c r="H115" s="532">
        <v>2102.75</v>
      </c>
      <c r="I115" s="1307">
        <f t="shared" si="2"/>
        <v>1.01</v>
      </c>
    </row>
    <row r="116" spans="1:9" ht="19.5" customHeight="1">
      <c r="A116" s="474">
        <f t="shared" si="3"/>
        <v>8</v>
      </c>
      <c r="B116" t="s">
        <v>692</v>
      </c>
      <c r="C116" s="884"/>
      <c r="D116" s="885"/>
      <c r="E116" s="886"/>
      <c r="F116" s="775">
        <v>11439.882811256397</v>
      </c>
      <c r="G116" s="895">
        <v>0</v>
      </c>
      <c r="H116" s="532">
        <v>343.75</v>
      </c>
      <c r="I116" s="1307">
        <f t="shared" si="2"/>
        <v>0.17</v>
      </c>
    </row>
    <row r="117" spans="1:9" ht="19.5" customHeight="1">
      <c r="A117" s="474">
        <f t="shared" si="3"/>
        <v>9</v>
      </c>
      <c r="B117" s="883" t="s">
        <v>890</v>
      </c>
      <c r="C117" s="884"/>
      <c r="D117" s="885"/>
      <c r="E117" s="886"/>
      <c r="F117" s="775">
        <v>47616.03255405457</v>
      </c>
      <c r="G117" s="895">
        <v>4352</v>
      </c>
      <c r="H117" s="532">
        <v>1759.5</v>
      </c>
      <c r="I117" s="1307">
        <f t="shared" si="2"/>
        <v>0.85</v>
      </c>
    </row>
    <row r="118" spans="1:9" ht="19.5" customHeight="1">
      <c r="A118" s="474">
        <f t="shared" si="3"/>
        <v>10</v>
      </c>
      <c r="B118" s="883" t="s">
        <v>890</v>
      </c>
      <c r="C118" s="884"/>
      <c r="D118" s="885"/>
      <c r="E118" s="886"/>
      <c r="F118" s="775">
        <v>57018.65056281408</v>
      </c>
      <c r="G118" s="895">
        <v>3282</v>
      </c>
      <c r="H118" s="532">
        <v>2064.25</v>
      </c>
      <c r="I118" s="1307">
        <f t="shared" si="2"/>
        <v>0.99</v>
      </c>
    </row>
    <row r="119" spans="1:9" ht="19.5" customHeight="1">
      <c r="A119" s="474">
        <f t="shared" si="3"/>
        <v>11</v>
      </c>
      <c r="B119" s="883" t="s">
        <v>890</v>
      </c>
      <c r="C119" s="884"/>
      <c r="D119" s="885"/>
      <c r="E119" s="886"/>
      <c r="F119" s="775">
        <v>55040.79508499848</v>
      </c>
      <c r="G119" s="895">
        <v>4749</v>
      </c>
      <c r="H119" s="532">
        <v>2152.5</v>
      </c>
      <c r="I119" s="1307">
        <f t="shared" si="2"/>
        <v>1.03</v>
      </c>
    </row>
    <row r="120" spans="1:9" ht="19.5" customHeight="1">
      <c r="A120" s="474">
        <f t="shared" si="3"/>
        <v>12</v>
      </c>
      <c r="B120" t="s">
        <v>891</v>
      </c>
      <c r="C120" s="884"/>
      <c r="D120" s="885"/>
      <c r="E120" s="886"/>
      <c r="F120" s="775">
        <v>37262.66491407521</v>
      </c>
      <c r="G120" s="895">
        <v>81</v>
      </c>
      <c r="H120" s="532">
        <v>1344.25</v>
      </c>
      <c r="I120" s="1307">
        <f t="shared" si="2"/>
        <v>0.65</v>
      </c>
    </row>
    <row r="121" spans="1:9" ht="19.5" customHeight="1">
      <c r="A121" s="474">
        <f t="shared" si="3"/>
        <v>13</v>
      </c>
      <c r="B121" t="s">
        <v>891</v>
      </c>
      <c r="C121" s="884"/>
      <c r="D121" s="885"/>
      <c r="E121" s="886"/>
      <c r="F121" s="775">
        <v>4932</v>
      </c>
      <c r="G121" s="895">
        <v>0</v>
      </c>
      <c r="H121" s="532">
        <v>163.75</v>
      </c>
      <c r="I121" s="1307">
        <f t="shared" si="2"/>
        <v>0.08</v>
      </c>
    </row>
    <row r="122" spans="1:9" ht="19.5" customHeight="1">
      <c r="A122" s="474">
        <f t="shared" si="3"/>
        <v>14</v>
      </c>
      <c r="B122" t="s">
        <v>891</v>
      </c>
      <c r="C122" s="884"/>
      <c r="D122" s="885"/>
      <c r="E122" s="886"/>
      <c r="F122" s="775">
        <v>2038.4373549577404</v>
      </c>
      <c r="G122" s="895">
        <v>0</v>
      </c>
      <c r="H122" s="532">
        <v>84.75</v>
      </c>
      <c r="I122" s="1307">
        <f t="shared" si="2"/>
        <v>0.04</v>
      </c>
    </row>
    <row r="123" spans="1:9" ht="19.5" customHeight="1">
      <c r="A123" s="474">
        <f t="shared" si="3"/>
        <v>15</v>
      </c>
      <c r="B123" t="s">
        <v>891</v>
      </c>
      <c r="C123" s="884"/>
      <c r="D123" s="885"/>
      <c r="E123" s="886"/>
      <c r="F123" s="775">
        <v>701.8478114178982</v>
      </c>
      <c r="G123" s="895">
        <v>0</v>
      </c>
      <c r="H123" s="532">
        <v>22.25</v>
      </c>
      <c r="I123" s="1307">
        <f t="shared" si="2"/>
        <v>0.01</v>
      </c>
    </row>
    <row r="124" spans="1:9" ht="19.5" customHeight="1">
      <c r="A124" s="474">
        <f t="shared" si="3"/>
        <v>16</v>
      </c>
      <c r="B124" t="s">
        <v>891</v>
      </c>
      <c r="C124" s="884"/>
      <c r="D124" s="885"/>
      <c r="E124" s="886"/>
      <c r="F124" s="775">
        <v>6162.434643255775</v>
      </c>
      <c r="G124" s="895">
        <v>0</v>
      </c>
      <c r="H124" s="532">
        <v>214</v>
      </c>
      <c r="I124" s="1307">
        <f t="shared" si="2"/>
        <v>0.1</v>
      </c>
    </row>
    <row r="125" spans="1:9" ht="19.5" customHeight="1">
      <c r="A125" s="474">
        <f t="shared" si="3"/>
        <v>17</v>
      </c>
      <c r="B125" t="s">
        <v>891</v>
      </c>
      <c r="C125" s="884"/>
      <c r="D125" s="885"/>
      <c r="E125" s="886"/>
      <c r="F125" s="775">
        <v>8244.567115556758</v>
      </c>
      <c r="G125" s="895">
        <v>230</v>
      </c>
      <c r="H125" s="532">
        <v>266.75</v>
      </c>
      <c r="I125" s="1307">
        <f t="shared" si="2"/>
        <v>0.13</v>
      </c>
    </row>
    <row r="126" spans="1:9" ht="19.5" customHeight="1">
      <c r="A126" s="474">
        <f t="shared" si="3"/>
        <v>18</v>
      </c>
      <c r="B126" t="s">
        <v>891</v>
      </c>
      <c r="C126" s="884"/>
      <c r="D126" s="885"/>
      <c r="E126" s="886"/>
      <c r="F126" s="775">
        <v>7371.616841202806</v>
      </c>
      <c r="G126" s="895">
        <v>41</v>
      </c>
      <c r="H126" s="532">
        <v>242.25</v>
      </c>
      <c r="I126" s="1307">
        <f t="shared" si="2"/>
        <v>0.12</v>
      </c>
    </row>
    <row r="127" spans="1:9" ht="19.5" customHeight="1">
      <c r="A127" s="474">
        <f t="shared" si="3"/>
        <v>19</v>
      </c>
      <c r="B127" t="s">
        <v>891</v>
      </c>
      <c r="C127" s="887"/>
      <c r="D127" s="888"/>
      <c r="E127" s="886"/>
      <c r="F127" s="775">
        <v>20029.35072116355</v>
      </c>
      <c r="G127" s="895">
        <v>755</v>
      </c>
      <c r="H127" s="532">
        <v>791.5</v>
      </c>
      <c r="I127" s="1307">
        <f t="shared" si="2"/>
        <v>0.38</v>
      </c>
    </row>
    <row r="128" spans="1:9" ht="19.5" customHeight="1">
      <c r="A128" s="474">
        <f t="shared" si="3"/>
        <v>20</v>
      </c>
      <c r="B128" t="s">
        <v>891</v>
      </c>
      <c r="C128" s="884"/>
      <c r="D128" s="885"/>
      <c r="E128" s="886"/>
      <c r="F128" s="775">
        <v>26448.754746024395</v>
      </c>
      <c r="G128" s="895">
        <v>1583</v>
      </c>
      <c r="H128" s="532">
        <v>1027.25</v>
      </c>
      <c r="I128" s="1307">
        <f t="shared" si="2"/>
        <v>0.49</v>
      </c>
    </row>
    <row r="129" spans="1:9" ht="19.5" customHeight="1">
      <c r="A129" s="474">
        <f t="shared" si="3"/>
        <v>21</v>
      </c>
      <c r="B129" t="s">
        <v>891</v>
      </c>
      <c r="C129" s="884"/>
      <c r="D129" s="885"/>
      <c r="E129" s="886"/>
      <c r="F129" s="775">
        <v>322.84277754478194</v>
      </c>
      <c r="G129" s="895">
        <v>0</v>
      </c>
      <c r="H129" s="532">
        <v>7.5</v>
      </c>
      <c r="I129" s="1307">
        <f t="shared" si="2"/>
        <v>0</v>
      </c>
    </row>
    <row r="130" spans="1:9" ht="19.5" customHeight="1">
      <c r="A130" s="474">
        <f t="shared" si="3"/>
        <v>22</v>
      </c>
      <c r="B130" t="s">
        <v>891</v>
      </c>
      <c r="C130" s="884"/>
      <c r="D130" s="885"/>
      <c r="E130" s="886"/>
      <c r="F130" s="775">
        <v>8521.19929996629</v>
      </c>
      <c r="G130" s="895">
        <v>219</v>
      </c>
      <c r="H130" s="532">
        <v>281.25</v>
      </c>
      <c r="I130" s="1307">
        <f t="shared" si="2"/>
        <v>0.14</v>
      </c>
    </row>
    <row r="131" spans="1:9" ht="19.5" customHeight="1">
      <c r="A131" s="474">
        <f t="shared" si="3"/>
        <v>23</v>
      </c>
      <c r="B131" t="s">
        <v>891</v>
      </c>
      <c r="C131" s="884"/>
      <c r="D131" s="885"/>
      <c r="E131" s="886"/>
      <c r="F131" s="775">
        <v>53547.75497337486</v>
      </c>
      <c r="G131" s="895">
        <v>1317</v>
      </c>
      <c r="H131" s="532">
        <v>1743.25</v>
      </c>
      <c r="I131" s="1307">
        <f t="shared" si="2"/>
        <v>0.84</v>
      </c>
    </row>
    <row r="132" spans="1:9" ht="19.5" customHeight="1">
      <c r="A132" s="474">
        <f t="shared" si="3"/>
        <v>24</v>
      </c>
      <c r="B132" t="s">
        <v>891</v>
      </c>
      <c r="C132" s="884"/>
      <c r="D132" s="885"/>
      <c r="E132" s="886"/>
      <c r="F132" s="775">
        <v>10665</v>
      </c>
      <c r="G132" s="895">
        <v>743</v>
      </c>
      <c r="H132" s="532">
        <v>335.25</v>
      </c>
      <c r="I132" s="1307">
        <f t="shared" si="2"/>
        <v>0.16</v>
      </c>
    </row>
    <row r="133" spans="1:9" ht="19.5" customHeight="1">
      <c r="A133" s="474">
        <f t="shared" si="3"/>
        <v>25</v>
      </c>
      <c r="B133" t="s">
        <v>891</v>
      </c>
      <c r="C133" s="884"/>
      <c r="D133" s="885"/>
      <c r="E133" s="886"/>
      <c r="F133" s="775">
        <v>1047.339892906655</v>
      </c>
      <c r="G133" s="895">
        <v>0</v>
      </c>
      <c r="H133" s="532">
        <v>29</v>
      </c>
      <c r="I133" s="1307">
        <f t="shared" si="2"/>
        <v>0.01</v>
      </c>
    </row>
    <row r="134" spans="1:9" ht="19.5" customHeight="1">
      <c r="A134" s="474">
        <f t="shared" si="3"/>
        <v>26</v>
      </c>
      <c r="B134" t="s">
        <v>891</v>
      </c>
      <c r="C134" s="884"/>
      <c r="D134" s="885"/>
      <c r="E134" s="886"/>
      <c r="F134" s="775">
        <v>40540.26974016598</v>
      </c>
      <c r="G134" s="895">
        <v>1890</v>
      </c>
      <c r="H134" s="532">
        <v>1466.5</v>
      </c>
      <c r="I134" s="1307">
        <f t="shared" si="2"/>
        <v>0.71</v>
      </c>
    </row>
    <row r="135" spans="1:9" ht="19.5" customHeight="1">
      <c r="A135" s="474">
        <f t="shared" si="3"/>
        <v>27</v>
      </c>
      <c r="B135" t="s">
        <v>891</v>
      </c>
      <c r="C135" s="884"/>
      <c r="D135" s="885"/>
      <c r="E135" s="886"/>
      <c r="F135" s="775">
        <v>37359.94668105936</v>
      </c>
      <c r="G135" s="895">
        <f>464-201</f>
        <v>263</v>
      </c>
      <c r="H135" s="532">
        <v>1405</v>
      </c>
      <c r="I135" s="1307">
        <f t="shared" si="2"/>
        <v>0.68</v>
      </c>
    </row>
    <row r="136" spans="1:9" ht="19.5" customHeight="1">
      <c r="A136" s="474">
        <f t="shared" si="3"/>
        <v>28</v>
      </c>
      <c r="B136" t="s">
        <v>891</v>
      </c>
      <c r="C136" s="884"/>
      <c r="D136" s="885"/>
      <c r="E136" s="886"/>
      <c r="F136" s="775">
        <v>35828.46288362638</v>
      </c>
      <c r="G136" s="895">
        <v>2272</v>
      </c>
      <c r="H136" s="532">
        <v>1355.5</v>
      </c>
      <c r="I136" s="1307">
        <f t="shared" si="2"/>
        <v>0.65</v>
      </c>
    </row>
    <row r="137" spans="1:9" ht="19.5" customHeight="1">
      <c r="A137" s="474">
        <f t="shared" si="3"/>
        <v>29</v>
      </c>
      <c r="B137" t="s">
        <v>891</v>
      </c>
      <c r="C137" s="884"/>
      <c r="D137" s="885"/>
      <c r="E137" s="886"/>
      <c r="F137" s="775">
        <v>320.978719786561</v>
      </c>
      <c r="G137" s="895">
        <v>0</v>
      </c>
      <c r="H137" s="532">
        <v>6.25</v>
      </c>
      <c r="I137" s="1307">
        <f t="shared" si="2"/>
        <v>0</v>
      </c>
    </row>
    <row r="138" spans="1:9" ht="19.5" customHeight="1">
      <c r="A138" s="474">
        <f t="shared" si="3"/>
        <v>30</v>
      </c>
      <c r="B138" t="s">
        <v>891</v>
      </c>
      <c r="C138" s="884"/>
      <c r="D138" s="885"/>
      <c r="E138" s="886"/>
      <c r="F138" s="775">
        <v>26547.990767109906</v>
      </c>
      <c r="G138" s="895">
        <v>689</v>
      </c>
      <c r="H138" s="532">
        <v>926.25</v>
      </c>
      <c r="I138" s="1307">
        <f t="shared" si="2"/>
        <v>0.45</v>
      </c>
    </row>
    <row r="139" spans="1:9" ht="19.5" customHeight="1">
      <c r="A139" s="474">
        <f t="shared" si="3"/>
        <v>31</v>
      </c>
      <c r="B139" t="s">
        <v>891</v>
      </c>
      <c r="C139" s="884"/>
      <c r="D139" s="885"/>
      <c r="E139" s="886"/>
      <c r="F139" s="775">
        <v>8413.705302575547</v>
      </c>
      <c r="G139" s="895">
        <v>624</v>
      </c>
      <c r="H139" s="532">
        <v>291.5</v>
      </c>
      <c r="I139" s="1307">
        <f t="shared" si="2"/>
        <v>0.14</v>
      </c>
    </row>
    <row r="140" spans="1:9" ht="19.5" customHeight="1">
      <c r="A140" s="474">
        <f t="shared" si="3"/>
        <v>32</v>
      </c>
      <c r="B140" t="s">
        <v>891</v>
      </c>
      <c r="C140" s="884"/>
      <c r="D140" s="885"/>
      <c r="E140" s="886"/>
      <c r="F140" s="775">
        <v>2440.3522599883463</v>
      </c>
      <c r="G140" s="895">
        <v>0</v>
      </c>
      <c r="H140" s="532">
        <v>83</v>
      </c>
      <c r="I140" s="1307">
        <f t="shared" si="2"/>
        <v>0.04</v>
      </c>
    </row>
    <row r="141" spans="1:9" ht="19.5" customHeight="1">
      <c r="A141" s="474">
        <f t="shared" si="3"/>
        <v>33</v>
      </c>
      <c r="B141" t="s">
        <v>891</v>
      </c>
      <c r="C141" s="884"/>
      <c r="D141" s="885"/>
      <c r="E141" s="886"/>
      <c r="F141" s="775">
        <v>46047.17740511406</v>
      </c>
      <c r="G141" s="895">
        <v>205</v>
      </c>
      <c r="H141" s="532">
        <v>1486.25</v>
      </c>
      <c r="I141" s="1307">
        <f t="shared" si="2"/>
        <v>0.71</v>
      </c>
    </row>
    <row r="142" spans="1:9" ht="19.5" customHeight="1">
      <c r="A142" s="474">
        <f t="shared" si="3"/>
        <v>34</v>
      </c>
      <c r="B142" t="s">
        <v>891</v>
      </c>
      <c r="C142" s="884"/>
      <c r="D142" s="885"/>
      <c r="E142" s="886"/>
      <c r="F142" s="775">
        <v>1469.6391714868382</v>
      </c>
      <c r="G142" s="895">
        <v>57</v>
      </c>
      <c r="H142" s="532">
        <v>48.5</v>
      </c>
      <c r="I142" s="1307">
        <f t="shared" si="2"/>
        <v>0.02</v>
      </c>
    </row>
    <row r="143" spans="1:9" ht="19.5" customHeight="1">
      <c r="A143" s="474">
        <f t="shared" si="3"/>
        <v>35</v>
      </c>
      <c r="B143" t="s">
        <v>891</v>
      </c>
      <c r="C143" s="884"/>
      <c r="D143" s="885"/>
      <c r="E143" s="886"/>
      <c r="F143" s="775">
        <v>35138.93188395501</v>
      </c>
      <c r="G143" s="895">
        <v>4000</v>
      </c>
      <c r="H143" s="532">
        <v>1284</v>
      </c>
      <c r="I143" s="1307">
        <f t="shared" si="2"/>
        <v>0.62</v>
      </c>
    </row>
    <row r="144" spans="1:9" ht="19.5" customHeight="1">
      <c r="A144" s="474">
        <f t="shared" si="3"/>
        <v>36</v>
      </c>
      <c r="B144" t="s">
        <v>891</v>
      </c>
      <c r="C144" s="884"/>
      <c r="D144" s="885"/>
      <c r="E144" s="886"/>
      <c r="F144" s="775">
        <v>714.054383189474</v>
      </c>
      <c r="G144" s="895">
        <v>59</v>
      </c>
      <c r="H144" s="532">
        <v>28.5</v>
      </c>
      <c r="I144" s="1307">
        <f t="shared" si="2"/>
        <v>0.01</v>
      </c>
    </row>
    <row r="145" spans="1:9" ht="19.5" customHeight="1">
      <c r="A145" s="474">
        <f t="shared" si="3"/>
        <v>37</v>
      </c>
      <c r="B145" s="883" t="s">
        <v>892</v>
      </c>
      <c r="C145" s="884"/>
      <c r="D145" s="885"/>
      <c r="E145" s="886"/>
      <c r="F145" s="775">
        <v>28950.821348352125</v>
      </c>
      <c r="G145" s="895">
        <v>364</v>
      </c>
      <c r="H145" s="532">
        <v>1221.25</v>
      </c>
      <c r="I145" s="1307">
        <f t="shared" si="2"/>
        <v>0.59</v>
      </c>
    </row>
    <row r="146" spans="1:9" ht="19.5" customHeight="1">
      <c r="A146" s="474">
        <f t="shared" si="3"/>
        <v>38</v>
      </c>
      <c r="B146" s="883" t="s">
        <v>892</v>
      </c>
      <c r="C146" s="884"/>
      <c r="D146" s="885"/>
      <c r="E146" s="886"/>
      <c r="F146" s="775">
        <v>69344.92290355223</v>
      </c>
      <c r="G146" s="895">
        <v>352</v>
      </c>
      <c r="H146" s="532">
        <v>2487.5</v>
      </c>
      <c r="I146" s="1307">
        <f t="shared" si="2"/>
        <v>1.2</v>
      </c>
    </row>
    <row r="147" spans="1:9" ht="19.5" customHeight="1">
      <c r="A147" s="474">
        <f t="shared" si="3"/>
        <v>39</v>
      </c>
      <c r="B147" s="883" t="s">
        <v>892</v>
      </c>
      <c r="C147" s="884"/>
      <c r="D147" s="885"/>
      <c r="E147" s="886"/>
      <c r="F147" s="775">
        <v>48925.292605623086</v>
      </c>
      <c r="G147" s="895">
        <v>23</v>
      </c>
      <c r="H147" s="532">
        <v>1832.25</v>
      </c>
      <c r="I147" s="1307">
        <f t="shared" si="2"/>
        <v>0.88</v>
      </c>
    </row>
    <row r="148" spans="1:9" ht="19.5" customHeight="1">
      <c r="A148" s="474">
        <f t="shared" si="3"/>
        <v>40</v>
      </c>
      <c r="B148" s="883" t="s">
        <v>892</v>
      </c>
      <c r="C148" s="884"/>
      <c r="D148" s="885"/>
      <c r="E148" s="886"/>
      <c r="F148" s="775">
        <v>38395.18022035347</v>
      </c>
      <c r="G148" s="895">
        <v>191</v>
      </c>
      <c r="H148" s="532">
        <v>1469</v>
      </c>
      <c r="I148" s="1307">
        <f t="shared" si="2"/>
        <v>0.71</v>
      </c>
    </row>
    <row r="149" spans="1:9" ht="19.5" customHeight="1">
      <c r="A149" s="474">
        <f t="shared" si="3"/>
        <v>41</v>
      </c>
      <c r="B149" s="883" t="s">
        <v>892</v>
      </c>
      <c r="C149" s="884"/>
      <c r="D149" s="885"/>
      <c r="E149" s="886"/>
      <c r="F149" s="1309">
        <v>38757.72</v>
      </c>
      <c r="G149" s="595">
        <v>1100</v>
      </c>
      <c r="H149" s="1310">
        <v>23.5</v>
      </c>
      <c r="I149" s="1307">
        <f t="shared" si="2"/>
        <v>0.01</v>
      </c>
    </row>
    <row r="150" spans="1:9" ht="19.5" customHeight="1">
      <c r="A150" s="474">
        <f t="shared" si="3"/>
        <v>42</v>
      </c>
      <c r="B150" s="883" t="s">
        <v>892</v>
      </c>
      <c r="C150" s="884"/>
      <c r="D150" s="885"/>
      <c r="E150" s="886"/>
      <c r="F150" s="1309">
        <v>27438.4</v>
      </c>
      <c r="G150" s="895">
        <v>1583</v>
      </c>
      <c r="H150" s="1310">
        <v>39.5</v>
      </c>
      <c r="I150" s="1307">
        <f t="shared" si="2"/>
        <v>0.02</v>
      </c>
    </row>
    <row r="151" spans="1:9" ht="19.5" customHeight="1">
      <c r="A151" s="474">
        <f t="shared" si="3"/>
        <v>43</v>
      </c>
      <c r="B151" s="883" t="s">
        <v>892</v>
      </c>
      <c r="C151" s="884"/>
      <c r="D151" s="885"/>
      <c r="E151" s="886"/>
      <c r="F151" s="775">
        <v>49900</v>
      </c>
      <c r="G151" s="895">
        <v>0</v>
      </c>
      <c r="H151" s="1310">
        <v>1932</v>
      </c>
      <c r="I151" s="1307">
        <f t="shared" si="2"/>
        <v>0.93</v>
      </c>
    </row>
    <row r="152" spans="1:9" ht="19.5" customHeight="1">
      <c r="A152" s="474">
        <f t="shared" si="3"/>
        <v>44</v>
      </c>
      <c r="B152" s="883" t="s">
        <v>892</v>
      </c>
      <c r="C152" s="884"/>
      <c r="D152" s="885"/>
      <c r="E152" s="886"/>
      <c r="F152" s="1309">
        <v>42556.41</v>
      </c>
      <c r="G152" s="895">
        <v>1890</v>
      </c>
      <c r="H152" s="1310">
        <v>75.75</v>
      </c>
      <c r="I152" s="1307">
        <f t="shared" si="2"/>
        <v>0.04</v>
      </c>
    </row>
    <row r="153" spans="1:9" ht="19.5" customHeight="1">
      <c r="A153" s="474">
        <f t="shared" si="3"/>
        <v>45</v>
      </c>
      <c r="B153" s="883" t="s">
        <v>892</v>
      </c>
      <c r="C153" s="884"/>
      <c r="D153" s="885"/>
      <c r="E153" s="886"/>
      <c r="F153" s="1309">
        <v>42563.77</v>
      </c>
      <c r="G153" s="895">
        <v>201</v>
      </c>
      <c r="H153" s="1310">
        <v>63.75</v>
      </c>
      <c r="I153" s="1307">
        <f t="shared" si="2"/>
        <v>0.03</v>
      </c>
    </row>
    <row r="154" spans="1:9" ht="19.5" customHeight="1">
      <c r="A154" s="474">
        <f t="shared" si="3"/>
        <v>46</v>
      </c>
      <c r="B154" s="883" t="s">
        <v>892</v>
      </c>
      <c r="C154" s="887"/>
      <c r="D154" s="888"/>
      <c r="E154" s="886"/>
      <c r="F154" s="775">
        <v>54704.72351045987</v>
      </c>
      <c r="G154" s="895">
        <v>0</v>
      </c>
      <c r="H154" s="532">
        <v>2155.25</v>
      </c>
      <c r="I154" s="1307">
        <f t="shared" si="2"/>
        <v>1.04</v>
      </c>
    </row>
    <row r="155" spans="1:9" ht="19.5" customHeight="1">
      <c r="A155" s="474">
        <f t="shared" si="3"/>
        <v>47</v>
      </c>
      <c r="B155" s="883" t="s">
        <v>892</v>
      </c>
      <c r="C155" s="889"/>
      <c r="D155" s="890"/>
      <c r="E155" s="886"/>
      <c r="F155" s="775">
        <v>38507.48468937833</v>
      </c>
      <c r="G155" s="895">
        <v>0</v>
      </c>
      <c r="H155" s="532">
        <v>1454</v>
      </c>
      <c r="I155" s="1307">
        <f t="shared" si="2"/>
        <v>0.7</v>
      </c>
    </row>
    <row r="156" spans="1:9" ht="19.5" customHeight="1">
      <c r="A156" s="474">
        <f t="shared" si="3"/>
        <v>48</v>
      </c>
      <c r="B156" s="883" t="s">
        <v>892</v>
      </c>
      <c r="C156" s="891"/>
      <c r="D156" s="892"/>
      <c r="E156" s="886"/>
      <c r="F156" s="775">
        <v>29136.32516074282</v>
      </c>
      <c r="G156" s="895">
        <v>0</v>
      </c>
      <c r="H156" s="532">
        <v>1122.5</v>
      </c>
      <c r="I156" s="1307">
        <f t="shared" si="2"/>
        <v>0.54</v>
      </c>
    </row>
    <row r="157" spans="1:9" ht="19.5" customHeight="1">
      <c r="A157" s="474">
        <f t="shared" si="3"/>
        <v>49</v>
      </c>
      <c r="B157" s="883" t="s">
        <v>892</v>
      </c>
      <c r="C157" s="884"/>
      <c r="D157" s="885"/>
      <c r="E157" s="886"/>
      <c r="F157" s="775">
        <v>58690.379652013355</v>
      </c>
      <c r="G157" s="895">
        <v>0</v>
      </c>
      <c r="H157" s="532">
        <v>2233</v>
      </c>
      <c r="I157" s="1307">
        <f t="shared" si="2"/>
        <v>1.07</v>
      </c>
    </row>
    <row r="158" spans="1:9" ht="19.5" customHeight="1">
      <c r="A158" s="474">
        <f t="shared" si="3"/>
        <v>50</v>
      </c>
      <c r="B158" s="883" t="s">
        <v>892</v>
      </c>
      <c r="C158" s="884"/>
      <c r="D158" s="885"/>
      <c r="E158" s="886"/>
      <c r="F158" s="775">
        <v>45640</v>
      </c>
      <c r="G158" s="895">
        <v>386</v>
      </c>
      <c r="H158" s="532">
        <v>1690.75</v>
      </c>
      <c r="I158" s="1307">
        <f t="shared" si="2"/>
        <v>0.81</v>
      </c>
    </row>
    <row r="159" spans="1:9" ht="19.5" customHeight="1">
      <c r="A159" s="474">
        <f t="shared" si="3"/>
        <v>51</v>
      </c>
      <c r="B159" s="883" t="s">
        <v>892</v>
      </c>
      <c r="C159" s="884"/>
      <c r="D159" s="885"/>
      <c r="E159" s="886"/>
      <c r="F159" s="775">
        <v>37054.1</v>
      </c>
      <c r="G159" s="895">
        <v>221</v>
      </c>
      <c r="H159" s="532">
        <v>73.5</v>
      </c>
      <c r="I159" s="1307">
        <f t="shared" si="2"/>
        <v>0.04</v>
      </c>
    </row>
    <row r="160" spans="1:9" ht="19.5" customHeight="1">
      <c r="A160" s="474">
        <f t="shared" si="3"/>
        <v>52</v>
      </c>
      <c r="B160" s="883" t="s">
        <v>893</v>
      </c>
      <c r="C160" s="884"/>
      <c r="D160" s="885"/>
      <c r="E160" s="886"/>
      <c r="F160" s="775">
        <v>532.5392535287336</v>
      </c>
      <c r="G160" s="895">
        <v>0</v>
      </c>
      <c r="H160" s="532">
        <v>16.75</v>
      </c>
      <c r="I160" s="1307">
        <f t="shared" si="2"/>
        <v>0.01</v>
      </c>
    </row>
    <row r="161" spans="1:9" ht="19.5" customHeight="1">
      <c r="A161" s="474">
        <f t="shared" si="3"/>
        <v>53</v>
      </c>
      <c r="B161" s="883" t="s">
        <v>893</v>
      </c>
      <c r="C161" s="884"/>
      <c r="D161" s="885"/>
      <c r="E161" s="886"/>
      <c r="F161" s="775">
        <v>14825</v>
      </c>
      <c r="G161" s="895">
        <v>2</v>
      </c>
      <c r="H161" s="532">
        <v>541.25</v>
      </c>
      <c r="I161" s="1307">
        <f t="shared" si="2"/>
        <v>0.26</v>
      </c>
    </row>
    <row r="162" spans="1:9" ht="19.5" customHeight="1">
      <c r="A162" s="474">
        <f t="shared" si="3"/>
        <v>54</v>
      </c>
      <c r="B162" s="883" t="s">
        <v>893</v>
      </c>
      <c r="C162" s="884"/>
      <c r="D162" s="885"/>
      <c r="E162" s="886"/>
      <c r="F162" s="775">
        <v>196.42759172650793</v>
      </c>
      <c r="G162" s="895">
        <v>0</v>
      </c>
      <c r="H162" s="532">
        <v>8</v>
      </c>
      <c r="I162" s="1307">
        <f t="shared" si="2"/>
        <v>0</v>
      </c>
    </row>
    <row r="163" spans="1:9" ht="19.5" customHeight="1">
      <c r="A163" s="474">
        <f t="shared" si="3"/>
        <v>55</v>
      </c>
      <c r="B163" s="883" t="s">
        <v>893</v>
      </c>
      <c r="C163" s="884"/>
      <c r="D163" s="885"/>
      <c r="E163" s="886"/>
      <c r="F163" s="775">
        <v>5071.289393030927</v>
      </c>
      <c r="G163" s="895">
        <v>0</v>
      </c>
      <c r="H163" s="532">
        <v>192.5</v>
      </c>
      <c r="I163" s="1307">
        <f t="shared" si="2"/>
        <v>0.09</v>
      </c>
    </row>
    <row r="164" spans="1:9" ht="19.5" customHeight="1">
      <c r="A164" s="474">
        <f t="shared" si="3"/>
        <v>56</v>
      </c>
      <c r="B164" s="883" t="s">
        <v>893</v>
      </c>
      <c r="C164" s="884"/>
      <c r="D164" s="885"/>
      <c r="E164" s="886"/>
      <c r="F164" s="775">
        <v>1850.167521377425</v>
      </c>
      <c r="G164" s="895">
        <v>60</v>
      </c>
      <c r="H164" s="532">
        <v>61</v>
      </c>
      <c r="I164" s="1307">
        <f t="shared" si="2"/>
        <v>0.03</v>
      </c>
    </row>
    <row r="165" spans="1:9" ht="19.5" customHeight="1">
      <c r="A165" s="474">
        <f t="shared" si="3"/>
        <v>57</v>
      </c>
      <c r="B165" s="883" t="s">
        <v>893</v>
      </c>
      <c r="C165" s="884"/>
      <c r="D165" s="885"/>
      <c r="E165" s="886"/>
      <c r="F165" s="775">
        <v>34057</v>
      </c>
      <c r="G165" s="895">
        <v>2362</v>
      </c>
      <c r="H165" s="532">
        <v>1136</v>
      </c>
      <c r="I165" s="1307">
        <f t="shared" si="2"/>
        <v>0.55</v>
      </c>
    </row>
    <row r="166" spans="1:9" ht="19.5" customHeight="1">
      <c r="A166" s="474">
        <f t="shared" si="3"/>
        <v>58</v>
      </c>
      <c r="B166" s="883" t="s">
        <v>893</v>
      </c>
      <c r="C166" s="887"/>
      <c r="D166" s="888"/>
      <c r="E166" s="886"/>
      <c r="F166" s="775">
        <v>112.7454289246538</v>
      </c>
      <c r="G166" s="895">
        <v>0</v>
      </c>
      <c r="H166" s="532">
        <v>3.75</v>
      </c>
      <c r="I166" s="1307">
        <f t="shared" si="2"/>
        <v>0</v>
      </c>
    </row>
    <row r="167" spans="1:9" ht="19.5" customHeight="1">
      <c r="A167" s="474">
        <f t="shared" si="3"/>
        <v>59</v>
      </c>
      <c r="B167" s="883" t="s">
        <v>893</v>
      </c>
      <c r="C167" s="884"/>
      <c r="D167" s="885"/>
      <c r="E167" s="886"/>
      <c r="F167" s="775">
        <v>460.88326981217585</v>
      </c>
      <c r="G167" s="895">
        <v>0</v>
      </c>
      <c r="H167" s="532">
        <v>15.75</v>
      </c>
      <c r="I167" s="1307">
        <f t="shared" si="2"/>
        <v>0.01</v>
      </c>
    </row>
    <row r="168" spans="1:9" ht="19.5" customHeight="1">
      <c r="A168" s="474">
        <f t="shared" si="3"/>
        <v>60</v>
      </c>
      <c r="B168" s="883" t="s">
        <v>893</v>
      </c>
      <c r="C168" s="884"/>
      <c r="D168" s="885"/>
      <c r="E168" s="886"/>
      <c r="F168" s="775">
        <v>1077.3452097244694</v>
      </c>
      <c r="G168" s="895">
        <v>61</v>
      </c>
      <c r="H168" s="532">
        <v>43</v>
      </c>
      <c r="I168" s="1307">
        <f t="shared" si="2"/>
        <v>0.02</v>
      </c>
    </row>
    <row r="169" spans="1:9" ht="19.5" customHeight="1">
      <c r="A169" s="474">
        <f t="shared" si="3"/>
        <v>61</v>
      </c>
      <c r="B169" s="883" t="s">
        <v>893</v>
      </c>
      <c r="C169" s="884"/>
      <c r="D169" s="885"/>
      <c r="E169" s="886"/>
      <c r="F169" s="775">
        <v>4330</v>
      </c>
      <c r="G169" s="895">
        <v>137</v>
      </c>
      <c r="H169" s="532">
        <v>144</v>
      </c>
      <c r="I169" s="1307">
        <f t="shared" si="2"/>
        <v>0.07</v>
      </c>
    </row>
    <row r="170" spans="1:9" ht="19.5" customHeight="1">
      <c r="A170" s="474">
        <f t="shared" si="3"/>
        <v>62</v>
      </c>
      <c r="B170" s="883" t="s">
        <v>893</v>
      </c>
      <c r="C170" s="884"/>
      <c r="D170" s="885"/>
      <c r="E170" s="886"/>
      <c r="F170" s="775">
        <v>2826.152085044655</v>
      </c>
      <c r="G170" s="895">
        <v>0</v>
      </c>
      <c r="H170" s="532">
        <v>116</v>
      </c>
      <c r="I170" s="1307">
        <f t="shared" si="2"/>
        <v>0.06</v>
      </c>
    </row>
    <row r="171" spans="1:9" ht="19.5" customHeight="1">
      <c r="A171" s="474">
        <f t="shared" si="3"/>
        <v>63</v>
      </c>
      <c r="B171" s="883" t="s">
        <v>893</v>
      </c>
      <c r="C171" s="884"/>
      <c r="D171" s="885"/>
      <c r="E171" s="886"/>
      <c r="F171" s="775">
        <v>125.27269880517088</v>
      </c>
      <c r="G171" s="895">
        <v>0</v>
      </c>
      <c r="H171" s="532">
        <v>4</v>
      </c>
      <c r="I171" s="1307">
        <f t="shared" si="2"/>
        <v>0</v>
      </c>
    </row>
    <row r="172" spans="1:9" ht="19.5" customHeight="1">
      <c r="A172" s="474">
        <f t="shared" si="3"/>
        <v>64</v>
      </c>
      <c r="B172" s="883" t="s">
        <v>893</v>
      </c>
      <c r="C172" s="884"/>
      <c r="D172" s="885"/>
      <c r="E172" s="886"/>
      <c r="F172" s="775">
        <v>7519.508778504239</v>
      </c>
      <c r="G172" s="895">
        <v>38</v>
      </c>
      <c r="H172" s="532">
        <v>248</v>
      </c>
      <c r="I172" s="1307">
        <f t="shared" si="2"/>
        <v>0.12</v>
      </c>
    </row>
    <row r="173" spans="1:9" ht="19.5" customHeight="1">
      <c r="A173" s="474">
        <f t="shared" si="3"/>
        <v>65</v>
      </c>
      <c r="B173" s="883" t="s">
        <v>893</v>
      </c>
      <c r="C173" s="884"/>
      <c r="D173" s="885"/>
      <c r="E173" s="886"/>
      <c r="F173" s="775">
        <v>382.71310575774925</v>
      </c>
      <c r="G173" s="895">
        <v>0</v>
      </c>
      <c r="H173" s="532">
        <v>12.5</v>
      </c>
      <c r="I173" s="1307">
        <f aca="true" t="shared" si="4" ref="I173:I236">ROUND(H173/2080,2)</f>
        <v>0.01</v>
      </c>
    </row>
    <row r="174" spans="1:9" ht="19.5" customHeight="1">
      <c r="A174" s="474">
        <f t="shared" si="3"/>
        <v>66</v>
      </c>
      <c r="B174" s="883" t="s">
        <v>893</v>
      </c>
      <c r="C174" s="884"/>
      <c r="D174" s="885"/>
      <c r="E174" s="886"/>
      <c r="F174" s="775">
        <v>3347.9279082920484</v>
      </c>
      <c r="G174" s="895">
        <v>0</v>
      </c>
      <c r="H174" s="532">
        <v>123.75</v>
      </c>
      <c r="I174" s="1307">
        <f t="shared" si="4"/>
        <v>0.06</v>
      </c>
    </row>
    <row r="175" spans="1:9" ht="19.5" customHeight="1">
      <c r="A175" s="474">
        <f aca="true" t="shared" si="5" ref="A175:A238">+A174+1</f>
        <v>67</v>
      </c>
      <c r="B175" s="883" t="s">
        <v>893</v>
      </c>
      <c r="C175" s="884"/>
      <c r="D175" s="885"/>
      <c r="E175" s="886"/>
      <c r="F175" s="775">
        <v>1670.8271257679428</v>
      </c>
      <c r="G175" s="895">
        <v>51</v>
      </c>
      <c r="H175" s="532">
        <v>60.5</v>
      </c>
      <c r="I175" s="1307">
        <f t="shared" si="4"/>
        <v>0.03</v>
      </c>
    </row>
    <row r="176" spans="1:9" ht="19.5" customHeight="1">
      <c r="A176" s="474">
        <f t="shared" si="5"/>
        <v>68</v>
      </c>
      <c r="B176" s="883" t="s">
        <v>893</v>
      </c>
      <c r="C176" s="884"/>
      <c r="D176" s="885"/>
      <c r="E176" s="886"/>
      <c r="F176" s="775">
        <v>15487.173120622047</v>
      </c>
      <c r="G176" s="895">
        <v>0</v>
      </c>
      <c r="H176" s="532">
        <v>589.75</v>
      </c>
      <c r="I176" s="1307">
        <f t="shared" si="4"/>
        <v>0.28</v>
      </c>
    </row>
    <row r="177" spans="1:9" ht="19.5" customHeight="1">
      <c r="A177" s="474">
        <f t="shared" si="5"/>
        <v>69</v>
      </c>
      <c r="B177" s="883" t="s">
        <v>893</v>
      </c>
      <c r="C177" s="884"/>
      <c r="D177" s="885"/>
      <c r="E177" s="886"/>
      <c r="F177" s="775">
        <v>4417.476145242886</v>
      </c>
      <c r="G177" s="895">
        <v>702</v>
      </c>
      <c r="H177" s="532">
        <v>139.5</v>
      </c>
      <c r="I177" s="1307">
        <f t="shared" si="4"/>
        <v>0.07</v>
      </c>
    </row>
    <row r="178" spans="1:9" ht="19.5" customHeight="1">
      <c r="A178" s="474">
        <f t="shared" si="5"/>
        <v>70</v>
      </c>
      <c r="B178" s="883" t="s">
        <v>893</v>
      </c>
      <c r="C178" s="884"/>
      <c r="D178" s="885"/>
      <c r="E178" s="886"/>
      <c r="F178" s="775">
        <v>1192.1050236459105</v>
      </c>
      <c r="G178" s="895">
        <v>63</v>
      </c>
      <c r="H178" s="532">
        <v>40.5</v>
      </c>
      <c r="I178" s="1307">
        <f t="shared" si="4"/>
        <v>0.02</v>
      </c>
    </row>
    <row r="179" spans="1:9" ht="19.5" customHeight="1">
      <c r="A179" s="474">
        <f t="shared" si="5"/>
        <v>71</v>
      </c>
      <c r="B179" s="883" t="s">
        <v>893</v>
      </c>
      <c r="C179" s="884"/>
      <c r="D179" s="885"/>
      <c r="E179" s="886"/>
      <c r="F179" s="775">
        <v>200.4363180882734</v>
      </c>
      <c r="G179" s="895">
        <v>0</v>
      </c>
      <c r="H179" s="532">
        <v>8</v>
      </c>
      <c r="I179" s="1307">
        <f t="shared" si="4"/>
        <v>0</v>
      </c>
    </row>
    <row r="180" spans="1:9" ht="19.5" customHeight="1">
      <c r="A180" s="474">
        <f t="shared" si="5"/>
        <v>72</v>
      </c>
      <c r="B180" s="883" t="s">
        <v>893</v>
      </c>
      <c r="C180" s="884"/>
      <c r="D180" s="885"/>
      <c r="E180" s="886"/>
      <c r="F180" s="775">
        <v>4852.0220828582615</v>
      </c>
      <c r="G180" s="895">
        <v>0</v>
      </c>
      <c r="H180" s="532">
        <v>164.5</v>
      </c>
      <c r="I180" s="1307">
        <f t="shared" si="4"/>
        <v>0.08</v>
      </c>
    </row>
    <row r="181" spans="1:9" ht="19.5" customHeight="1">
      <c r="A181" s="474">
        <f t="shared" si="5"/>
        <v>73</v>
      </c>
      <c r="B181" s="883" t="s">
        <v>893</v>
      </c>
      <c r="C181" s="884"/>
      <c r="D181" s="885"/>
      <c r="E181" s="886"/>
      <c r="F181" s="775">
        <v>813.77145143839</v>
      </c>
      <c r="G181" s="895">
        <v>0</v>
      </c>
      <c r="H181" s="532">
        <v>25.25</v>
      </c>
      <c r="I181" s="1307">
        <f t="shared" si="4"/>
        <v>0.01</v>
      </c>
    </row>
    <row r="182" spans="1:9" ht="19.5" customHeight="1">
      <c r="A182" s="474">
        <f t="shared" si="5"/>
        <v>74</v>
      </c>
      <c r="B182" s="883" t="s">
        <v>693</v>
      </c>
      <c r="C182" s="884"/>
      <c r="D182" s="885"/>
      <c r="E182" s="886"/>
      <c r="F182" s="775">
        <v>110031.85189766341</v>
      </c>
      <c r="G182" s="895">
        <v>3</v>
      </c>
      <c r="H182" s="532">
        <v>2176.5</v>
      </c>
      <c r="I182" s="1307">
        <f t="shared" si="4"/>
        <v>1.05</v>
      </c>
    </row>
    <row r="183" spans="1:9" ht="19.5" customHeight="1">
      <c r="A183" s="474">
        <f t="shared" si="5"/>
        <v>75</v>
      </c>
      <c r="B183" s="883" t="s">
        <v>693</v>
      </c>
      <c r="C183" s="884"/>
      <c r="D183" s="885"/>
      <c r="E183" s="886"/>
      <c r="F183" s="775">
        <v>136084</v>
      </c>
      <c r="G183" s="895">
        <v>191</v>
      </c>
      <c r="H183" s="532">
        <v>2406</v>
      </c>
      <c r="I183" s="1307">
        <f t="shared" si="4"/>
        <v>1.16</v>
      </c>
    </row>
    <row r="184" spans="1:9" ht="19.5" customHeight="1">
      <c r="A184" s="474">
        <f t="shared" si="5"/>
        <v>76</v>
      </c>
      <c r="B184" s="883" t="s">
        <v>693</v>
      </c>
      <c r="C184" s="884"/>
      <c r="D184" s="885"/>
      <c r="E184" s="886"/>
      <c r="F184" s="775">
        <v>105013</v>
      </c>
      <c r="G184" s="895">
        <v>205</v>
      </c>
      <c r="H184" s="532">
        <v>2110.5</v>
      </c>
      <c r="I184" s="1307">
        <f t="shared" si="4"/>
        <v>1.01</v>
      </c>
    </row>
    <row r="185" spans="1:9" ht="19.5" customHeight="1">
      <c r="A185" s="474">
        <f t="shared" si="5"/>
        <v>77</v>
      </c>
      <c r="B185" s="883" t="s">
        <v>693</v>
      </c>
      <c r="C185" s="884"/>
      <c r="D185" s="885"/>
      <c r="E185" s="886"/>
      <c r="F185" s="775">
        <v>130512</v>
      </c>
      <c r="G185" s="895">
        <v>89</v>
      </c>
      <c r="H185" s="532">
        <v>2151.5</v>
      </c>
      <c r="I185" s="1307">
        <f t="shared" si="4"/>
        <v>1.03</v>
      </c>
    </row>
    <row r="186" spans="1:9" ht="19.5" customHeight="1">
      <c r="A186" s="474">
        <f t="shared" si="5"/>
        <v>78</v>
      </c>
      <c r="B186" s="883" t="s">
        <v>693</v>
      </c>
      <c r="C186" s="884"/>
      <c r="D186" s="885"/>
      <c r="E186" s="886"/>
      <c r="F186" s="775">
        <v>108575</v>
      </c>
      <c r="G186" s="895">
        <v>3</v>
      </c>
      <c r="H186" s="532">
        <v>2107</v>
      </c>
      <c r="I186" s="1307">
        <f t="shared" si="4"/>
        <v>1.01</v>
      </c>
    </row>
    <row r="187" spans="1:9" ht="19.5" customHeight="1">
      <c r="A187" s="474">
        <f t="shared" si="5"/>
        <v>79</v>
      </c>
      <c r="B187" s="883" t="s">
        <v>693</v>
      </c>
      <c r="C187" s="884"/>
      <c r="D187" s="885"/>
      <c r="E187" s="886"/>
      <c r="F187" s="775">
        <v>69034</v>
      </c>
      <c r="G187" s="895">
        <v>250</v>
      </c>
      <c r="H187" s="532">
        <v>1278</v>
      </c>
      <c r="I187" s="1307">
        <f t="shared" si="4"/>
        <v>0.61</v>
      </c>
    </row>
    <row r="188" spans="1:9" ht="19.5" customHeight="1">
      <c r="A188" s="474">
        <f t="shared" si="5"/>
        <v>80</v>
      </c>
      <c r="B188" s="883" t="s">
        <v>693</v>
      </c>
      <c r="C188" s="884"/>
      <c r="D188" s="885"/>
      <c r="E188" s="886"/>
      <c r="F188" s="775">
        <v>102060.37926550186</v>
      </c>
      <c r="G188" s="895">
        <v>386</v>
      </c>
      <c r="H188" s="532">
        <v>2156.5</v>
      </c>
      <c r="I188" s="1307">
        <f t="shared" si="4"/>
        <v>1.04</v>
      </c>
    </row>
    <row r="189" spans="1:9" ht="19.5" customHeight="1">
      <c r="A189" s="474">
        <f t="shared" si="5"/>
        <v>81</v>
      </c>
      <c r="B189" s="883" t="s">
        <v>694</v>
      </c>
      <c r="C189" s="884"/>
      <c r="D189" s="885"/>
      <c r="E189" s="886"/>
      <c r="F189" s="775">
        <v>156589</v>
      </c>
      <c r="G189" s="895">
        <v>1648</v>
      </c>
      <c r="H189" s="532">
        <v>2001</v>
      </c>
      <c r="I189" s="1307">
        <f t="shared" si="4"/>
        <v>0.96</v>
      </c>
    </row>
    <row r="190" spans="1:9" ht="19.5" customHeight="1">
      <c r="A190" s="474">
        <f t="shared" si="5"/>
        <v>82</v>
      </c>
      <c r="B190" s="883" t="s">
        <v>694</v>
      </c>
      <c r="C190" s="884"/>
      <c r="D190" s="885"/>
      <c r="E190" s="886"/>
      <c r="F190" s="775">
        <v>129020</v>
      </c>
      <c r="G190" s="895">
        <v>3548</v>
      </c>
      <c r="H190" s="532">
        <v>2142</v>
      </c>
      <c r="I190" s="1307">
        <f t="shared" si="4"/>
        <v>1.03</v>
      </c>
    </row>
    <row r="191" spans="1:9" ht="19.5" customHeight="1">
      <c r="A191" s="474">
        <f t="shared" si="5"/>
        <v>83</v>
      </c>
      <c r="B191" s="883" t="s">
        <v>694</v>
      </c>
      <c r="C191" s="884"/>
      <c r="D191" s="885"/>
      <c r="E191" s="886"/>
      <c r="F191" s="775">
        <v>167799</v>
      </c>
      <c r="G191" s="895">
        <v>4080</v>
      </c>
      <c r="H191" s="532">
        <v>2121</v>
      </c>
      <c r="I191" s="1307">
        <f t="shared" si="4"/>
        <v>1.02</v>
      </c>
    </row>
    <row r="192" spans="1:9" ht="19.5" customHeight="1">
      <c r="A192" s="474">
        <f t="shared" si="5"/>
        <v>84</v>
      </c>
      <c r="B192" s="883" t="s">
        <v>694</v>
      </c>
      <c r="C192" s="884"/>
      <c r="D192" s="885"/>
      <c r="E192" s="886"/>
      <c r="F192" s="775">
        <v>89740.20018883371</v>
      </c>
      <c r="G192" s="895">
        <v>1496</v>
      </c>
      <c r="H192" s="532">
        <v>1436</v>
      </c>
      <c r="I192" s="1307">
        <f t="shared" si="4"/>
        <v>0.69</v>
      </c>
    </row>
    <row r="193" spans="1:9" ht="19.5" customHeight="1">
      <c r="A193" s="474">
        <f t="shared" si="5"/>
        <v>85</v>
      </c>
      <c r="B193" s="883" t="s">
        <v>694</v>
      </c>
      <c r="C193" s="884"/>
      <c r="D193" s="885"/>
      <c r="E193" s="886"/>
      <c r="F193" s="775">
        <v>130916</v>
      </c>
      <c r="G193" s="895">
        <v>2652</v>
      </c>
      <c r="H193" s="532">
        <v>1980</v>
      </c>
      <c r="I193" s="1307">
        <f t="shared" si="4"/>
        <v>0.95</v>
      </c>
    </row>
    <row r="194" spans="1:9" ht="19.5" customHeight="1">
      <c r="A194" s="474">
        <f t="shared" si="5"/>
        <v>86</v>
      </c>
      <c r="B194" s="883" t="s">
        <v>694</v>
      </c>
      <c r="C194" s="884"/>
      <c r="D194" s="885"/>
      <c r="E194" s="886"/>
      <c r="F194" s="775">
        <v>137975</v>
      </c>
      <c r="G194" s="895">
        <v>3437</v>
      </c>
      <c r="H194" s="532">
        <v>2160</v>
      </c>
      <c r="I194" s="1307">
        <f t="shared" si="4"/>
        <v>1.04</v>
      </c>
    </row>
    <row r="195" spans="1:9" ht="19.5" customHeight="1">
      <c r="A195" s="474">
        <f t="shared" si="5"/>
        <v>87</v>
      </c>
      <c r="B195" s="883" t="s">
        <v>694</v>
      </c>
      <c r="C195" s="884"/>
      <c r="D195" s="885"/>
      <c r="E195" s="886"/>
      <c r="F195" s="775">
        <v>124435.24580275035</v>
      </c>
      <c r="G195" s="895">
        <v>2265</v>
      </c>
      <c r="H195" s="532">
        <v>2100.5</v>
      </c>
      <c r="I195" s="1307">
        <f t="shared" si="4"/>
        <v>1.01</v>
      </c>
    </row>
    <row r="196" spans="1:9" ht="19.5" customHeight="1">
      <c r="A196" s="474">
        <f t="shared" si="5"/>
        <v>88</v>
      </c>
      <c r="B196" s="883" t="s">
        <v>694</v>
      </c>
      <c r="C196" s="884"/>
      <c r="D196" s="885"/>
      <c r="E196" s="886"/>
      <c r="F196" s="775">
        <v>34341.74653783841</v>
      </c>
      <c r="G196" s="895">
        <v>602</v>
      </c>
      <c r="H196" s="532">
        <v>542.4</v>
      </c>
      <c r="I196" s="1307">
        <f t="shared" si="4"/>
        <v>0.26</v>
      </c>
    </row>
    <row r="197" spans="1:9" ht="19.5" customHeight="1">
      <c r="A197" s="474">
        <f t="shared" si="5"/>
        <v>89</v>
      </c>
      <c r="B197" s="883" t="s">
        <v>694</v>
      </c>
      <c r="C197" s="884"/>
      <c r="D197" s="885"/>
      <c r="E197" s="886"/>
      <c r="F197" s="775">
        <v>4147</v>
      </c>
      <c r="G197" s="895">
        <v>25</v>
      </c>
      <c r="H197" s="532">
        <v>67.5</v>
      </c>
      <c r="I197" s="1307">
        <f t="shared" si="4"/>
        <v>0.03</v>
      </c>
    </row>
    <row r="198" spans="1:9" ht="19.5" customHeight="1">
      <c r="A198" s="474">
        <f t="shared" si="5"/>
        <v>90</v>
      </c>
      <c r="B198" s="883" t="s">
        <v>694</v>
      </c>
      <c r="C198" s="884"/>
      <c r="D198" s="885"/>
      <c r="E198" s="886"/>
      <c r="F198" s="775">
        <v>120161</v>
      </c>
      <c r="G198" s="895">
        <v>3648</v>
      </c>
      <c r="H198" s="532">
        <v>2000</v>
      </c>
      <c r="I198" s="1307">
        <f t="shared" si="4"/>
        <v>0.96</v>
      </c>
    </row>
    <row r="199" spans="1:9" ht="19.5" customHeight="1">
      <c r="A199" s="474">
        <f t="shared" si="5"/>
        <v>91</v>
      </c>
      <c r="B199" s="883" t="s">
        <v>694</v>
      </c>
      <c r="C199" s="884"/>
      <c r="D199" s="885"/>
      <c r="E199" s="886"/>
      <c r="F199" s="775">
        <v>165198</v>
      </c>
      <c r="G199" s="895">
        <v>1806</v>
      </c>
      <c r="H199" s="532">
        <v>2814.75</v>
      </c>
      <c r="I199" s="1307">
        <f t="shared" si="4"/>
        <v>1.35</v>
      </c>
    </row>
    <row r="200" spans="1:9" ht="19.5" customHeight="1">
      <c r="A200" s="474">
        <f t="shared" si="5"/>
        <v>92</v>
      </c>
      <c r="B200" s="883" t="s">
        <v>694</v>
      </c>
      <c r="C200" s="884"/>
      <c r="D200" s="885"/>
      <c r="E200" s="886"/>
      <c r="F200" s="775">
        <v>95560</v>
      </c>
      <c r="G200" s="895">
        <v>2304</v>
      </c>
      <c r="H200" s="532">
        <v>1775</v>
      </c>
      <c r="I200" s="1307">
        <f t="shared" si="4"/>
        <v>0.85</v>
      </c>
    </row>
    <row r="201" spans="1:9" ht="19.5" customHeight="1">
      <c r="A201" s="474">
        <f t="shared" si="5"/>
        <v>93</v>
      </c>
      <c r="B201" s="883" t="s">
        <v>694</v>
      </c>
      <c r="C201" s="884"/>
      <c r="D201" s="885"/>
      <c r="E201" s="886"/>
      <c r="F201" s="775">
        <v>1429</v>
      </c>
      <c r="G201" s="895">
        <v>0</v>
      </c>
      <c r="H201" s="532">
        <v>23</v>
      </c>
      <c r="I201" s="1307">
        <f t="shared" si="4"/>
        <v>0.01</v>
      </c>
    </row>
    <row r="202" spans="1:9" ht="19.5" customHeight="1">
      <c r="A202" s="474">
        <f t="shared" si="5"/>
        <v>94</v>
      </c>
      <c r="B202" s="883" t="s">
        <v>694</v>
      </c>
      <c r="C202" s="884"/>
      <c r="D202" s="885"/>
      <c r="E202" s="886"/>
      <c r="F202" s="775">
        <v>132850</v>
      </c>
      <c r="G202" s="895">
        <v>2148</v>
      </c>
      <c r="H202" s="532">
        <v>2080</v>
      </c>
      <c r="I202" s="1307">
        <f t="shared" si="4"/>
        <v>1</v>
      </c>
    </row>
    <row r="203" spans="1:9" ht="19.5" customHeight="1">
      <c r="A203" s="474">
        <f t="shared" si="5"/>
        <v>95</v>
      </c>
      <c r="B203" s="883" t="s">
        <v>694</v>
      </c>
      <c r="C203" s="884"/>
      <c r="D203" s="885"/>
      <c r="E203" s="886"/>
      <c r="F203" s="775">
        <v>117446</v>
      </c>
      <c r="G203" s="895">
        <v>2362</v>
      </c>
      <c r="H203" s="532">
        <v>2080</v>
      </c>
      <c r="I203" s="1307">
        <f t="shared" si="4"/>
        <v>1</v>
      </c>
    </row>
    <row r="204" spans="1:9" ht="19.5" customHeight="1">
      <c r="A204" s="474">
        <f t="shared" si="5"/>
        <v>96</v>
      </c>
      <c r="B204" s="883" t="s">
        <v>694</v>
      </c>
      <c r="C204" s="884"/>
      <c r="D204" s="885"/>
      <c r="E204" s="886"/>
      <c r="F204" s="775">
        <v>107922</v>
      </c>
      <c r="G204" s="895">
        <v>1207</v>
      </c>
      <c r="H204" s="532">
        <v>1679</v>
      </c>
      <c r="I204" s="1307">
        <f t="shared" si="4"/>
        <v>0.81</v>
      </c>
    </row>
    <row r="205" spans="1:9" ht="19.5" customHeight="1">
      <c r="A205" s="474">
        <f t="shared" si="5"/>
        <v>97</v>
      </c>
      <c r="B205" s="883" t="s">
        <v>694</v>
      </c>
      <c r="C205" s="884"/>
      <c r="D205" s="885"/>
      <c r="E205" s="886"/>
      <c r="F205" s="775">
        <v>93260</v>
      </c>
      <c r="G205" s="895">
        <v>3110</v>
      </c>
      <c r="H205" s="532">
        <v>1730.25</v>
      </c>
      <c r="I205" s="1307">
        <f t="shared" si="4"/>
        <v>0.83</v>
      </c>
    </row>
    <row r="206" spans="1:9" ht="19.5" customHeight="1">
      <c r="A206" s="474">
        <f t="shared" si="5"/>
        <v>98</v>
      </c>
      <c r="B206" s="883" t="s">
        <v>694</v>
      </c>
      <c r="C206" s="884"/>
      <c r="D206" s="885"/>
      <c r="E206" s="886"/>
      <c r="F206" s="775">
        <v>93353</v>
      </c>
      <c r="G206" s="895">
        <v>1731</v>
      </c>
      <c r="H206" s="532">
        <v>1732</v>
      </c>
      <c r="I206" s="1307">
        <f t="shared" si="4"/>
        <v>0.83</v>
      </c>
    </row>
    <row r="207" spans="1:9" ht="19.5" customHeight="1">
      <c r="A207" s="474">
        <f t="shared" si="5"/>
        <v>99</v>
      </c>
      <c r="B207" s="883" t="s">
        <v>694</v>
      </c>
      <c r="C207" s="884"/>
      <c r="D207" s="885"/>
      <c r="E207" s="886"/>
      <c r="F207" s="775">
        <v>91909.04141233959</v>
      </c>
      <c r="G207" s="895">
        <v>2116</v>
      </c>
      <c r="H207" s="532">
        <v>1484</v>
      </c>
      <c r="I207" s="1307">
        <f t="shared" si="4"/>
        <v>0.71</v>
      </c>
    </row>
    <row r="208" spans="1:9" ht="19.5" customHeight="1">
      <c r="A208" s="474">
        <f t="shared" si="5"/>
        <v>100</v>
      </c>
      <c r="B208" s="883" t="s">
        <v>694</v>
      </c>
      <c r="C208" s="884"/>
      <c r="D208" s="885"/>
      <c r="E208" s="886"/>
      <c r="F208" s="775">
        <v>17367</v>
      </c>
      <c r="G208" s="895">
        <v>265</v>
      </c>
      <c r="H208" s="532">
        <v>304</v>
      </c>
      <c r="I208" s="1307">
        <f t="shared" si="4"/>
        <v>0.15</v>
      </c>
    </row>
    <row r="209" spans="1:9" ht="19.5" customHeight="1">
      <c r="A209" s="474">
        <f t="shared" si="5"/>
        <v>101</v>
      </c>
      <c r="B209" s="883" t="s">
        <v>694</v>
      </c>
      <c r="C209" s="884"/>
      <c r="D209" s="885"/>
      <c r="E209" s="886"/>
      <c r="F209" s="775">
        <v>139102</v>
      </c>
      <c r="G209" s="895">
        <v>4228</v>
      </c>
      <c r="H209" s="532">
        <v>2186.5</v>
      </c>
      <c r="I209" s="1307">
        <f t="shared" si="4"/>
        <v>1.05</v>
      </c>
    </row>
    <row r="210" spans="1:9" ht="19.5" customHeight="1">
      <c r="A210" s="474">
        <f t="shared" si="5"/>
        <v>102</v>
      </c>
      <c r="B210" s="883" t="s">
        <v>694</v>
      </c>
      <c r="C210" s="884"/>
      <c r="D210" s="885"/>
      <c r="E210" s="886"/>
      <c r="F210" s="775">
        <v>103863.00329222876</v>
      </c>
      <c r="G210" s="895">
        <v>3200</v>
      </c>
      <c r="H210" s="532">
        <v>1915.8700000000001</v>
      </c>
      <c r="I210" s="1307">
        <f t="shared" si="4"/>
        <v>0.92</v>
      </c>
    </row>
    <row r="211" spans="1:9" ht="19.5" customHeight="1">
      <c r="A211" s="474">
        <f t="shared" si="5"/>
        <v>103</v>
      </c>
      <c r="B211" s="883" t="s">
        <v>694</v>
      </c>
      <c r="C211" s="884"/>
      <c r="D211" s="885"/>
      <c r="E211" s="886"/>
      <c r="F211" s="775">
        <v>121163.57389167497</v>
      </c>
      <c r="G211" s="895">
        <v>3255</v>
      </c>
      <c r="H211" s="532">
        <v>2080</v>
      </c>
      <c r="I211" s="1307">
        <f t="shared" si="4"/>
        <v>1</v>
      </c>
    </row>
    <row r="212" spans="1:9" ht="19.5" customHeight="1">
      <c r="A212" s="474">
        <f t="shared" si="5"/>
        <v>104</v>
      </c>
      <c r="B212" s="883" t="s">
        <v>694</v>
      </c>
      <c r="C212" s="884"/>
      <c r="D212" s="885"/>
      <c r="E212" s="886"/>
      <c r="F212" s="775">
        <v>89383.38345537288</v>
      </c>
      <c r="G212" s="895">
        <v>2358</v>
      </c>
      <c r="H212" s="532">
        <v>1572.0999999999997</v>
      </c>
      <c r="I212" s="1307">
        <f t="shared" si="4"/>
        <v>0.76</v>
      </c>
    </row>
    <row r="213" spans="1:9" ht="19.5" customHeight="1">
      <c r="A213" s="474">
        <f t="shared" si="5"/>
        <v>105</v>
      </c>
      <c r="B213" s="883" t="s">
        <v>694</v>
      </c>
      <c r="C213" s="884"/>
      <c r="D213" s="885"/>
      <c r="E213" s="886"/>
      <c r="F213" s="775">
        <v>92717</v>
      </c>
      <c r="G213" s="895">
        <v>2600</v>
      </c>
      <c r="H213" s="532">
        <v>1720</v>
      </c>
      <c r="I213" s="1307">
        <f t="shared" si="4"/>
        <v>0.83</v>
      </c>
    </row>
    <row r="214" spans="1:9" ht="19.5" customHeight="1">
      <c r="A214" s="474">
        <f t="shared" si="5"/>
        <v>106</v>
      </c>
      <c r="B214" s="883" t="s">
        <v>694</v>
      </c>
      <c r="C214" s="884"/>
      <c r="D214" s="885"/>
      <c r="E214" s="886"/>
      <c r="F214" s="775">
        <v>86710</v>
      </c>
      <c r="G214" s="895">
        <v>1180</v>
      </c>
      <c r="H214" s="532">
        <v>1720</v>
      </c>
      <c r="I214" s="1307">
        <f t="shared" si="4"/>
        <v>0.83</v>
      </c>
    </row>
    <row r="215" spans="1:9" ht="19.5" customHeight="1">
      <c r="A215" s="474">
        <f t="shared" si="5"/>
        <v>107</v>
      </c>
      <c r="B215" s="883" t="s">
        <v>694</v>
      </c>
      <c r="C215" s="884"/>
      <c r="D215" s="885"/>
      <c r="E215" s="886"/>
      <c r="F215" s="775">
        <v>93008.40455160607</v>
      </c>
      <c r="G215" s="895">
        <v>2400</v>
      </c>
      <c r="H215" s="532">
        <v>1725.5</v>
      </c>
      <c r="I215" s="1307">
        <f t="shared" si="4"/>
        <v>0.83</v>
      </c>
    </row>
    <row r="216" spans="1:9" ht="19.5" customHeight="1">
      <c r="A216" s="474">
        <f t="shared" si="5"/>
        <v>108</v>
      </c>
      <c r="B216" s="883" t="s">
        <v>694</v>
      </c>
      <c r="C216" s="884"/>
      <c r="D216" s="885"/>
      <c r="E216" s="886"/>
      <c r="F216" s="775">
        <v>120248</v>
      </c>
      <c r="G216" s="895">
        <v>3015</v>
      </c>
      <c r="H216" s="532">
        <v>2081.5</v>
      </c>
      <c r="I216" s="1307">
        <f t="shared" si="4"/>
        <v>1</v>
      </c>
    </row>
    <row r="217" spans="1:9" ht="19.5" customHeight="1">
      <c r="A217" s="474">
        <f t="shared" si="5"/>
        <v>109</v>
      </c>
      <c r="B217" s="883" t="s">
        <v>694</v>
      </c>
      <c r="C217" s="884"/>
      <c r="D217" s="885"/>
      <c r="E217" s="886"/>
      <c r="F217" s="775">
        <v>140646</v>
      </c>
      <c r="G217" s="895">
        <v>2620</v>
      </c>
      <c r="H217" s="532">
        <v>2113.5</v>
      </c>
      <c r="I217" s="1307">
        <f t="shared" si="4"/>
        <v>1.02</v>
      </c>
    </row>
    <row r="218" spans="1:9" ht="19.5" customHeight="1">
      <c r="A218" s="474">
        <f t="shared" si="5"/>
        <v>110</v>
      </c>
      <c r="B218" s="883" t="s">
        <v>694</v>
      </c>
      <c r="C218" s="884"/>
      <c r="D218" s="885"/>
      <c r="E218" s="886"/>
      <c r="F218" s="775">
        <v>123003</v>
      </c>
      <c r="G218" s="895">
        <v>3325</v>
      </c>
      <c r="H218" s="532">
        <v>2124</v>
      </c>
      <c r="I218" s="1307">
        <f t="shared" si="4"/>
        <v>1.02</v>
      </c>
    </row>
    <row r="219" spans="1:9" ht="19.5" customHeight="1">
      <c r="A219" s="474">
        <f t="shared" si="5"/>
        <v>111</v>
      </c>
      <c r="B219" s="883" t="s">
        <v>694</v>
      </c>
      <c r="C219" s="884"/>
      <c r="D219" s="885"/>
      <c r="E219" s="886"/>
      <c r="F219" s="775">
        <v>93233.4544495556</v>
      </c>
      <c r="G219" s="895">
        <v>1586</v>
      </c>
      <c r="H219" s="532">
        <v>1540</v>
      </c>
      <c r="I219" s="1307">
        <f t="shared" si="4"/>
        <v>0.74</v>
      </c>
    </row>
    <row r="220" spans="1:9" ht="19.5" customHeight="1">
      <c r="A220" s="474">
        <f t="shared" si="5"/>
        <v>112</v>
      </c>
      <c r="B220" s="883" t="s">
        <v>694</v>
      </c>
      <c r="C220" s="887"/>
      <c r="D220" s="888"/>
      <c r="E220" s="886"/>
      <c r="F220" s="775">
        <v>91650.35830021488</v>
      </c>
      <c r="G220" s="895">
        <v>3100</v>
      </c>
      <c r="H220" s="532">
        <v>1681</v>
      </c>
      <c r="I220" s="1307">
        <f t="shared" si="4"/>
        <v>0.81</v>
      </c>
    </row>
    <row r="221" spans="1:9" ht="19.5" customHeight="1">
      <c r="A221" s="474">
        <f t="shared" si="5"/>
        <v>113</v>
      </c>
      <c r="B221" s="883" t="s">
        <v>694</v>
      </c>
      <c r="C221" s="884"/>
      <c r="D221" s="885"/>
      <c r="E221" s="886"/>
      <c r="F221" s="775">
        <v>7029.9029843100125</v>
      </c>
      <c r="G221" s="895">
        <v>0</v>
      </c>
      <c r="H221" s="532">
        <v>116.91</v>
      </c>
      <c r="I221" s="1307">
        <f t="shared" si="4"/>
        <v>0.06</v>
      </c>
    </row>
    <row r="222" spans="1:9" ht="19.5" customHeight="1">
      <c r="A222" s="474">
        <f t="shared" si="5"/>
        <v>114</v>
      </c>
      <c r="B222" s="883" t="s">
        <v>694</v>
      </c>
      <c r="C222" s="884"/>
      <c r="D222" s="885"/>
      <c r="E222" s="886"/>
      <c r="F222" s="775">
        <v>20999</v>
      </c>
      <c r="G222" s="895">
        <v>293</v>
      </c>
      <c r="H222" s="532">
        <v>375</v>
      </c>
      <c r="I222" s="1307">
        <f t="shared" si="4"/>
        <v>0.18</v>
      </c>
    </row>
    <row r="223" spans="1:9" ht="19.5" customHeight="1">
      <c r="A223" s="474">
        <f t="shared" si="5"/>
        <v>115</v>
      </c>
      <c r="B223" s="883" t="s">
        <v>694</v>
      </c>
      <c r="C223" s="884"/>
      <c r="D223" s="885"/>
      <c r="E223" s="886"/>
      <c r="F223" s="775">
        <v>65286.18768042375</v>
      </c>
      <c r="G223" s="895">
        <v>820</v>
      </c>
      <c r="H223" s="532">
        <v>965</v>
      </c>
      <c r="I223" s="1307">
        <f t="shared" si="4"/>
        <v>0.46</v>
      </c>
    </row>
    <row r="224" spans="1:9" ht="19.5" customHeight="1">
      <c r="A224" s="474">
        <f t="shared" si="5"/>
        <v>116</v>
      </c>
      <c r="B224" s="883" t="s">
        <v>694</v>
      </c>
      <c r="C224" s="884"/>
      <c r="D224" s="885"/>
      <c r="E224" s="886"/>
      <c r="F224" s="775">
        <v>92717</v>
      </c>
      <c r="G224" s="895">
        <v>2100</v>
      </c>
      <c r="H224" s="532">
        <v>1720</v>
      </c>
      <c r="I224" s="1307">
        <f t="shared" si="4"/>
        <v>0.83</v>
      </c>
    </row>
    <row r="225" spans="1:9" ht="19.5" customHeight="1">
      <c r="A225" s="474">
        <f t="shared" si="5"/>
        <v>117</v>
      </c>
      <c r="B225" s="883" t="s">
        <v>694</v>
      </c>
      <c r="C225" s="884"/>
      <c r="D225" s="885"/>
      <c r="E225" s="886"/>
      <c r="F225" s="775">
        <v>82877.87198826137</v>
      </c>
      <c r="G225" s="895">
        <v>2137</v>
      </c>
      <c r="H225" s="532">
        <v>1248</v>
      </c>
      <c r="I225" s="1307">
        <f t="shared" si="4"/>
        <v>0.6</v>
      </c>
    </row>
    <row r="226" spans="1:9" ht="19.5" customHeight="1">
      <c r="A226" s="474">
        <f t="shared" si="5"/>
        <v>118</v>
      </c>
      <c r="B226" s="883" t="s">
        <v>694</v>
      </c>
      <c r="C226" s="884"/>
      <c r="D226" s="885"/>
      <c r="E226" s="886"/>
      <c r="F226" s="775">
        <v>109264.38123570342</v>
      </c>
      <c r="G226" s="895">
        <v>1517</v>
      </c>
      <c r="H226" s="532">
        <v>1690.9500000000003</v>
      </c>
      <c r="I226" s="1307">
        <f t="shared" si="4"/>
        <v>0.81</v>
      </c>
    </row>
    <row r="227" spans="1:9" ht="19.5" customHeight="1">
      <c r="A227" s="474">
        <f t="shared" si="5"/>
        <v>119</v>
      </c>
      <c r="B227" s="883" t="s">
        <v>694</v>
      </c>
      <c r="C227" s="884"/>
      <c r="D227" s="885"/>
      <c r="E227" s="886"/>
      <c r="F227" s="775">
        <v>96707</v>
      </c>
      <c r="G227" s="895">
        <v>1600</v>
      </c>
      <c r="H227" s="532">
        <v>1761.25</v>
      </c>
      <c r="I227" s="1307">
        <f t="shared" si="4"/>
        <v>0.85</v>
      </c>
    </row>
    <row r="228" spans="1:9" ht="19.5" customHeight="1">
      <c r="A228" s="474">
        <f t="shared" si="5"/>
        <v>120</v>
      </c>
      <c r="B228" s="883" t="s">
        <v>694</v>
      </c>
      <c r="C228" s="884"/>
      <c r="D228" s="885"/>
      <c r="E228" s="886"/>
      <c r="F228" s="775">
        <v>104859</v>
      </c>
      <c r="G228" s="895">
        <v>2243</v>
      </c>
      <c r="H228" s="532">
        <v>2080</v>
      </c>
      <c r="I228" s="1307">
        <f t="shared" si="4"/>
        <v>1</v>
      </c>
    </row>
    <row r="229" spans="1:9" ht="19.5" customHeight="1">
      <c r="A229" s="474">
        <f t="shared" si="5"/>
        <v>121</v>
      </c>
      <c r="B229" s="883" t="s">
        <v>694</v>
      </c>
      <c r="C229" s="884"/>
      <c r="D229" s="885"/>
      <c r="E229" s="886"/>
      <c r="F229" s="775">
        <v>92716.91001421037</v>
      </c>
      <c r="G229" s="895">
        <v>2320</v>
      </c>
      <c r="H229" s="532">
        <v>1719.9999999999998</v>
      </c>
      <c r="I229" s="1307">
        <f t="shared" si="4"/>
        <v>0.83</v>
      </c>
    </row>
    <row r="230" spans="1:9" ht="19.5" customHeight="1">
      <c r="A230" s="474">
        <f t="shared" si="5"/>
        <v>122</v>
      </c>
      <c r="B230" s="883" t="s">
        <v>694</v>
      </c>
      <c r="C230" s="884"/>
      <c r="D230" s="885"/>
      <c r="E230" s="886"/>
      <c r="F230" s="775">
        <v>106591</v>
      </c>
      <c r="G230" s="895">
        <v>2820</v>
      </c>
      <c r="H230" s="532">
        <v>1888</v>
      </c>
      <c r="I230" s="1307">
        <f t="shared" si="4"/>
        <v>0.91</v>
      </c>
    </row>
    <row r="231" spans="1:9" ht="19.5" customHeight="1">
      <c r="A231" s="474">
        <f t="shared" si="5"/>
        <v>123</v>
      </c>
      <c r="B231" s="883" t="s">
        <v>694</v>
      </c>
      <c r="C231" s="884"/>
      <c r="D231" s="885"/>
      <c r="E231" s="886"/>
      <c r="F231" s="775">
        <v>105159</v>
      </c>
      <c r="G231" s="895">
        <v>2546</v>
      </c>
      <c r="H231" s="532">
        <v>2080</v>
      </c>
      <c r="I231" s="1307">
        <f t="shared" si="4"/>
        <v>1</v>
      </c>
    </row>
    <row r="232" spans="1:9" ht="19.5" customHeight="1">
      <c r="A232" s="474">
        <f t="shared" si="5"/>
        <v>124</v>
      </c>
      <c r="B232" s="883" t="s">
        <v>694</v>
      </c>
      <c r="C232" s="884"/>
      <c r="D232" s="885"/>
      <c r="E232" s="886"/>
      <c r="F232" s="775">
        <v>117839</v>
      </c>
      <c r="G232" s="895">
        <v>1411</v>
      </c>
      <c r="H232" s="532">
        <v>2089</v>
      </c>
      <c r="I232" s="1307">
        <f t="shared" si="4"/>
        <v>1</v>
      </c>
    </row>
    <row r="233" spans="1:9" ht="19.5" customHeight="1">
      <c r="A233" s="474">
        <f t="shared" si="5"/>
        <v>125</v>
      </c>
      <c r="B233" s="883" t="s">
        <v>694</v>
      </c>
      <c r="C233" s="884"/>
      <c r="D233" s="885"/>
      <c r="E233" s="886"/>
      <c r="F233" s="775">
        <v>140840.86824193236</v>
      </c>
      <c r="G233" s="895">
        <v>4876</v>
      </c>
      <c r="H233" s="532">
        <v>2184</v>
      </c>
      <c r="I233" s="1307">
        <f t="shared" si="4"/>
        <v>1.05</v>
      </c>
    </row>
    <row r="234" spans="1:9" ht="19.5" customHeight="1">
      <c r="A234" s="474">
        <f t="shared" si="5"/>
        <v>126</v>
      </c>
      <c r="B234" s="883" t="s">
        <v>694</v>
      </c>
      <c r="C234" s="884"/>
      <c r="D234" s="885"/>
      <c r="E234" s="886"/>
      <c r="F234" s="775">
        <v>34440.17079183566</v>
      </c>
      <c r="G234" s="895">
        <v>615</v>
      </c>
      <c r="H234" s="532">
        <v>560</v>
      </c>
      <c r="I234" s="1307">
        <f t="shared" si="4"/>
        <v>0.27</v>
      </c>
    </row>
    <row r="235" spans="1:9" ht="19.5" customHeight="1">
      <c r="A235" s="474">
        <f t="shared" si="5"/>
        <v>127</v>
      </c>
      <c r="B235" s="883" t="s">
        <v>698</v>
      </c>
      <c r="C235" s="884"/>
      <c r="D235" s="885"/>
      <c r="E235" s="886"/>
      <c r="F235" s="775">
        <v>60800</v>
      </c>
      <c r="G235" s="895">
        <v>750</v>
      </c>
      <c r="H235" s="532">
        <v>1770.25</v>
      </c>
      <c r="I235" s="1307">
        <f t="shared" si="4"/>
        <v>0.85</v>
      </c>
    </row>
    <row r="236" spans="1:9" ht="19.5" customHeight="1">
      <c r="A236" s="474">
        <f t="shared" si="5"/>
        <v>128</v>
      </c>
      <c r="B236" s="883" t="s">
        <v>698</v>
      </c>
      <c r="C236" s="884"/>
      <c r="D236" s="885"/>
      <c r="E236" s="886"/>
      <c r="F236" s="775">
        <v>59202</v>
      </c>
      <c r="G236" s="895">
        <v>683</v>
      </c>
      <c r="H236" s="532">
        <v>1722.5</v>
      </c>
      <c r="I236" s="1307">
        <f t="shared" si="4"/>
        <v>0.83</v>
      </c>
    </row>
    <row r="237" spans="1:9" ht="19.5" customHeight="1">
      <c r="A237" s="474">
        <f t="shared" si="5"/>
        <v>129</v>
      </c>
      <c r="B237" s="883" t="s">
        <v>698</v>
      </c>
      <c r="C237" s="884"/>
      <c r="D237" s="885"/>
      <c r="E237" s="886"/>
      <c r="F237" s="775">
        <v>13415</v>
      </c>
      <c r="G237" s="895">
        <v>215</v>
      </c>
      <c r="H237" s="532">
        <v>397.75</v>
      </c>
      <c r="I237" s="1307">
        <f aca="true" t="shared" si="6" ref="I237:I300">ROUND(H237/2080,2)</f>
        <v>0.19</v>
      </c>
    </row>
    <row r="238" spans="1:9" ht="19.5" customHeight="1">
      <c r="A238" s="474">
        <f t="shared" si="5"/>
        <v>130</v>
      </c>
      <c r="B238" s="883" t="s">
        <v>698</v>
      </c>
      <c r="C238" s="884"/>
      <c r="D238" s="885"/>
      <c r="E238" s="886"/>
      <c r="F238" s="775">
        <v>59291</v>
      </c>
      <c r="G238" s="895">
        <v>537</v>
      </c>
      <c r="H238" s="532">
        <v>1725.5</v>
      </c>
      <c r="I238" s="1307">
        <f t="shared" si="6"/>
        <v>0.83</v>
      </c>
    </row>
    <row r="239" spans="1:9" ht="19.5" customHeight="1">
      <c r="A239" s="474">
        <f aca="true" t="shared" si="7" ref="A239:A302">+A238+1</f>
        <v>131</v>
      </c>
      <c r="B239" s="883" t="s">
        <v>698</v>
      </c>
      <c r="C239" s="884"/>
      <c r="D239" s="885"/>
      <c r="E239" s="886"/>
      <c r="F239" s="775">
        <v>12235</v>
      </c>
      <c r="G239" s="895">
        <v>715</v>
      </c>
      <c r="H239" s="532">
        <v>362.75</v>
      </c>
      <c r="I239" s="1307">
        <f t="shared" si="6"/>
        <v>0.17</v>
      </c>
    </row>
    <row r="240" spans="1:9" ht="19.5" customHeight="1">
      <c r="A240" s="474">
        <f t="shared" si="7"/>
        <v>132</v>
      </c>
      <c r="B240" s="883" t="s">
        <v>698</v>
      </c>
      <c r="C240" s="884"/>
      <c r="D240" s="885"/>
      <c r="E240" s="886"/>
      <c r="F240" s="775">
        <v>12276.724482906748</v>
      </c>
      <c r="G240" s="895">
        <v>1731</v>
      </c>
      <c r="H240" s="532">
        <v>364</v>
      </c>
      <c r="I240" s="1307">
        <f t="shared" si="6"/>
        <v>0.18</v>
      </c>
    </row>
    <row r="241" spans="1:9" ht="19.5" customHeight="1">
      <c r="A241" s="474">
        <f t="shared" si="7"/>
        <v>133</v>
      </c>
      <c r="B241" s="883" t="s">
        <v>698</v>
      </c>
      <c r="C241" s="884"/>
      <c r="D241" s="885"/>
      <c r="E241" s="886"/>
      <c r="F241" s="775">
        <v>60134</v>
      </c>
      <c r="G241" s="895">
        <v>603</v>
      </c>
      <c r="H241" s="532">
        <v>1750.5</v>
      </c>
      <c r="I241" s="1307">
        <f t="shared" si="6"/>
        <v>0.84</v>
      </c>
    </row>
    <row r="242" spans="1:9" ht="19.5" customHeight="1">
      <c r="A242" s="474">
        <f t="shared" si="7"/>
        <v>134</v>
      </c>
      <c r="B242" s="883" t="s">
        <v>698</v>
      </c>
      <c r="C242" s="884"/>
      <c r="D242" s="885"/>
      <c r="E242" s="886"/>
      <c r="F242" s="775">
        <v>59037</v>
      </c>
      <c r="G242" s="895">
        <v>729</v>
      </c>
      <c r="H242" s="532">
        <v>1720</v>
      </c>
      <c r="I242" s="1307">
        <f t="shared" si="6"/>
        <v>0.83</v>
      </c>
    </row>
    <row r="243" spans="1:9" ht="19.5" customHeight="1">
      <c r="A243" s="474">
        <f t="shared" si="7"/>
        <v>135</v>
      </c>
      <c r="B243" s="883" t="s">
        <v>698</v>
      </c>
      <c r="C243" s="884"/>
      <c r="D243" s="885"/>
      <c r="E243" s="886"/>
      <c r="F243" s="775">
        <v>59426</v>
      </c>
      <c r="G243" s="895">
        <v>705</v>
      </c>
      <c r="H243" s="532">
        <v>1729.5</v>
      </c>
      <c r="I243" s="1307">
        <f t="shared" si="6"/>
        <v>0.83</v>
      </c>
    </row>
    <row r="244" spans="1:9" ht="19.5" customHeight="1">
      <c r="A244" s="474">
        <f t="shared" si="7"/>
        <v>136</v>
      </c>
      <c r="B244" s="883" t="s">
        <v>698</v>
      </c>
      <c r="C244" s="884"/>
      <c r="D244" s="885"/>
      <c r="E244" s="886"/>
      <c r="F244" s="775">
        <v>12141.830840833338</v>
      </c>
      <c r="G244" s="895">
        <v>24</v>
      </c>
      <c r="H244" s="532">
        <v>360</v>
      </c>
      <c r="I244" s="1307">
        <f t="shared" si="6"/>
        <v>0.17</v>
      </c>
    </row>
    <row r="245" spans="1:9" ht="19.5" customHeight="1">
      <c r="A245" s="474">
        <f t="shared" si="7"/>
        <v>137</v>
      </c>
      <c r="B245" s="883" t="s">
        <v>698</v>
      </c>
      <c r="C245" s="884"/>
      <c r="D245" s="885"/>
      <c r="E245" s="886"/>
      <c r="F245" s="775">
        <v>62309</v>
      </c>
      <c r="G245" s="895">
        <v>806</v>
      </c>
      <c r="H245" s="532">
        <v>1815</v>
      </c>
      <c r="I245" s="1307">
        <f t="shared" si="6"/>
        <v>0.87</v>
      </c>
    </row>
    <row r="246" spans="1:9" ht="19.5" customHeight="1">
      <c r="A246" s="474">
        <f t="shared" si="7"/>
        <v>138</v>
      </c>
      <c r="B246" s="883" t="s">
        <v>698</v>
      </c>
      <c r="C246" s="884"/>
      <c r="D246" s="885"/>
      <c r="E246" s="886"/>
      <c r="F246" s="775">
        <v>59862</v>
      </c>
      <c r="G246" s="895">
        <v>768</v>
      </c>
      <c r="H246" s="532">
        <v>1742.45</v>
      </c>
      <c r="I246" s="1307">
        <f t="shared" si="6"/>
        <v>0.84</v>
      </c>
    </row>
    <row r="247" spans="1:9" ht="19.5" customHeight="1">
      <c r="A247" s="474">
        <f t="shared" si="7"/>
        <v>139</v>
      </c>
      <c r="B247" s="883" t="s">
        <v>698</v>
      </c>
      <c r="C247" s="884"/>
      <c r="D247" s="885"/>
      <c r="E247" s="886"/>
      <c r="F247" s="775">
        <v>13942.821311567806</v>
      </c>
      <c r="G247" s="895">
        <v>30</v>
      </c>
      <c r="H247" s="532">
        <v>412.29</v>
      </c>
      <c r="I247" s="1307">
        <f t="shared" si="6"/>
        <v>0.2</v>
      </c>
    </row>
    <row r="248" spans="1:9" ht="19.5" customHeight="1">
      <c r="A248" s="474">
        <f t="shared" si="7"/>
        <v>140</v>
      </c>
      <c r="B248" s="883" t="s">
        <v>698</v>
      </c>
      <c r="C248" s="884"/>
      <c r="D248" s="885"/>
      <c r="E248" s="886"/>
      <c r="F248" s="775">
        <v>12142</v>
      </c>
      <c r="G248" s="895">
        <v>72</v>
      </c>
      <c r="H248" s="532">
        <v>360</v>
      </c>
      <c r="I248" s="1307">
        <f t="shared" si="6"/>
        <v>0.17</v>
      </c>
    </row>
    <row r="249" spans="1:9" ht="19.5" customHeight="1">
      <c r="A249" s="474">
        <f t="shared" si="7"/>
        <v>141</v>
      </c>
      <c r="B249" s="883" t="s">
        <v>698</v>
      </c>
      <c r="C249" s="884"/>
      <c r="D249" s="885"/>
      <c r="E249" s="886"/>
      <c r="F249" s="775">
        <v>60713</v>
      </c>
      <c r="G249" s="895">
        <v>700</v>
      </c>
      <c r="H249" s="532">
        <v>1759.5</v>
      </c>
      <c r="I249" s="1307">
        <f t="shared" si="6"/>
        <v>0.85</v>
      </c>
    </row>
    <row r="250" spans="1:9" ht="19.5" customHeight="1">
      <c r="A250" s="474">
        <f t="shared" si="7"/>
        <v>142</v>
      </c>
      <c r="B250" s="883" t="s">
        <v>698</v>
      </c>
      <c r="C250" s="884"/>
      <c r="D250" s="885"/>
      <c r="E250" s="886"/>
      <c r="F250" s="775">
        <v>59105</v>
      </c>
      <c r="G250" s="895">
        <v>493</v>
      </c>
      <c r="H250" s="532">
        <v>1720</v>
      </c>
      <c r="I250" s="1307">
        <f t="shared" si="6"/>
        <v>0.83</v>
      </c>
    </row>
    <row r="251" spans="1:9" ht="19.5" customHeight="1">
      <c r="A251" s="474">
        <f t="shared" si="7"/>
        <v>143</v>
      </c>
      <c r="B251" s="883" t="s">
        <v>698</v>
      </c>
      <c r="C251" s="887"/>
      <c r="D251" s="888"/>
      <c r="E251" s="886"/>
      <c r="F251" s="775">
        <v>12179</v>
      </c>
      <c r="G251" s="895">
        <v>27</v>
      </c>
      <c r="H251" s="532">
        <v>360</v>
      </c>
      <c r="I251" s="1307">
        <f t="shared" si="6"/>
        <v>0.17</v>
      </c>
    </row>
    <row r="252" spans="1:9" ht="19.5" customHeight="1">
      <c r="A252" s="474">
        <f t="shared" si="7"/>
        <v>144</v>
      </c>
      <c r="B252" s="883" t="s">
        <v>698</v>
      </c>
      <c r="C252" s="884"/>
      <c r="D252" s="885"/>
      <c r="E252" s="886"/>
      <c r="F252" s="775">
        <v>12141.830840833338</v>
      </c>
      <c r="G252" s="895">
        <v>69</v>
      </c>
      <c r="H252" s="532">
        <v>360</v>
      </c>
      <c r="I252" s="1307">
        <f t="shared" si="6"/>
        <v>0.17</v>
      </c>
    </row>
    <row r="253" spans="1:9" ht="19.5" customHeight="1">
      <c r="A253" s="474">
        <f t="shared" si="7"/>
        <v>145</v>
      </c>
      <c r="B253" s="883" t="s">
        <v>698</v>
      </c>
      <c r="C253" s="884"/>
      <c r="D253" s="885"/>
      <c r="E253" s="886"/>
      <c r="F253" s="775">
        <v>59695.46756906704</v>
      </c>
      <c r="G253" s="895">
        <v>480</v>
      </c>
      <c r="H253" s="532">
        <v>1737.5</v>
      </c>
      <c r="I253" s="1307">
        <f t="shared" si="6"/>
        <v>0.84</v>
      </c>
    </row>
    <row r="254" spans="1:9" ht="19.5" customHeight="1">
      <c r="A254" s="474">
        <f t="shared" si="7"/>
        <v>146</v>
      </c>
      <c r="B254" s="883" t="s">
        <v>698</v>
      </c>
      <c r="C254" s="884"/>
      <c r="D254" s="885"/>
      <c r="E254" s="886"/>
      <c r="F254" s="775">
        <v>59546</v>
      </c>
      <c r="G254" s="895">
        <v>557</v>
      </c>
      <c r="H254" s="532">
        <v>1726</v>
      </c>
      <c r="I254" s="1307">
        <f t="shared" si="6"/>
        <v>0.83</v>
      </c>
    </row>
    <row r="255" spans="1:9" ht="19.5" customHeight="1">
      <c r="A255" s="474">
        <f t="shared" si="7"/>
        <v>147</v>
      </c>
      <c r="B255" s="883" t="s">
        <v>698</v>
      </c>
      <c r="C255" s="884"/>
      <c r="D255" s="885"/>
      <c r="E255" s="886"/>
      <c r="F255" s="775">
        <v>12141.830840833338</v>
      </c>
      <c r="G255" s="895">
        <v>64</v>
      </c>
      <c r="H255" s="532">
        <v>360</v>
      </c>
      <c r="I255" s="1307">
        <f t="shared" si="6"/>
        <v>0.17</v>
      </c>
    </row>
    <row r="256" spans="1:9" ht="19.5" customHeight="1">
      <c r="A256" s="474">
        <f t="shared" si="7"/>
        <v>148</v>
      </c>
      <c r="B256" s="883" t="s">
        <v>698</v>
      </c>
      <c r="C256" s="884"/>
      <c r="D256" s="885"/>
      <c r="E256" s="886"/>
      <c r="F256" s="775">
        <v>12142</v>
      </c>
      <c r="G256" s="895">
        <v>63</v>
      </c>
      <c r="H256" s="532">
        <v>360</v>
      </c>
      <c r="I256" s="1307">
        <f t="shared" si="6"/>
        <v>0.17</v>
      </c>
    </row>
    <row r="257" spans="1:9" ht="19.5" customHeight="1">
      <c r="A257" s="474">
        <f t="shared" si="7"/>
        <v>149</v>
      </c>
      <c r="B257" s="883" t="s">
        <v>698</v>
      </c>
      <c r="C257" s="884"/>
      <c r="D257" s="885"/>
      <c r="E257" s="886"/>
      <c r="F257" s="775">
        <v>12335.752978583743</v>
      </c>
      <c r="G257" s="895">
        <v>35</v>
      </c>
      <c r="H257" s="532">
        <v>365.75</v>
      </c>
      <c r="I257" s="1307">
        <f t="shared" si="6"/>
        <v>0.18</v>
      </c>
    </row>
    <row r="258" spans="1:9" ht="19.5" customHeight="1">
      <c r="A258" s="474">
        <f t="shared" si="7"/>
        <v>150</v>
      </c>
      <c r="B258" s="883" t="s">
        <v>698</v>
      </c>
      <c r="C258" s="887"/>
      <c r="D258" s="888"/>
      <c r="E258" s="886"/>
      <c r="F258" s="775">
        <v>12141.830840833338</v>
      </c>
      <c r="G258" s="895">
        <v>19</v>
      </c>
      <c r="H258" s="532">
        <v>360</v>
      </c>
      <c r="I258" s="1307">
        <f t="shared" si="6"/>
        <v>0.17</v>
      </c>
    </row>
    <row r="259" spans="1:9" ht="19.5" customHeight="1">
      <c r="A259" s="474">
        <f t="shared" si="7"/>
        <v>151</v>
      </c>
      <c r="B259" s="883" t="s">
        <v>698</v>
      </c>
      <c r="C259" s="884"/>
      <c r="D259" s="885"/>
      <c r="E259" s="886"/>
      <c r="F259" s="775">
        <v>59125</v>
      </c>
      <c r="G259" s="895">
        <v>592</v>
      </c>
      <c r="H259" s="532">
        <v>1720</v>
      </c>
      <c r="I259" s="1307">
        <f t="shared" si="6"/>
        <v>0.83</v>
      </c>
    </row>
    <row r="260" spans="1:9" ht="19.5" customHeight="1">
      <c r="A260" s="474">
        <f t="shared" si="7"/>
        <v>152</v>
      </c>
      <c r="B260" s="883" t="s">
        <v>698</v>
      </c>
      <c r="C260" s="884"/>
      <c r="D260" s="885"/>
      <c r="E260" s="886"/>
      <c r="F260" s="775">
        <v>59773</v>
      </c>
      <c r="G260" s="895">
        <v>771</v>
      </c>
      <c r="H260" s="532">
        <v>1732</v>
      </c>
      <c r="I260" s="1307">
        <f t="shared" si="6"/>
        <v>0.83</v>
      </c>
    </row>
    <row r="261" spans="1:9" ht="19.5" customHeight="1">
      <c r="A261" s="474">
        <f t="shared" si="7"/>
        <v>153</v>
      </c>
      <c r="B261" s="883" t="s">
        <v>894</v>
      </c>
      <c r="C261" s="884"/>
      <c r="D261" s="885"/>
      <c r="E261" s="893"/>
      <c r="F261" s="775">
        <v>94998</v>
      </c>
      <c r="G261" s="895">
        <v>180</v>
      </c>
      <c r="H261" s="532">
        <v>1729</v>
      </c>
      <c r="I261" s="1307">
        <f t="shared" si="6"/>
        <v>0.83</v>
      </c>
    </row>
    <row r="262" spans="1:9" ht="19.5" customHeight="1">
      <c r="A262" s="474">
        <f t="shared" si="7"/>
        <v>154</v>
      </c>
      <c r="B262" s="883" t="s">
        <v>894</v>
      </c>
      <c r="C262" s="884"/>
      <c r="D262" s="885"/>
      <c r="E262" s="893"/>
      <c r="F262" s="775">
        <v>116215.52276882068</v>
      </c>
      <c r="G262" s="895">
        <v>1294</v>
      </c>
      <c r="H262" s="532">
        <v>1927</v>
      </c>
      <c r="I262" s="1307">
        <f t="shared" si="6"/>
        <v>0.93</v>
      </c>
    </row>
    <row r="263" spans="1:9" ht="19.5" customHeight="1">
      <c r="A263" s="474">
        <f t="shared" si="7"/>
        <v>155</v>
      </c>
      <c r="B263" s="883" t="s">
        <v>894</v>
      </c>
      <c r="C263" s="884"/>
      <c r="D263" s="885"/>
      <c r="E263" s="893"/>
      <c r="F263" s="775">
        <v>106120</v>
      </c>
      <c r="G263" s="895">
        <v>1309</v>
      </c>
      <c r="H263" s="532">
        <v>1667.95</v>
      </c>
      <c r="I263" s="1307">
        <f t="shared" si="6"/>
        <v>0.8</v>
      </c>
    </row>
    <row r="264" spans="1:9" ht="19.5" customHeight="1">
      <c r="A264" s="474">
        <f t="shared" si="7"/>
        <v>156</v>
      </c>
      <c r="B264" s="883" t="s">
        <v>695</v>
      </c>
      <c r="C264" s="884"/>
      <c r="D264" s="885"/>
      <c r="E264" s="893"/>
      <c r="F264" s="775">
        <v>99988</v>
      </c>
      <c r="G264" s="895">
        <v>858</v>
      </c>
      <c r="H264" s="532">
        <v>2312.5</v>
      </c>
      <c r="I264" s="1307">
        <f t="shared" si="6"/>
        <v>1.11</v>
      </c>
    </row>
    <row r="265" spans="1:9" ht="19.5" customHeight="1">
      <c r="A265" s="474">
        <f t="shared" si="7"/>
        <v>157</v>
      </c>
      <c r="B265" s="883" t="s">
        <v>695</v>
      </c>
      <c r="C265" s="884"/>
      <c r="D265" s="885"/>
      <c r="E265" s="893"/>
      <c r="F265" s="775">
        <v>110044.20879667357</v>
      </c>
      <c r="G265" s="895">
        <v>0</v>
      </c>
      <c r="H265" s="532">
        <v>2509.75</v>
      </c>
      <c r="I265" s="1307">
        <f t="shared" si="6"/>
        <v>1.21</v>
      </c>
    </row>
    <row r="266" spans="1:9" ht="19.5" customHeight="1">
      <c r="A266" s="474">
        <f t="shared" si="7"/>
        <v>158</v>
      </c>
      <c r="B266" s="883" t="s">
        <v>697</v>
      </c>
      <c r="C266" s="884"/>
      <c r="D266" s="885"/>
      <c r="E266" s="893"/>
      <c r="F266" s="775">
        <v>60268</v>
      </c>
      <c r="G266" s="895">
        <v>364</v>
      </c>
      <c r="H266" s="532">
        <v>1928.25</v>
      </c>
      <c r="I266" s="1307">
        <f t="shared" si="6"/>
        <v>0.93</v>
      </c>
    </row>
    <row r="267" spans="1:9" ht="19.5" customHeight="1">
      <c r="A267" s="474">
        <f t="shared" si="7"/>
        <v>159</v>
      </c>
      <c r="B267" s="883" t="s">
        <v>697</v>
      </c>
      <c r="C267" s="884"/>
      <c r="D267" s="885"/>
      <c r="E267" s="893"/>
      <c r="F267" s="775">
        <v>36753</v>
      </c>
      <c r="G267" s="895">
        <v>172</v>
      </c>
      <c r="H267" s="532">
        <v>933</v>
      </c>
      <c r="I267" s="1307">
        <f t="shared" si="6"/>
        <v>0.45</v>
      </c>
    </row>
    <row r="268" spans="1:9" ht="19.5" customHeight="1">
      <c r="A268" s="474">
        <f t="shared" si="7"/>
        <v>160</v>
      </c>
      <c r="B268" s="883" t="s">
        <v>697</v>
      </c>
      <c r="C268" s="884"/>
      <c r="D268" s="885"/>
      <c r="E268" s="893"/>
      <c r="F268" s="775">
        <v>90640</v>
      </c>
      <c r="G268" s="895">
        <v>643</v>
      </c>
      <c r="H268" s="532">
        <v>1861</v>
      </c>
      <c r="I268" s="1307">
        <f t="shared" si="6"/>
        <v>0.89</v>
      </c>
    </row>
    <row r="269" spans="1:9" ht="19.5" customHeight="1">
      <c r="A269" s="474">
        <f t="shared" si="7"/>
        <v>161</v>
      </c>
      <c r="B269" s="883" t="s">
        <v>690</v>
      </c>
      <c r="C269" s="884"/>
      <c r="D269" s="885"/>
      <c r="E269" s="893"/>
      <c r="F269" s="775">
        <v>4762.366917777376</v>
      </c>
      <c r="G269" s="895">
        <v>0</v>
      </c>
      <c r="H269" s="532">
        <v>120</v>
      </c>
      <c r="I269" s="1307">
        <f t="shared" si="6"/>
        <v>0.06</v>
      </c>
    </row>
    <row r="270" spans="1:9" ht="19.5" customHeight="1">
      <c r="A270" s="474">
        <f t="shared" si="7"/>
        <v>162</v>
      </c>
      <c r="B270" s="883" t="s">
        <v>690</v>
      </c>
      <c r="C270" s="884"/>
      <c r="D270" s="885"/>
      <c r="E270" s="893"/>
      <c r="F270" s="775">
        <v>33519.646957383455</v>
      </c>
      <c r="G270" s="895">
        <v>109</v>
      </c>
      <c r="H270" s="532">
        <v>972.5</v>
      </c>
      <c r="I270" s="1307">
        <f t="shared" si="6"/>
        <v>0.47</v>
      </c>
    </row>
    <row r="271" spans="1:9" ht="19.5" customHeight="1">
      <c r="A271" s="474">
        <f t="shared" si="7"/>
        <v>163</v>
      </c>
      <c r="B271" s="883" t="s">
        <v>690</v>
      </c>
      <c r="C271" s="884"/>
      <c r="D271" s="885"/>
      <c r="E271" s="893"/>
      <c r="F271" s="775">
        <v>11721.515881802228</v>
      </c>
      <c r="G271" s="895">
        <v>10</v>
      </c>
      <c r="H271" s="532">
        <v>320</v>
      </c>
      <c r="I271" s="1307">
        <f t="shared" si="6"/>
        <v>0.15</v>
      </c>
    </row>
    <row r="272" spans="1:9" ht="19.5" customHeight="1">
      <c r="A272" s="474">
        <f t="shared" si="7"/>
        <v>164</v>
      </c>
      <c r="B272" s="883" t="s">
        <v>690</v>
      </c>
      <c r="C272" s="884"/>
      <c r="D272" s="885"/>
      <c r="E272" s="893"/>
      <c r="F272" s="775">
        <v>53790.87420540002</v>
      </c>
      <c r="G272" s="895">
        <v>274</v>
      </c>
      <c r="H272" s="532">
        <v>1584.22</v>
      </c>
      <c r="I272" s="1307">
        <f t="shared" si="6"/>
        <v>0.76</v>
      </c>
    </row>
    <row r="273" spans="1:9" ht="19.5" customHeight="1">
      <c r="A273" s="474">
        <f t="shared" si="7"/>
        <v>165</v>
      </c>
      <c r="B273" s="883" t="s">
        <v>690</v>
      </c>
      <c r="C273" s="884"/>
      <c r="D273" s="885"/>
      <c r="E273" s="893"/>
      <c r="F273" s="775">
        <v>88863.08083906345</v>
      </c>
      <c r="G273" s="895">
        <v>8</v>
      </c>
      <c r="H273" s="532">
        <v>2133</v>
      </c>
      <c r="I273" s="1307">
        <f t="shared" si="6"/>
        <v>1.03</v>
      </c>
    </row>
    <row r="274" spans="1:9" ht="19.5" customHeight="1">
      <c r="A274" s="474">
        <f t="shared" si="7"/>
        <v>166</v>
      </c>
      <c r="B274" s="883" t="s">
        <v>690</v>
      </c>
      <c r="C274" s="884"/>
      <c r="D274" s="885"/>
      <c r="E274" s="893"/>
      <c r="F274" s="775">
        <v>47290.29347171345</v>
      </c>
      <c r="G274" s="895">
        <v>499</v>
      </c>
      <c r="H274" s="532">
        <v>1327.5</v>
      </c>
      <c r="I274" s="1307">
        <f t="shared" si="6"/>
        <v>0.64</v>
      </c>
    </row>
    <row r="275" spans="1:9" ht="19.5" customHeight="1">
      <c r="A275" s="474">
        <f t="shared" si="7"/>
        <v>167</v>
      </c>
      <c r="B275" s="883" t="s">
        <v>690</v>
      </c>
      <c r="C275" s="884"/>
      <c r="D275" s="885"/>
      <c r="E275" s="893"/>
      <c r="F275" s="775">
        <v>44609.63810996906</v>
      </c>
      <c r="G275" s="895">
        <v>181</v>
      </c>
      <c r="H275" s="532">
        <v>1164.91</v>
      </c>
      <c r="I275" s="1307">
        <f t="shared" si="6"/>
        <v>0.56</v>
      </c>
    </row>
    <row r="276" spans="1:9" ht="19.5" customHeight="1">
      <c r="A276" s="474">
        <f t="shared" si="7"/>
        <v>168</v>
      </c>
      <c r="B276" s="883" t="s">
        <v>690</v>
      </c>
      <c r="C276" s="884"/>
      <c r="D276" s="885"/>
      <c r="E276" s="893"/>
      <c r="F276" s="775">
        <v>82649.63515285411</v>
      </c>
      <c r="G276" s="895">
        <v>435</v>
      </c>
      <c r="H276" s="532">
        <v>1644.25</v>
      </c>
      <c r="I276" s="1307">
        <f t="shared" si="6"/>
        <v>0.79</v>
      </c>
    </row>
    <row r="277" spans="1:9" ht="19.5" customHeight="1">
      <c r="A277" s="474">
        <f t="shared" si="7"/>
        <v>169</v>
      </c>
      <c r="B277" s="883" t="s">
        <v>690</v>
      </c>
      <c r="C277" s="884"/>
      <c r="D277" s="885"/>
      <c r="E277" s="893"/>
      <c r="F277" s="775">
        <v>85730.57186363675</v>
      </c>
      <c r="G277" s="895">
        <v>864</v>
      </c>
      <c r="H277" s="532">
        <v>2194</v>
      </c>
      <c r="I277" s="1307">
        <f t="shared" si="6"/>
        <v>1.05</v>
      </c>
    </row>
    <row r="278" spans="1:9" ht="19.5" customHeight="1">
      <c r="A278" s="474">
        <f t="shared" si="7"/>
        <v>170</v>
      </c>
      <c r="B278" s="883" t="s">
        <v>690</v>
      </c>
      <c r="C278" s="884"/>
      <c r="D278" s="885"/>
      <c r="E278" s="893"/>
      <c r="F278" s="775">
        <v>6177.046450844409</v>
      </c>
      <c r="G278" s="895">
        <v>40</v>
      </c>
      <c r="H278" s="532">
        <v>154.25</v>
      </c>
      <c r="I278" s="1307">
        <f t="shared" si="6"/>
        <v>0.07</v>
      </c>
    </row>
    <row r="279" spans="1:9" ht="19.5" customHeight="1">
      <c r="A279" s="474">
        <f t="shared" si="7"/>
        <v>171</v>
      </c>
      <c r="B279" s="883" t="s">
        <v>690</v>
      </c>
      <c r="C279" s="884"/>
      <c r="D279" s="885"/>
      <c r="E279" s="893"/>
      <c r="F279" s="775">
        <v>75377.81555442752</v>
      </c>
      <c r="G279" s="895">
        <v>1182</v>
      </c>
      <c r="H279" s="532">
        <v>2080</v>
      </c>
      <c r="I279" s="1307">
        <f t="shared" si="6"/>
        <v>1</v>
      </c>
    </row>
    <row r="280" spans="1:9" ht="19.5" customHeight="1">
      <c r="A280" s="474">
        <f t="shared" si="7"/>
        <v>172</v>
      </c>
      <c r="B280" s="883" t="s">
        <v>690</v>
      </c>
      <c r="C280" s="884"/>
      <c r="D280" s="885"/>
      <c r="E280" s="893"/>
      <c r="F280" s="775">
        <v>22729.478471210205</v>
      </c>
      <c r="G280" s="895">
        <v>233</v>
      </c>
      <c r="H280" s="532">
        <v>480</v>
      </c>
      <c r="I280" s="1307">
        <f t="shared" si="6"/>
        <v>0.23</v>
      </c>
    </row>
    <row r="281" spans="1:9" ht="19.5" customHeight="1">
      <c r="A281" s="474">
        <f t="shared" si="7"/>
        <v>173</v>
      </c>
      <c r="B281" s="883" t="s">
        <v>690</v>
      </c>
      <c r="C281" s="884"/>
      <c r="D281" s="885"/>
      <c r="E281" s="893"/>
      <c r="F281" s="1309">
        <v>49994.93103891708</v>
      </c>
      <c r="G281" s="895">
        <f>337-77</f>
        <v>260</v>
      </c>
      <c r="H281" s="532">
        <v>1378.5</v>
      </c>
      <c r="I281" s="1307">
        <f t="shared" si="6"/>
        <v>0.66</v>
      </c>
    </row>
    <row r="282" spans="1:9" ht="19.5" customHeight="1">
      <c r="A282" s="474">
        <f t="shared" si="7"/>
        <v>174</v>
      </c>
      <c r="B282" s="883" t="s">
        <v>690</v>
      </c>
      <c r="C282" s="884"/>
      <c r="D282" s="885"/>
      <c r="E282" s="893"/>
      <c r="F282" s="775">
        <v>76331.7320794733</v>
      </c>
      <c r="G282" s="895">
        <v>991</v>
      </c>
      <c r="H282" s="532">
        <v>2105</v>
      </c>
      <c r="I282" s="1307">
        <f t="shared" si="6"/>
        <v>1.01</v>
      </c>
    </row>
    <row r="283" spans="1:9" ht="19.5" customHeight="1">
      <c r="A283" s="474">
        <f t="shared" si="7"/>
        <v>175</v>
      </c>
      <c r="B283" s="883" t="s">
        <v>690</v>
      </c>
      <c r="C283" s="884"/>
      <c r="D283" s="885"/>
      <c r="E283" s="894"/>
      <c r="F283" s="775">
        <v>54789</v>
      </c>
      <c r="G283" s="895">
        <v>933</v>
      </c>
      <c r="H283" s="532">
        <v>1301</v>
      </c>
      <c r="I283" s="1307">
        <f t="shared" si="6"/>
        <v>0.63</v>
      </c>
    </row>
    <row r="284" spans="1:9" ht="19.5" customHeight="1">
      <c r="A284" s="474">
        <f t="shared" si="7"/>
        <v>176</v>
      </c>
      <c r="B284" s="883" t="s">
        <v>690</v>
      </c>
      <c r="C284" s="884"/>
      <c r="D284" s="885"/>
      <c r="E284" s="894"/>
      <c r="F284" s="775">
        <v>88078.9639408862</v>
      </c>
      <c r="G284" s="895">
        <v>1079</v>
      </c>
      <c r="H284" s="532">
        <v>2144.5</v>
      </c>
      <c r="I284" s="1307">
        <f t="shared" si="6"/>
        <v>1.03</v>
      </c>
    </row>
    <row r="285" spans="1:9" ht="19.5" customHeight="1">
      <c r="A285" s="474">
        <f t="shared" si="7"/>
        <v>177</v>
      </c>
      <c r="B285" s="883" t="s">
        <v>690</v>
      </c>
      <c r="C285" s="887"/>
      <c r="D285" s="888"/>
      <c r="E285" s="894"/>
      <c r="F285" s="1309">
        <v>4099.524013859455</v>
      </c>
      <c r="G285" s="895">
        <v>5</v>
      </c>
      <c r="H285" s="532">
        <v>104</v>
      </c>
      <c r="I285" s="1307">
        <f t="shared" si="6"/>
        <v>0.05</v>
      </c>
    </row>
    <row r="286" spans="1:9" ht="19.5" customHeight="1">
      <c r="A286" s="474">
        <f t="shared" si="7"/>
        <v>178</v>
      </c>
      <c r="B286" s="883" t="s">
        <v>690</v>
      </c>
      <c r="C286" s="884"/>
      <c r="D286" s="885"/>
      <c r="E286" s="894"/>
      <c r="F286" s="775">
        <v>53379.25818257394</v>
      </c>
      <c r="G286" s="895">
        <v>343</v>
      </c>
      <c r="H286" s="532">
        <v>1249.4499999999998</v>
      </c>
      <c r="I286" s="1307">
        <f t="shared" si="6"/>
        <v>0.6</v>
      </c>
    </row>
    <row r="287" spans="1:9" ht="19.5" customHeight="1">
      <c r="A287" s="474">
        <f t="shared" si="7"/>
        <v>179</v>
      </c>
      <c r="B287" s="883" t="s">
        <v>690</v>
      </c>
      <c r="C287" s="884"/>
      <c r="D287" s="885"/>
      <c r="E287" s="894"/>
      <c r="F287" s="775">
        <v>70934.86395315567</v>
      </c>
      <c r="G287" s="895">
        <v>732</v>
      </c>
      <c r="H287" s="532">
        <v>2188.5</v>
      </c>
      <c r="I287" s="1307">
        <f t="shared" si="6"/>
        <v>1.05</v>
      </c>
    </row>
    <row r="288" spans="1:9" ht="19.5" customHeight="1">
      <c r="A288" s="474">
        <f t="shared" si="7"/>
        <v>180</v>
      </c>
      <c r="B288" s="883" t="s">
        <v>690</v>
      </c>
      <c r="C288" s="884"/>
      <c r="D288" s="885"/>
      <c r="E288" s="894"/>
      <c r="F288" s="775">
        <v>62405.035869695654</v>
      </c>
      <c r="G288" s="895">
        <v>793</v>
      </c>
      <c r="H288" s="532">
        <v>1919.5</v>
      </c>
      <c r="I288" s="1307">
        <f t="shared" si="6"/>
        <v>0.92</v>
      </c>
    </row>
    <row r="289" spans="1:9" ht="19.5" customHeight="1">
      <c r="A289" s="474">
        <f t="shared" si="7"/>
        <v>181</v>
      </c>
      <c r="B289" s="883" t="s">
        <v>690</v>
      </c>
      <c r="C289" s="884"/>
      <c r="D289" s="885"/>
      <c r="E289" s="894"/>
      <c r="F289" s="775">
        <v>87413</v>
      </c>
      <c r="G289" s="895">
        <v>736</v>
      </c>
      <c r="H289" s="532">
        <v>2181.5</v>
      </c>
      <c r="I289" s="1307">
        <f t="shared" si="6"/>
        <v>1.05</v>
      </c>
    </row>
    <row r="290" spans="1:9" ht="19.5" customHeight="1">
      <c r="A290" s="474">
        <f t="shared" si="7"/>
        <v>182</v>
      </c>
      <c r="B290" s="883" t="s">
        <v>690</v>
      </c>
      <c r="C290" s="884"/>
      <c r="D290" s="885"/>
      <c r="E290" s="894"/>
      <c r="F290" s="775">
        <v>29768</v>
      </c>
      <c r="G290" s="895">
        <v>36</v>
      </c>
      <c r="H290" s="532">
        <v>755.25</v>
      </c>
      <c r="I290" s="1307">
        <f t="shared" si="6"/>
        <v>0.36</v>
      </c>
    </row>
    <row r="291" spans="1:9" ht="19.5" customHeight="1">
      <c r="A291" s="474">
        <f t="shared" si="7"/>
        <v>183</v>
      </c>
      <c r="B291" s="883" t="s">
        <v>690</v>
      </c>
      <c r="C291" s="884"/>
      <c r="D291" s="885"/>
      <c r="E291" s="894"/>
      <c r="F291" s="775">
        <v>84203.45757793813</v>
      </c>
      <c r="G291" s="895">
        <v>1464</v>
      </c>
      <c r="H291" s="532">
        <v>2132.5</v>
      </c>
      <c r="I291" s="1307">
        <f t="shared" si="6"/>
        <v>1.03</v>
      </c>
    </row>
    <row r="292" spans="1:9" ht="19.5" customHeight="1">
      <c r="A292" s="474">
        <f t="shared" si="7"/>
        <v>184</v>
      </c>
      <c r="B292" s="883" t="s">
        <v>690</v>
      </c>
      <c r="C292" s="884"/>
      <c r="D292" s="885"/>
      <c r="E292" s="894"/>
      <c r="F292" s="775">
        <v>35570.89219306703</v>
      </c>
      <c r="G292" s="895">
        <v>322</v>
      </c>
      <c r="H292" s="532">
        <v>1060.5</v>
      </c>
      <c r="I292" s="1307">
        <f t="shared" si="6"/>
        <v>0.51</v>
      </c>
    </row>
    <row r="293" spans="1:9" ht="19.5" customHeight="1">
      <c r="A293" s="474">
        <f t="shared" si="7"/>
        <v>185</v>
      </c>
      <c r="B293" s="883" t="s">
        <v>690</v>
      </c>
      <c r="C293" s="884"/>
      <c r="D293" s="885"/>
      <c r="E293" s="894"/>
      <c r="F293" s="775">
        <v>77889.51312183941</v>
      </c>
      <c r="G293" s="895">
        <v>925</v>
      </c>
      <c r="H293" s="532">
        <v>2151.25</v>
      </c>
      <c r="I293" s="1307">
        <f t="shared" si="6"/>
        <v>1.03</v>
      </c>
    </row>
    <row r="294" spans="1:9" ht="19.5" customHeight="1">
      <c r="A294" s="474">
        <f t="shared" si="7"/>
        <v>186</v>
      </c>
      <c r="B294" s="883" t="s">
        <v>690</v>
      </c>
      <c r="C294" s="884"/>
      <c r="D294" s="885"/>
      <c r="E294" s="894"/>
      <c r="F294" s="775">
        <v>53510.7945163194</v>
      </c>
      <c r="G294" s="895">
        <v>255</v>
      </c>
      <c r="H294" s="532">
        <v>1212</v>
      </c>
      <c r="I294" s="1307">
        <f t="shared" si="6"/>
        <v>0.58</v>
      </c>
    </row>
    <row r="295" spans="1:9" ht="19.5" customHeight="1">
      <c r="A295" s="474">
        <f t="shared" si="7"/>
        <v>187</v>
      </c>
      <c r="B295" s="883" t="s">
        <v>690</v>
      </c>
      <c r="C295" s="884"/>
      <c r="D295" s="885"/>
      <c r="E295" s="894"/>
      <c r="F295" s="775">
        <v>68510.4363586394</v>
      </c>
      <c r="G295" s="895">
        <v>582</v>
      </c>
      <c r="H295" s="532">
        <v>1961.5</v>
      </c>
      <c r="I295" s="1307">
        <f t="shared" si="6"/>
        <v>0.94</v>
      </c>
    </row>
    <row r="296" spans="1:9" ht="19.5" customHeight="1">
      <c r="A296" s="474">
        <f t="shared" si="7"/>
        <v>188</v>
      </c>
      <c r="B296" s="883" t="s">
        <v>690</v>
      </c>
      <c r="C296" s="884"/>
      <c r="D296" s="885"/>
      <c r="E296" s="894"/>
      <c r="F296" s="775">
        <v>60151.95126169716</v>
      </c>
      <c r="G296" s="895">
        <v>2156</v>
      </c>
      <c r="H296" s="532">
        <v>1732.5</v>
      </c>
      <c r="I296" s="1307">
        <f t="shared" si="6"/>
        <v>0.83</v>
      </c>
    </row>
    <row r="297" spans="1:9" ht="19.5" customHeight="1">
      <c r="A297" s="474">
        <f t="shared" si="7"/>
        <v>189</v>
      </c>
      <c r="B297" s="883" t="s">
        <v>690</v>
      </c>
      <c r="C297" s="884"/>
      <c r="D297" s="885"/>
      <c r="E297" s="894"/>
      <c r="F297" s="775">
        <v>51909.47870566448</v>
      </c>
      <c r="G297" s="895">
        <v>384</v>
      </c>
      <c r="H297" s="532">
        <v>1536.5</v>
      </c>
      <c r="I297" s="1307">
        <f t="shared" si="6"/>
        <v>0.74</v>
      </c>
    </row>
    <row r="298" spans="1:9" ht="19.5" customHeight="1">
      <c r="A298" s="474">
        <f t="shared" si="7"/>
        <v>190</v>
      </c>
      <c r="B298" s="883" t="s">
        <v>690</v>
      </c>
      <c r="C298" s="884"/>
      <c r="D298" s="885"/>
      <c r="E298" s="894"/>
      <c r="F298" s="775">
        <v>61485.9752203655</v>
      </c>
      <c r="G298" s="895">
        <v>1133</v>
      </c>
      <c r="H298" s="532">
        <v>1528</v>
      </c>
      <c r="I298" s="1307">
        <f t="shared" si="6"/>
        <v>0.73</v>
      </c>
    </row>
    <row r="299" spans="1:9" ht="19.5" customHeight="1">
      <c r="A299" s="474">
        <f t="shared" si="7"/>
        <v>191</v>
      </c>
      <c r="B299" s="883" t="s">
        <v>690</v>
      </c>
      <c r="C299" s="884"/>
      <c r="D299" s="885"/>
      <c r="E299" s="894"/>
      <c r="F299" s="775">
        <v>80152.79993842861</v>
      </c>
      <c r="G299" s="895">
        <v>729</v>
      </c>
      <c r="H299" s="532">
        <v>2094</v>
      </c>
      <c r="I299" s="1307">
        <f t="shared" si="6"/>
        <v>1.01</v>
      </c>
    </row>
    <row r="300" spans="1:9" ht="19.5" customHeight="1">
      <c r="A300" s="474">
        <f t="shared" si="7"/>
        <v>192</v>
      </c>
      <c r="B300" s="883" t="s">
        <v>690</v>
      </c>
      <c r="C300" s="884"/>
      <c r="D300" s="885"/>
      <c r="E300" s="894"/>
      <c r="F300" s="775">
        <v>82109.04838115428</v>
      </c>
      <c r="G300" s="895">
        <v>1023</v>
      </c>
      <c r="H300" s="532">
        <v>2122</v>
      </c>
      <c r="I300" s="1307">
        <f t="shared" si="6"/>
        <v>1.02</v>
      </c>
    </row>
    <row r="301" spans="1:9" ht="19.5" customHeight="1">
      <c r="A301" s="474">
        <f t="shared" si="7"/>
        <v>193</v>
      </c>
      <c r="B301" s="883" t="s">
        <v>690</v>
      </c>
      <c r="C301" s="884"/>
      <c r="D301" s="885"/>
      <c r="E301" s="894"/>
      <c r="F301" s="775">
        <v>51064.80999579279</v>
      </c>
      <c r="G301" s="895">
        <v>989</v>
      </c>
      <c r="H301" s="532">
        <v>1285</v>
      </c>
      <c r="I301" s="1307">
        <f aca="true" t="shared" si="8" ref="I301:I364">ROUND(H301/2080,2)</f>
        <v>0.62</v>
      </c>
    </row>
    <row r="302" spans="1:9" ht="19.5" customHeight="1">
      <c r="A302" s="474">
        <f t="shared" si="7"/>
        <v>194</v>
      </c>
      <c r="B302" s="883" t="s">
        <v>690</v>
      </c>
      <c r="C302" s="884"/>
      <c r="D302" s="885"/>
      <c r="E302" s="894"/>
      <c r="F302" s="775">
        <v>31551.181921070336</v>
      </c>
      <c r="G302" s="895">
        <v>230</v>
      </c>
      <c r="H302" s="532">
        <v>866</v>
      </c>
      <c r="I302" s="1307">
        <f t="shared" si="8"/>
        <v>0.42</v>
      </c>
    </row>
    <row r="303" spans="1:9" ht="19.5" customHeight="1">
      <c r="A303" s="474">
        <f aca="true" t="shared" si="9" ref="A303:A366">+A302+1</f>
        <v>195</v>
      </c>
      <c r="B303" s="883" t="s">
        <v>690</v>
      </c>
      <c r="C303" s="884"/>
      <c r="D303" s="885"/>
      <c r="E303" s="894"/>
      <c r="F303" s="775">
        <v>38668</v>
      </c>
      <c r="G303" s="895">
        <v>228</v>
      </c>
      <c r="H303" s="532">
        <v>1021</v>
      </c>
      <c r="I303" s="1307">
        <f t="shared" si="8"/>
        <v>0.49</v>
      </c>
    </row>
    <row r="304" spans="1:9" ht="19.5" customHeight="1">
      <c r="A304" s="474">
        <f t="shared" si="9"/>
        <v>196</v>
      </c>
      <c r="B304" s="883" t="s">
        <v>690</v>
      </c>
      <c r="C304" s="884"/>
      <c r="D304" s="885"/>
      <c r="E304" s="894"/>
      <c r="F304" s="775">
        <v>56353</v>
      </c>
      <c r="G304" s="895">
        <v>296</v>
      </c>
      <c r="H304" s="532">
        <v>1464.5</v>
      </c>
      <c r="I304" s="1307">
        <f t="shared" si="8"/>
        <v>0.7</v>
      </c>
    </row>
    <row r="305" spans="1:9" ht="19.5" customHeight="1">
      <c r="A305" s="474">
        <f t="shared" si="9"/>
        <v>197</v>
      </c>
      <c r="B305" s="883" t="s">
        <v>690</v>
      </c>
      <c r="C305" s="884"/>
      <c r="D305" s="885"/>
      <c r="E305" s="894"/>
      <c r="F305" s="775">
        <v>78863.28286419182</v>
      </c>
      <c r="G305" s="895">
        <v>1245</v>
      </c>
      <c r="H305" s="532">
        <v>2155</v>
      </c>
      <c r="I305" s="1307">
        <f t="shared" si="8"/>
        <v>1.04</v>
      </c>
    </row>
    <row r="306" spans="1:9" ht="19.5" customHeight="1">
      <c r="A306" s="474">
        <f t="shared" si="9"/>
        <v>198</v>
      </c>
      <c r="B306" s="883" t="s">
        <v>690</v>
      </c>
      <c r="C306" s="884"/>
      <c r="D306" s="885"/>
      <c r="E306" s="894"/>
      <c r="F306" s="775">
        <v>26246</v>
      </c>
      <c r="G306" s="895">
        <v>116</v>
      </c>
      <c r="H306" s="532">
        <v>784</v>
      </c>
      <c r="I306" s="1307">
        <f t="shared" si="8"/>
        <v>0.38</v>
      </c>
    </row>
    <row r="307" spans="1:9" ht="19.5" customHeight="1">
      <c r="A307" s="474">
        <f t="shared" si="9"/>
        <v>199</v>
      </c>
      <c r="B307" s="883" t="s">
        <v>690</v>
      </c>
      <c r="C307" s="884"/>
      <c r="D307" s="885"/>
      <c r="E307" s="894"/>
      <c r="F307" s="775">
        <v>56430.79088549297</v>
      </c>
      <c r="G307" s="895">
        <v>407</v>
      </c>
      <c r="H307" s="532">
        <v>1512</v>
      </c>
      <c r="I307" s="1307">
        <f t="shared" si="8"/>
        <v>0.73</v>
      </c>
    </row>
    <row r="308" spans="1:9" ht="19.5" customHeight="1">
      <c r="A308" s="474">
        <f t="shared" si="9"/>
        <v>200</v>
      </c>
      <c r="B308" s="883" t="s">
        <v>690</v>
      </c>
      <c r="C308" s="884"/>
      <c r="D308" s="885"/>
      <c r="E308" s="894"/>
      <c r="F308" s="775">
        <v>12293</v>
      </c>
      <c r="G308" s="895">
        <v>97</v>
      </c>
      <c r="H308" s="532">
        <v>332</v>
      </c>
      <c r="I308" s="1307">
        <f t="shared" si="8"/>
        <v>0.16</v>
      </c>
    </row>
    <row r="309" spans="1:9" ht="19.5" customHeight="1">
      <c r="A309" s="474">
        <f t="shared" si="9"/>
        <v>201</v>
      </c>
      <c r="B309" s="883" t="s">
        <v>690</v>
      </c>
      <c r="C309" s="884"/>
      <c r="D309" s="885"/>
      <c r="E309" s="894"/>
      <c r="F309" s="775">
        <v>72493.06591178979</v>
      </c>
      <c r="G309" s="895">
        <v>811</v>
      </c>
      <c r="H309" s="532">
        <v>1725.75</v>
      </c>
      <c r="I309" s="1307">
        <f t="shared" si="8"/>
        <v>0.83</v>
      </c>
    </row>
    <row r="310" spans="1:9" ht="19.5" customHeight="1">
      <c r="A310" s="474">
        <f t="shared" si="9"/>
        <v>202</v>
      </c>
      <c r="B310" s="883" t="s">
        <v>690</v>
      </c>
      <c r="C310" s="884"/>
      <c r="D310" s="885"/>
      <c r="E310" s="894"/>
      <c r="F310" s="775">
        <v>26027.63804172093</v>
      </c>
      <c r="G310" s="895">
        <v>7</v>
      </c>
      <c r="H310" s="532">
        <v>671</v>
      </c>
      <c r="I310" s="1307">
        <f t="shared" si="8"/>
        <v>0.32</v>
      </c>
    </row>
    <row r="311" spans="1:9" ht="19.5" customHeight="1">
      <c r="A311" s="474">
        <f t="shared" si="9"/>
        <v>203</v>
      </c>
      <c r="B311" s="883" t="s">
        <v>690</v>
      </c>
      <c r="C311" s="884"/>
      <c r="D311" s="885"/>
      <c r="E311" s="894"/>
      <c r="F311" s="775">
        <v>55673.01131951254</v>
      </c>
      <c r="G311" s="895">
        <v>201</v>
      </c>
      <c r="H311" s="532">
        <v>1328</v>
      </c>
      <c r="I311" s="1307">
        <f t="shared" si="8"/>
        <v>0.64</v>
      </c>
    </row>
    <row r="312" spans="1:9" ht="19.5" customHeight="1">
      <c r="A312" s="474">
        <f t="shared" si="9"/>
        <v>204</v>
      </c>
      <c r="B312" s="883" t="s">
        <v>690</v>
      </c>
      <c r="C312" s="884"/>
      <c r="D312" s="885"/>
      <c r="E312" s="894"/>
      <c r="F312" s="775">
        <v>43950</v>
      </c>
      <c r="G312" s="895">
        <v>436</v>
      </c>
      <c r="H312" s="532">
        <v>1202.75</v>
      </c>
      <c r="I312" s="1307">
        <f t="shared" si="8"/>
        <v>0.58</v>
      </c>
    </row>
    <row r="313" spans="1:9" ht="19.5" customHeight="1">
      <c r="A313" s="474">
        <f t="shared" si="9"/>
        <v>205</v>
      </c>
      <c r="B313" s="883" t="s">
        <v>690</v>
      </c>
      <c r="C313" s="884"/>
      <c r="D313" s="885"/>
      <c r="E313" s="894"/>
      <c r="F313" s="775">
        <v>64238.38678398548</v>
      </c>
      <c r="G313" s="895">
        <v>2213</v>
      </c>
      <c r="H313" s="532">
        <v>1672</v>
      </c>
      <c r="I313" s="1307">
        <f t="shared" si="8"/>
        <v>0.8</v>
      </c>
    </row>
    <row r="314" spans="1:9" ht="19.5" customHeight="1">
      <c r="A314" s="474">
        <f t="shared" si="9"/>
        <v>206</v>
      </c>
      <c r="B314" s="883" t="s">
        <v>690</v>
      </c>
      <c r="C314" s="884"/>
      <c r="D314" s="885"/>
      <c r="E314" s="894"/>
      <c r="F314" s="775">
        <v>32464.77065891669</v>
      </c>
      <c r="G314" s="895">
        <v>543</v>
      </c>
      <c r="H314" s="532">
        <v>908</v>
      </c>
      <c r="I314" s="1307">
        <f t="shared" si="8"/>
        <v>0.44</v>
      </c>
    </row>
    <row r="315" spans="1:9" ht="19.5" customHeight="1">
      <c r="A315" s="474">
        <f t="shared" si="9"/>
        <v>207</v>
      </c>
      <c r="B315" s="883" t="s">
        <v>690</v>
      </c>
      <c r="C315" s="884"/>
      <c r="D315" s="885"/>
      <c r="E315" s="894"/>
      <c r="F315" s="775">
        <v>7099.734997531968</v>
      </c>
      <c r="G315" s="895">
        <v>0</v>
      </c>
      <c r="H315" s="532">
        <v>200</v>
      </c>
      <c r="I315" s="1307">
        <f t="shared" si="8"/>
        <v>0.1</v>
      </c>
    </row>
    <row r="316" spans="1:9" ht="19.5" customHeight="1">
      <c r="A316" s="474">
        <f t="shared" si="9"/>
        <v>208</v>
      </c>
      <c r="B316" s="883" t="s">
        <v>690</v>
      </c>
      <c r="C316" s="884"/>
      <c r="D316" s="885"/>
      <c r="E316" s="894"/>
      <c r="F316" s="775">
        <v>79994.92627248637</v>
      </c>
      <c r="G316" s="895">
        <v>830</v>
      </c>
      <c r="H316" s="532">
        <v>2080</v>
      </c>
      <c r="I316" s="1307">
        <f t="shared" si="8"/>
        <v>1</v>
      </c>
    </row>
    <row r="317" spans="1:9" ht="19.5" customHeight="1">
      <c r="A317" s="474">
        <f t="shared" si="9"/>
        <v>209</v>
      </c>
      <c r="B317" s="883" t="s">
        <v>690</v>
      </c>
      <c r="C317" s="884"/>
      <c r="D317" s="885"/>
      <c r="E317" s="894"/>
      <c r="F317" s="775">
        <v>87195</v>
      </c>
      <c r="G317" s="895">
        <v>851</v>
      </c>
      <c r="H317" s="532">
        <v>2280.9</v>
      </c>
      <c r="I317" s="1307">
        <f t="shared" si="8"/>
        <v>1.1</v>
      </c>
    </row>
    <row r="318" spans="1:9" ht="19.5" customHeight="1">
      <c r="A318" s="474">
        <f t="shared" si="9"/>
        <v>210</v>
      </c>
      <c r="B318" s="883" t="s">
        <v>690</v>
      </c>
      <c r="C318" s="884"/>
      <c r="D318" s="885"/>
      <c r="E318" s="894"/>
      <c r="F318" s="775">
        <v>86568.44578232529</v>
      </c>
      <c r="G318" s="895">
        <v>830</v>
      </c>
      <c r="H318" s="532">
        <v>2097.5</v>
      </c>
      <c r="I318" s="1307">
        <f t="shared" si="8"/>
        <v>1.01</v>
      </c>
    </row>
    <row r="319" spans="1:9" ht="19.5" customHeight="1">
      <c r="A319" s="474">
        <f t="shared" si="9"/>
        <v>211</v>
      </c>
      <c r="B319" s="883" t="s">
        <v>690</v>
      </c>
      <c r="C319" s="884"/>
      <c r="D319" s="885"/>
      <c r="E319" s="894"/>
      <c r="F319" s="775">
        <v>61991.555789111364</v>
      </c>
      <c r="G319" s="895">
        <v>366</v>
      </c>
      <c r="H319" s="532">
        <v>1679.09</v>
      </c>
      <c r="I319" s="1307">
        <f t="shared" si="8"/>
        <v>0.81</v>
      </c>
    </row>
    <row r="320" spans="1:9" ht="19.5" customHeight="1">
      <c r="A320" s="474">
        <f t="shared" si="9"/>
        <v>212</v>
      </c>
      <c r="B320" s="883" t="s">
        <v>690</v>
      </c>
      <c r="C320" s="884"/>
      <c r="D320" s="885"/>
      <c r="E320" s="894"/>
      <c r="F320" s="775">
        <v>13539.172632385733</v>
      </c>
      <c r="G320" s="895">
        <v>36</v>
      </c>
      <c r="H320" s="532">
        <v>368</v>
      </c>
      <c r="I320" s="1307">
        <f t="shared" si="8"/>
        <v>0.18</v>
      </c>
    </row>
    <row r="321" spans="1:9" ht="19.5" customHeight="1">
      <c r="A321" s="474">
        <f t="shared" si="9"/>
        <v>213</v>
      </c>
      <c r="B321" s="883" t="s">
        <v>690</v>
      </c>
      <c r="C321" s="884"/>
      <c r="D321" s="885"/>
      <c r="E321" s="894"/>
      <c r="F321" s="775">
        <v>80676.71040846365</v>
      </c>
      <c r="G321" s="895">
        <v>76</v>
      </c>
      <c r="H321" s="532">
        <v>2108</v>
      </c>
      <c r="I321" s="1307">
        <f t="shared" si="8"/>
        <v>1.01</v>
      </c>
    </row>
    <row r="322" spans="1:9" ht="19.5" customHeight="1">
      <c r="A322" s="474">
        <f t="shared" si="9"/>
        <v>214</v>
      </c>
      <c r="B322" s="883" t="s">
        <v>690</v>
      </c>
      <c r="C322" s="884"/>
      <c r="D322" s="885"/>
      <c r="E322" s="894"/>
      <c r="F322" s="775">
        <v>5755.27832850716</v>
      </c>
      <c r="G322" s="895">
        <v>0</v>
      </c>
      <c r="H322" s="532">
        <v>147.25</v>
      </c>
      <c r="I322" s="1307">
        <f t="shared" si="8"/>
        <v>0.07</v>
      </c>
    </row>
    <row r="323" spans="1:9" ht="19.5" customHeight="1">
      <c r="A323" s="474">
        <f t="shared" si="9"/>
        <v>215</v>
      </c>
      <c r="B323" s="883" t="s">
        <v>690</v>
      </c>
      <c r="C323" s="884"/>
      <c r="D323" s="885"/>
      <c r="E323" s="894"/>
      <c r="F323" s="775">
        <v>2151.002391196115</v>
      </c>
      <c r="G323" s="895">
        <v>18</v>
      </c>
      <c r="H323" s="532">
        <v>59.620000000000005</v>
      </c>
      <c r="I323" s="1307">
        <f t="shared" si="8"/>
        <v>0.03</v>
      </c>
    </row>
    <row r="324" spans="1:9" ht="19.5" customHeight="1">
      <c r="A324" s="474">
        <f t="shared" si="9"/>
        <v>216</v>
      </c>
      <c r="B324" s="883" t="s">
        <v>690</v>
      </c>
      <c r="C324" s="884"/>
      <c r="D324" s="885"/>
      <c r="E324" s="894"/>
      <c r="F324" s="775">
        <v>23282.68270913384</v>
      </c>
      <c r="G324" s="895">
        <v>282</v>
      </c>
      <c r="H324" s="532">
        <v>680</v>
      </c>
      <c r="I324" s="1307">
        <f t="shared" si="8"/>
        <v>0.33</v>
      </c>
    </row>
    <row r="325" spans="1:9" ht="19.5" customHeight="1">
      <c r="A325" s="474">
        <f t="shared" si="9"/>
        <v>217</v>
      </c>
      <c r="B325" s="883" t="s">
        <v>690</v>
      </c>
      <c r="C325" s="884"/>
      <c r="D325" s="885"/>
      <c r="E325" s="894"/>
      <c r="F325" s="775">
        <v>44847.80656493745</v>
      </c>
      <c r="G325" s="895">
        <v>765</v>
      </c>
      <c r="H325" s="532">
        <v>1033</v>
      </c>
      <c r="I325" s="1307">
        <f t="shared" si="8"/>
        <v>0.5</v>
      </c>
    </row>
    <row r="326" spans="1:9" ht="19.5" customHeight="1">
      <c r="A326" s="474">
        <f t="shared" si="9"/>
        <v>218</v>
      </c>
      <c r="B326" s="883" t="s">
        <v>690</v>
      </c>
      <c r="C326" s="884"/>
      <c r="D326" s="885"/>
      <c r="E326" s="894"/>
      <c r="F326" s="775">
        <v>72986</v>
      </c>
      <c r="G326" s="895">
        <v>940</v>
      </c>
      <c r="H326" s="532">
        <v>1784.75</v>
      </c>
      <c r="I326" s="1307">
        <f t="shared" si="8"/>
        <v>0.86</v>
      </c>
    </row>
    <row r="327" spans="1:9" ht="19.5" customHeight="1">
      <c r="A327" s="474">
        <f t="shared" si="9"/>
        <v>219</v>
      </c>
      <c r="B327" s="883" t="s">
        <v>690</v>
      </c>
      <c r="C327" s="884"/>
      <c r="D327" s="885"/>
      <c r="E327" s="894"/>
      <c r="F327" s="775">
        <v>81965.96691548696</v>
      </c>
      <c r="G327" s="895">
        <v>900</v>
      </c>
      <c r="H327" s="532">
        <v>2181.5</v>
      </c>
      <c r="I327" s="1307">
        <f t="shared" si="8"/>
        <v>1.05</v>
      </c>
    </row>
    <row r="328" spans="1:9" ht="19.5" customHeight="1">
      <c r="A328" s="474">
        <f t="shared" si="9"/>
        <v>220</v>
      </c>
      <c r="B328" s="883" t="s">
        <v>690</v>
      </c>
      <c r="C328" s="884"/>
      <c r="D328" s="885"/>
      <c r="E328" s="894"/>
      <c r="F328" s="775">
        <v>15276.233939465948</v>
      </c>
      <c r="G328" s="895">
        <v>122</v>
      </c>
      <c r="H328" s="532">
        <v>407.25</v>
      </c>
      <c r="I328" s="1307">
        <f t="shared" si="8"/>
        <v>0.2</v>
      </c>
    </row>
    <row r="329" spans="1:9" ht="19.5" customHeight="1">
      <c r="A329" s="474">
        <f t="shared" si="9"/>
        <v>221</v>
      </c>
      <c r="B329" s="883" t="s">
        <v>690</v>
      </c>
      <c r="C329" s="884"/>
      <c r="D329" s="885"/>
      <c r="E329" s="894"/>
      <c r="F329" s="775">
        <v>81935.88142414183</v>
      </c>
      <c r="G329" s="895">
        <v>675</v>
      </c>
      <c r="H329" s="532">
        <v>2204</v>
      </c>
      <c r="I329" s="1307">
        <f t="shared" si="8"/>
        <v>1.06</v>
      </c>
    </row>
    <row r="330" spans="1:9" ht="19.5" customHeight="1">
      <c r="A330" s="474">
        <f t="shared" si="9"/>
        <v>222</v>
      </c>
      <c r="B330" s="883" t="s">
        <v>690</v>
      </c>
      <c r="C330" s="884"/>
      <c r="D330" s="885"/>
      <c r="E330" s="894"/>
      <c r="F330" s="775">
        <v>38996.89004725447</v>
      </c>
      <c r="G330" s="895">
        <v>68</v>
      </c>
      <c r="H330" s="532">
        <v>1000</v>
      </c>
      <c r="I330" s="1307">
        <f t="shared" si="8"/>
        <v>0.48</v>
      </c>
    </row>
    <row r="331" spans="1:9" ht="19.5" customHeight="1">
      <c r="A331" s="474">
        <f t="shared" si="9"/>
        <v>223</v>
      </c>
      <c r="B331" s="883" t="s">
        <v>690</v>
      </c>
      <c r="C331" s="884"/>
      <c r="D331" s="885"/>
      <c r="E331" s="894"/>
      <c r="F331" s="775">
        <v>85613.12620305295</v>
      </c>
      <c r="G331" s="895">
        <v>416</v>
      </c>
      <c r="H331" s="532">
        <v>2170.5</v>
      </c>
      <c r="I331" s="1307">
        <f t="shared" si="8"/>
        <v>1.04</v>
      </c>
    </row>
    <row r="332" spans="1:9" ht="19.5" customHeight="1">
      <c r="A332" s="474">
        <f t="shared" si="9"/>
        <v>224</v>
      </c>
      <c r="B332" s="883" t="s">
        <v>690</v>
      </c>
      <c r="C332" s="884"/>
      <c r="D332" s="885"/>
      <c r="E332" s="894"/>
      <c r="F332" s="775">
        <v>68143</v>
      </c>
      <c r="G332" s="895">
        <v>756</v>
      </c>
      <c r="H332" s="532">
        <v>2122</v>
      </c>
      <c r="I332" s="1307">
        <f t="shared" si="8"/>
        <v>1.02</v>
      </c>
    </row>
    <row r="333" spans="1:9" ht="19.5" customHeight="1">
      <c r="A333" s="474">
        <f t="shared" si="9"/>
        <v>225</v>
      </c>
      <c r="B333" s="883" t="s">
        <v>690</v>
      </c>
      <c r="C333" s="884"/>
      <c r="D333" s="885"/>
      <c r="E333" s="894"/>
      <c r="F333" s="775">
        <v>47021.17764923222</v>
      </c>
      <c r="G333" s="895">
        <v>639</v>
      </c>
      <c r="H333" s="532">
        <v>1200.5</v>
      </c>
      <c r="I333" s="1307">
        <f t="shared" si="8"/>
        <v>0.58</v>
      </c>
    </row>
    <row r="334" spans="1:9" ht="19.5" customHeight="1">
      <c r="A334" s="474">
        <f t="shared" si="9"/>
        <v>226</v>
      </c>
      <c r="B334" s="883" t="s">
        <v>690</v>
      </c>
      <c r="C334" s="884"/>
      <c r="D334" s="885"/>
      <c r="E334" s="894"/>
      <c r="F334" s="775">
        <v>16425.355394697828</v>
      </c>
      <c r="G334" s="895">
        <v>137</v>
      </c>
      <c r="H334" s="532">
        <v>411.5</v>
      </c>
      <c r="I334" s="1307">
        <f t="shared" si="8"/>
        <v>0.2</v>
      </c>
    </row>
    <row r="335" spans="1:9" ht="19.5" customHeight="1">
      <c r="A335" s="474">
        <f t="shared" si="9"/>
        <v>227</v>
      </c>
      <c r="B335" s="883" t="s">
        <v>690</v>
      </c>
      <c r="C335" s="884"/>
      <c r="D335" s="885"/>
      <c r="E335" s="894"/>
      <c r="F335" s="775">
        <v>62594.68871387074</v>
      </c>
      <c r="G335" s="895">
        <v>90</v>
      </c>
      <c r="H335" s="532">
        <v>1447</v>
      </c>
      <c r="I335" s="1307">
        <f t="shared" si="8"/>
        <v>0.7</v>
      </c>
    </row>
    <row r="336" spans="1:9" ht="19.5" customHeight="1">
      <c r="A336" s="474">
        <f t="shared" si="9"/>
        <v>228</v>
      </c>
      <c r="B336" s="883" t="s">
        <v>690</v>
      </c>
      <c r="C336" s="884"/>
      <c r="D336" s="885"/>
      <c r="E336" s="894"/>
      <c r="F336" s="775">
        <v>21055</v>
      </c>
      <c r="G336" s="895">
        <v>5</v>
      </c>
      <c r="H336" s="532">
        <v>414.5</v>
      </c>
      <c r="I336" s="1307">
        <f t="shared" si="8"/>
        <v>0.2</v>
      </c>
    </row>
    <row r="337" spans="1:9" ht="19.5" customHeight="1">
      <c r="A337" s="474">
        <f t="shared" si="9"/>
        <v>229</v>
      </c>
      <c r="B337" s="883" t="s">
        <v>690</v>
      </c>
      <c r="C337" s="884"/>
      <c r="D337" s="885"/>
      <c r="E337" s="894"/>
      <c r="F337" s="775">
        <v>65195.069330220795</v>
      </c>
      <c r="G337" s="895">
        <v>113</v>
      </c>
      <c r="H337" s="532">
        <v>1471.5</v>
      </c>
      <c r="I337" s="1307">
        <f t="shared" si="8"/>
        <v>0.71</v>
      </c>
    </row>
    <row r="338" spans="1:9" ht="19.5" customHeight="1">
      <c r="A338" s="474">
        <f t="shared" si="9"/>
        <v>230</v>
      </c>
      <c r="B338" s="883" t="s">
        <v>690</v>
      </c>
      <c r="C338" s="884"/>
      <c r="D338" s="885"/>
      <c r="E338" s="894"/>
      <c r="F338" s="775">
        <v>54453.23606215453</v>
      </c>
      <c r="G338" s="895">
        <v>310</v>
      </c>
      <c r="H338" s="532">
        <v>1598.33</v>
      </c>
      <c r="I338" s="1307">
        <f t="shared" si="8"/>
        <v>0.77</v>
      </c>
    </row>
    <row r="339" spans="1:9" ht="19.5" customHeight="1">
      <c r="A339" s="474">
        <f t="shared" si="9"/>
        <v>231</v>
      </c>
      <c r="B339" s="883" t="s">
        <v>690</v>
      </c>
      <c r="C339" s="884"/>
      <c r="D339" s="885"/>
      <c r="E339" s="894"/>
      <c r="F339" s="775">
        <v>4895.176022142667</v>
      </c>
      <c r="G339" s="895">
        <v>96</v>
      </c>
      <c r="H339" s="532">
        <v>137.5</v>
      </c>
      <c r="I339" s="1307">
        <f t="shared" si="8"/>
        <v>0.07</v>
      </c>
    </row>
    <row r="340" spans="1:9" ht="19.5" customHeight="1">
      <c r="A340" s="474">
        <f t="shared" si="9"/>
        <v>232</v>
      </c>
      <c r="B340" s="883" t="s">
        <v>690</v>
      </c>
      <c r="C340" s="884"/>
      <c r="D340" s="885"/>
      <c r="E340" s="894"/>
      <c r="F340" s="775">
        <v>63004</v>
      </c>
      <c r="G340" s="895">
        <v>543</v>
      </c>
      <c r="H340" s="532">
        <v>1694.5</v>
      </c>
      <c r="I340" s="1307">
        <f t="shared" si="8"/>
        <v>0.81</v>
      </c>
    </row>
    <row r="341" spans="1:9" ht="19.5" customHeight="1">
      <c r="A341" s="474">
        <f t="shared" si="9"/>
        <v>233</v>
      </c>
      <c r="B341" s="883" t="s">
        <v>690</v>
      </c>
      <c r="C341" s="884"/>
      <c r="D341" s="885"/>
      <c r="E341" s="894"/>
      <c r="F341" s="775">
        <v>93619.41462366635</v>
      </c>
      <c r="G341" s="895">
        <v>697</v>
      </c>
      <c r="H341" s="532">
        <v>2112</v>
      </c>
      <c r="I341" s="1307">
        <f t="shared" si="8"/>
        <v>1.02</v>
      </c>
    </row>
    <row r="342" spans="1:9" ht="19.5" customHeight="1">
      <c r="A342" s="474">
        <f t="shared" si="9"/>
        <v>234</v>
      </c>
      <c r="B342" s="883" t="s">
        <v>690</v>
      </c>
      <c r="C342" s="884"/>
      <c r="D342" s="885"/>
      <c r="E342" s="894"/>
      <c r="F342" s="775">
        <v>71974</v>
      </c>
      <c r="G342" s="895">
        <v>118</v>
      </c>
      <c r="H342" s="532">
        <v>2124</v>
      </c>
      <c r="I342" s="1307">
        <f t="shared" si="8"/>
        <v>1.02</v>
      </c>
    </row>
    <row r="343" spans="1:9" ht="19.5" customHeight="1">
      <c r="A343" s="474">
        <f t="shared" si="9"/>
        <v>235</v>
      </c>
      <c r="B343" s="883" t="s">
        <v>690</v>
      </c>
      <c r="C343" s="884"/>
      <c r="D343" s="885"/>
      <c r="E343" s="894"/>
      <c r="F343" s="775">
        <v>44420.145614848436</v>
      </c>
      <c r="G343" s="895">
        <v>401</v>
      </c>
      <c r="H343" s="532">
        <v>1160.5</v>
      </c>
      <c r="I343" s="1307">
        <f t="shared" si="8"/>
        <v>0.56</v>
      </c>
    </row>
    <row r="344" spans="1:9" ht="19.5" customHeight="1">
      <c r="A344" s="474">
        <f t="shared" si="9"/>
        <v>236</v>
      </c>
      <c r="B344" s="883" t="s">
        <v>691</v>
      </c>
      <c r="C344" s="884"/>
      <c r="D344" s="885"/>
      <c r="E344" s="894"/>
      <c r="F344" s="775">
        <v>47683</v>
      </c>
      <c r="G344" s="895">
        <v>170</v>
      </c>
      <c r="H344" s="532">
        <v>1301.5</v>
      </c>
      <c r="I344" s="1307">
        <f t="shared" si="8"/>
        <v>0.63</v>
      </c>
    </row>
    <row r="345" spans="1:9" ht="19.5" customHeight="1">
      <c r="A345" s="474">
        <f t="shared" si="9"/>
        <v>237</v>
      </c>
      <c r="B345" s="883" t="s">
        <v>691</v>
      </c>
      <c r="C345" s="884"/>
      <c r="D345" s="885"/>
      <c r="E345" s="894"/>
      <c r="F345" s="775">
        <v>16018.87054161481</v>
      </c>
      <c r="G345" s="895">
        <v>0</v>
      </c>
      <c r="H345" s="532">
        <v>408</v>
      </c>
      <c r="I345" s="1307">
        <f t="shared" si="8"/>
        <v>0.2</v>
      </c>
    </row>
    <row r="346" spans="1:9" ht="19.5" customHeight="1">
      <c r="A346" s="474">
        <f t="shared" si="9"/>
        <v>238</v>
      </c>
      <c r="B346" s="883" t="s">
        <v>691</v>
      </c>
      <c r="C346" s="884"/>
      <c r="D346" s="885"/>
      <c r="E346" s="894"/>
      <c r="F346" s="775">
        <v>27864</v>
      </c>
      <c r="G346" s="895">
        <v>0</v>
      </c>
      <c r="H346" s="532">
        <v>624.95</v>
      </c>
      <c r="I346" s="1307">
        <f t="shared" si="8"/>
        <v>0.3</v>
      </c>
    </row>
    <row r="347" spans="1:9" ht="19.5" customHeight="1">
      <c r="A347" s="474">
        <f t="shared" si="9"/>
        <v>239</v>
      </c>
      <c r="B347" s="883" t="s">
        <v>691</v>
      </c>
      <c r="C347" s="884"/>
      <c r="D347" s="885"/>
      <c r="E347" s="894"/>
      <c r="F347" s="775">
        <v>18122.319416344482</v>
      </c>
      <c r="G347" s="895">
        <v>0</v>
      </c>
      <c r="H347" s="532">
        <v>464.99999999999994</v>
      </c>
      <c r="I347" s="1307">
        <f t="shared" si="8"/>
        <v>0.22</v>
      </c>
    </row>
    <row r="348" spans="1:9" ht="19.5" customHeight="1">
      <c r="A348" s="474">
        <f t="shared" si="9"/>
        <v>240</v>
      </c>
      <c r="B348" s="883" t="s">
        <v>691</v>
      </c>
      <c r="C348" s="884"/>
      <c r="D348" s="885"/>
      <c r="E348" s="894"/>
      <c r="F348" s="775">
        <v>33256.27363541547</v>
      </c>
      <c r="G348" s="895">
        <v>0</v>
      </c>
      <c r="H348" s="532">
        <v>927.8</v>
      </c>
      <c r="I348" s="1307">
        <f t="shared" si="8"/>
        <v>0.45</v>
      </c>
    </row>
    <row r="349" spans="1:9" ht="19.5" customHeight="1">
      <c r="A349" s="474">
        <f t="shared" si="9"/>
        <v>241</v>
      </c>
      <c r="B349" s="883" t="s">
        <v>691</v>
      </c>
      <c r="C349" s="884"/>
      <c r="D349" s="885"/>
      <c r="E349" s="894"/>
      <c r="F349" s="775">
        <v>17832.568674916074</v>
      </c>
      <c r="G349" s="895">
        <v>0</v>
      </c>
      <c r="H349" s="532">
        <v>452.5</v>
      </c>
      <c r="I349" s="1307">
        <f t="shared" si="8"/>
        <v>0.22</v>
      </c>
    </row>
    <row r="350" spans="1:9" ht="19.5" customHeight="1">
      <c r="A350" s="474">
        <f t="shared" si="9"/>
        <v>242</v>
      </c>
      <c r="B350" s="883" t="s">
        <v>691</v>
      </c>
      <c r="C350" s="884"/>
      <c r="D350" s="885"/>
      <c r="E350" s="894"/>
      <c r="F350" s="775">
        <v>16742.36547538624</v>
      </c>
      <c r="G350" s="895">
        <v>0</v>
      </c>
      <c r="H350" s="532">
        <v>473.25</v>
      </c>
      <c r="I350" s="1307">
        <f t="shared" si="8"/>
        <v>0.23</v>
      </c>
    </row>
    <row r="351" spans="1:9" ht="19.5" customHeight="1">
      <c r="A351" s="474">
        <f t="shared" si="9"/>
        <v>243</v>
      </c>
      <c r="B351" s="883" t="s">
        <v>691</v>
      </c>
      <c r="C351" s="884"/>
      <c r="D351" s="885"/>
      <c r="E351" s="894"/>
      <c r="F351" s="775">
        <v>19509.749631967417</v>
      </c>
      <c r="G351" s="895">
        <v>0</v>
      </c>
      <c r="H351" s="532">
        <v>501</v>
      </c>
      <c r="I351" s="1307">
        <f t="shared" si="8"/>
        <v>0.24</v>
      </c>
    </row>
    <row r="352" spans="1:9" ht="19.5" customHeight="1">
      <c r="A352" s="474">
        <f t="shared" si="9"/>
        <v>244</v>
      </c>
      <c r="B352" s="883" t="s">
        <v>691</v>
      </c>
      <c r="C352" s="884"/>
      <c r="D352" s="885"/>
      <c r="E352" s="894"/>
      <c r="F352" s="775">
        <v>38447.033095842926</v>
      </c>
      <c r="G352" s="895">
        <v>7</v>
      </c>
      <c r="H352" s="532">
        <v>1018.6</v>
      </c>
      <c r="I352" s="1307">
        <f t="shared" si="8"/>
        <v>0.49</v>
      </c>
    </row>
    <row r="353" spans="1:9" ht="19.5" customHeight="1">
      <c r="A353" s="474">
        <f t="shared" si="9"/>
        <v>245</v>
      </c>
      <c r="B353" s="883" t="s">
        <v>691</v>
      </c>
      <c r="C353" s="884"/>
      <c r="D353" s="885"/>
      <c r="E353" s="894"/>
      <c r="F353" s="775">
        <v>84475.53985792701</v>
      </c>
      <c r="G353" s="895">
        <v>0</v>
      </c>
      <c r="H353" s="532">
        <v>2256.75</v>
      </c>
      <c r="I353" s="1307">
        <f t="shared" si="8"/>
        <v>1.08</v>
      </c>
    </row>
    <row r="354" spans="1:9" ht="19.5" customHeight="1">
      <c r="A354" s="474">
        <f t="shared" si="9"/>
        <v>246</v>
      </c>
      <c r="B354" s="883" t="s">
        <v>737</v>
      </c>
      <c r="C354" s="884"/>
      <c r="D354" s="885"/>
      <c r="E354" s="894"/>
      <c r="F354" s="775">
        <v>28488.865744238174</v>
      </c>
      <c r="G354" s="895">
        <v>0</v>
      </c>
      <c r="H354" s="532">
        <v>688.5</v>
      </c>
      <c r="I354" s="1307">
        <f t="shared" si="8"/>
        <v>0.33</v>
      </c>
    </row>
    <row r="355" spans="1:9" ht="19.5" customHeight="1">
      <c r="A355" s="474">
        <f t="shared" si="9"/>
        <v>247</v>
      </c>
      <c r="B355" s="883" t="s">
        <v>737</v>
      </c>
      <c r="C355" s="884"/>
      <c r="D355" s="885"/>
      <c r="E355" s="894"/>
      <c r="F355" s="775">
        <v>9030.908856864768</v>
      </c>
      <c r="G355" s="895">
        <f>363-233</f>
        <v>130</v>
      </c>
      <c r="H355" s="532">
        <v>195.25</v>
      </c>
      <c r="I355" s="1307">
        <f t="shared" si="8"/>
        <v>0.09</v>
      </c>
    </row>
    <row r="356" spans="1:9" ht="19.5" customHeight="1">
      <c r="A356" s="474">
        <f t="shared" si="9"/>
        <v>248</v>
      </c>
      <c r="B356" s="883" t="s">
        <v>737</v>
      </c>
      <c r="C356" s="884"/>
      <c r="D356" s="885"/>
      <c r="E356" s="894"/>
      <c r="F356" s="775">
        <v>8389.91351161847</v>
      </c>
      <c r="G356" s="895">
        <v>0</v>
      </c>
      <c r="H356" s="532">
        <v>240</v>
      </c>
      <c r="I356" s="1307">
        <f t="shared" si="8"/>
        <v>0.12</v>
      </c>
    </row>
    <row r="357" spans="1:9" ht="19.5" customHeight="1">
      <c r="A357" s="474">
        <f t="shared" si="9"/>
        <v>249</v>
      </c>
      <c r="B357" s="883" t="s">
        <v>737</v>
      </c>
      <c r="C357" s="884"/>
      <c r="D357" s="885"/>
      <c r="E357" s="894"/>
      <c r="F357" s="775">
        <v>14864.237087635503</v>
      </c>
      <c r="G357" s="895">
        <v>77</v>
      </c>
      <c r="H357" s="532">
        <v>360.75</v>
      </c>
      <c r="I357" s="1307">
        <f t="shared" si="8"/>
        <v>0.17</v>
      </c>
    </row>
    <row r="358" spans="1:9" ht="19.5" customHeight="1">
      <c r="A358" s="474">
        <f t="shared" si="9"/>
        <v>250</v>
      </c>
      <c r="B358" s="883" t="s">
        <v>737</v>
      </c>
      <c r="C358" s="884"/>
      <c r="D358" s="885"/>
      <c r="E358" s="894"/>
      <c r="F358" s="775">
        <v>17411.502079692134</v>
      </c>
      <c r="G358" s="895">
        <v>9</v>
      </c>
      <c r="H358" s="532">
        <v>449.25</v>
      </c>
      <c r="I358" s="1307">
        <f t="shared" si="8"/>
        <v>0.22</v>
      </c>
    </row>
    <row r="359" spans="1:9" ht="19.5" customHeight="1">
      <c r="A359" s="474">
        <f t="shared" si="9"/>
        <v>251</v>
      </c>
      <c r="B359" s="883" t="s">
        <v>737</v>
      </c>
      <c r="C359" s="884"/>
      <c r="D359" s="885"/>
      <c r="E359" s="894"/>
      <c r="F359" s="775">
        <v>4738.314559606783</v>
      </c>
      <c r="G359" s="895">
        <v>0</v>
      </c>
      <c r="H359" s="532">
        <v>147.75</v>
      </c>
      <c r="I359" s="1307">
        <f t="shared" si="8"/>
        <v>0.07</v>
      </c>
    </row>
    <row r="360" spans="1:9" ht="19.5" customHeight="1">
      <c r="A360" s="474">
        <f t="shared" si="9"/>
        <v>252</v>
      </c>
      <c r="B360" s="883" t="s">
        <v>737</v>
      </c>
      <c r="C360" s="884"/>
      <c r="D360" s="885"/>
      <c r="E360" s="894"/>
      <c r="F360" s="775">
        <v>389.0168279616254</v>
      </c>
      <c r="G360" s="895">
        <v>0</v>
      </c>
      <c r="H360" s="532">
        <v>11.675</v>
      </c>
      <c r="I360" s="1307">
        <f t="shared" si="8"/>
        <v>0.01</v>
      </c>
    </row>
    <row r="361" spans="1:9" ht="19.5" customHeight="1">
      <c r="A361" s="474">
        <f t="shared" si="9"/>
        <v>253</v>
      </c>
      <c r="B361" s="883" t="s">
        <v>737</v>
      </c>
      <c r="C361" s="884"/>
      <c r="D361" s="885"/>
      <c r="E361" s="894"/>
      <c r="F361" s="775">
        <v>2744.724830821294</v>
      </c>
      <c r="G361" s="895">
        <v>26</v>
      </c>
      <c r="H361" s="532">
        <v>78.25</v>
      </c>
      <c r="I361" s="1307">
        <f t="shared" si="8"/>
        <v>0.04</v>
      </c>
    </row>
    <row r="362" spans="1:9" ht="19.5" customHeight="1">
      <c r="A362" s="474">
        <f t="shared" si="9"/>
        <v>254</v>
      </c>
      <c r="B362" s="883" t="s">
        <v>737</v>
      </c>
      <c r="C362" s="884"/>
      <c r="D362" s="885"/>
      <c r="E362" s="894"/>
      <c r="F362" s="775">
        <v>12053.237988238321</v>
      </c>
      <c r="G362" s="895">
        <v>17</v>
      </c>
      <c r="H362" s="532">
        <v>316.5</v>
      </c>
      <c r="I362" s="1307">
        <f t="shared" si="8"/>
        <v>0.15</v>
      </c>
    </row>
    <row r="363" spans="1:9" ht="19.5" customHeight="1">
      <c r="A363" s="474">
        <f t="shared" si="9"/>
        <v>255</v>
      </c>
      <c r="B363" s="883" t="s">
        <v>737</v>
      </c>
      <c r="C363" s="884"/>
      <c r="D363" s="885"/>
      <c r="E363" s="894"/>
      <c r="F363" s="775">
        <v>7073.147119937558</v>
      </c>
      <c r="G363" s="895">
        <v>510</v>
      </c>
      <c r="H363" s="532">
        <v>190.75</v>
      </c>
      <c r="I363" s="1307">
        <f t="shared" si="8"/>
        <v>0.09</v>
      </c>
    </row>
    <row r="364" spans="1:9" ht="19.5" customHeight="1">
      <c r="A364" s="474">
        <f t="shared" si="9"/>
        <v>256</v>
      </c>
      <c r="B364" s="883" t="s">
        <v>737</v>
      </c>
      <c r="C364" s="884"/>
      <c r="D364" s="885"/>
      <c r="E364" s="894"/>
      <c r="F364" s="775">
        <v>16339.628781451476</v>
      </c>
      <c r="G364" s="895">
        <v>888</v>
      </c>
      <c r="H364" s="532">
        <v>436</v>
      </c>
      <c r="I364" s="1307">
        <f t="shared" si="8"/>
        <v>0.21</v>
      </c>
    </row>
    <row r="365" spans="1:9" ht="19.5" customHeight="1">
      <c r="A365" s="474">
        <f t="shared" si="9"/>
        <v>257</v>
      </c>
      <c r="B365" s="883" t="s">
        <v>737</v>
      </c>
      <c r="C365" s="884"/>
      <c r="D365" s="885"/>
      <c r="E365" s="894"/>
      <c r="F365" s="775">
        <v>1645.3316261071143</v>
      </c>
      <c r="G365" s="895">
        <v>0</v>
      </c>
      <c r="H365" s="532">
        <v>49.75</v>
      </c>
      <c r="I365" s="1307">
        <f aca="true" t="shared" si="10" ref="I365:I426">ROUND(H365/2080,2)</f>
        <v>0.02</v>
      </c>
    </row>
    <row r="366" spans="1:9" ht="19.5" customHeight="1">
      <c r="A366" s="474">
        <f t="shared" si="9"/>
        <v>258</v>
      </c>
      <c r="B366" s="883" t="s">
        <v>737</v>
      </c>
      <c r="C366" s="884"/>
      <c r="D366" s="885"/>
      <c r="E366" s="894"/>
      <c r="F366" s="775">
        <v>183.45936194619665</v>
      </c>
      <c r="G366" s="895">
        <v>0</v>
      </c>
      <c r="H366" s="532">
        <v>5.236</v>
      </c>
      <c r="I366" s="1307">
        <f t="shared" si="10"/>
        <v>0</v>
      </c>
    </row>
    <row r="367" spans="1:9" ht="19.5" customHeight="1">
      <c r="A367" s="474">
        <f aca="true" t="shared" si="11" ref="A367:A427">+A366+1</f>
        <v>259</v>
      </c>
      <c r="B367" s="883" t="s">
        <v>737</v>
      </c>
      <c r="C367" s="884"/>
      <c r="D367" s="885"/>
      <c r="E367" s="894"/>
      <c r="F367" s="775">
        <v>1972.2933699886103</v>
      </c>
      <c r="G367" s="895">
        <v>33</v>
      </c>
      <c r="H367" s="532">
        <v>61.5</v>
      </c>
      <c r="I367" s="1307">
        <f t="shared" si="10"/>
        <v>0.03</v>
      </c>
    </row>
    <row r="368" spans="1:9" ht="19.5" customHeight="1">
      <c r="A368" s="474">
        <f t="shared" si="11"/>
        <v>260</v>
      </c>
      <c r="B368" s="883" t="s">
        <v>737</v>
      </c>
      <c r="C368" s="884"/>
      <c r="D368" s="885"/>
      <c r="E368" s="894"/>
      <c r="F368" s="775">
        <v>18698.704114455024</v>
      </c>
      <c r="G368" s="895">
        <v>1419</v>
      </c>
      <c r="H368" s="532">
        <v>476.75</v>
      </c>
      <c r="I368" s="1307">
        <f t="shared" si="10"/>
        <v>0.23</v>
      </c>
    </row>
    <row r="369" spans="1:9" ht="19.5" customHeight="1">
      <c r="A369" s="474">
        <f t="shared" si="11"/>
        <v>261</v>
      </c>
      <c r="B369" s="883" t="s">
        <v>737</v>
      </c>
      <c r="C369" s="884"/>
      <c r="D369" s="885"/>
      <c r="E369" s="894"/>
      <c r="F369" s="775">
        <v>633.3787651589439</v>
      </c>
      <c r="G369" s="895">
        <v>0</v>
      </c>
      <c r="H369" s="532">
        <v>19.75</v>
      </c>
      <c r="I369" s="1307">
        <f t="shared" si="10"/>
        <v>0.01</v>
      </c>
    </row>
    <row r="370" spans="1:9" ht="19.5" customHeight="1">
      <c r="A370" s="474">
        <f t="shared" si="11"/>
        <v>262</v>
      </c>
      <c r="B370" s="883" t="s">
        <v>737</v>
      </c>
      <c r="C370" s="884"/>
      <c r="D370" s="885"/>
      <c r="E370" s="894"/>
      <c r="F370" s="775">
        <v>9659.156452280653</v>
      </c>
      <c r="G370" s="895">
        <v>59</v>
      </c>
      <c r="H370" s="532">
        <v>271.5</v>
      </c>
      <c r="I370" s="1307">
        <f t="shared" si="10"/>
        <v>0.13</v>
      </c>
    </row>
    <row r="371" spans="1:9" ht="19.5" customHeight="1">
      <c r="A371" s="474">
        <f t="shared" si="11"/>
        <v>263</v>
      </c>
      <c r="B371" s="883" t="s">
        <v>737</v>
      </c>
      <c r="C371" s="884"/>
      <c r="D371" s="885"/>
      <c r="E371" s="894"/>
      <c r="F371" s="775">
        <v>15023.263262406737</v>
      </c>
      <c r="G371" s="895">
        <v>75</v>
      </c>
      <c r="H371" s="532">
        <v>389</v>
      </c>
      <c r="I371" s="1307">
        <f t="shared" si="10"/>
        <v>0.19</v>
      </c>
    </row>
    <row r="372" spans="1:9" ht="19.5" customHeight="1">
      <c r="A372" s="474">
        <f t="shared" si="11"/>
        <v>264</v>
      </c>
      <c r="B372" s="883" t="s">
        <v>737</v>
      </c>
      <c r="C372" s="884"/>
      <c r="D372" s="885"/>
      <c r="E372" s="894"/>
      <c r="F372" s="775">
        <v>4681.440754349235</v>
      </c>
      <c r="G372" s="895">
        <v>23</v>
      </c>
      <c r="H372" s="532">
        <v>126.25</v>
      </c>
      <c r="I372" s="1307">
        <f t="shared" si="10"/>
        <v>0.06</v>
      </c>
    </row>
    <row r="373" spans="1:9" ht="19.5" customHeight="1">
      <c r="A373" s="474">
        <f t="shared" si="11"/>
        <v>265</v>
      </c>
      <c r="B373" s="883" t="s">
        <v>737</v>
      </c>
      <c r="C373" s="884"/>
      <c r="D373" s="885"/>
      <c r="E373" s="894"/>
      <c r="F373" s="775">
        <v>3622</v>
      </c>
      <c r="G373" s="895">
        <v>0</v>
      </c>
      <c r="H373" s="532">
        <v>103.25</v>
      </c>
      <c r="I373" s="1307">
        <f t="shared" si="10"/>
        <v>0.05</v>
      </c>
    </row>
    <row r="374" spans="1:9" ht="19.5" customHeight="1">
      <c r="A374" s="474">
        <f t="shared" si="11"/>
        <v>266</v>
      </c>
      <c r="B374" s="883" t="s">
        <v>737</v>
      </c>
      <c r="C374" s="884"/>
      <c r="D374" s="885"/>
      <c r="E374" s="894"/>
      <c r="F374" s="775">
        <v>7854.598215084214</v>
      </c>
      <c r="G374" s="895">
        <v>574</v>
      </c>
      <c r="H374" s="532">
        <v>206.25</v>
      </c>
      <c r="I374" s="1307">
        <f t="shared" si="10"/>
        <v>0.1</v>
      </c>
    </row>
    <row r="375" spans="1:9" ht="19.5" customHeight="1">
      <c r="A375" s="474">
        <f t="shared" si="11"/>
        <v>267</v>
      </c>
      <c r="B375" s="883" t="s">
        <v>737</v>
      </c>
      <c r="C375" s="884"/>
      <c r="D375" s="885"/>
      <c r="E375" s="894"/>
      <c r="F375" s="775">
        <v>16379.655914173702</v>
      </c>
      <c r="G375" s="895">
        <v>1947</v>
      </c>
      <c r="H375" s="532">
        <v>505</v>
      </c>
      <c r="I375" s="1307">
        <f t="shared" si="10"/>
        <v>0.24</v>
      </c>
    </row>
    <row r="376" spans="1:9" ht="19.5" customHeight="1">
      <c r="A376" s="474">
        <f t="shared" si="11"/>
        <v>268</v>
      </c>
      <c r="B376" s="883" t="s">
        <v>737</v>
      </c>
      <c r="C376" s="884"/>
      <c r="D376" s="885"/>
      <c r="E376" s="894"/>
      <c r="F376" s="775">
        <v>248.03994363423834</v>
      </c>
      <c r="G376" s="895">
        <v>0</v>
      </c>
      <c r="H376" s="532">
        <v>7.5</v>
      </c>
      <c r="I376" s="1307">
        <f t="shared" si="10"/>
        <v>0</v>
      </c>
    </row>
    <row r="377" spans="1:9" ht="19.5" customHeight="1">
      <c r="A377" s="474">
        <f t="shared" si="11"/>
        <v>269</v>
      </c>
      <c r="B377" s="883" t="s">
        <v>737</v>
      </c>
      <c r="C377" s="884"/>
      <c r="D377" s="885"/>
      <c r="E377" s="894"/>
      <c r="F377" s="775">
        <v>1491.246206576754</v>
      </c>
      <c r="G377" s="895">
        <v>0</v>
      </c>
      <c r="H377" s="532">
        <v>46.5</v>
      </c>
      <c r="I377" s="1307">
        <f t="shared" si="10"/>
        <v>0.02</v>
      </c>
    </row>
    <row r="378" spans="1:9" ht="19.5" customHeight="1">
      <c r="A378" s="474">
        <f t="shared" si="11"/>
        <v>270</v>
      </c>
      <c r="B378" s="883" t="s">
        <v>737</v>
      </c>
      <c r="C378" s="884"/>
      <c r="D378" s="885"/>
      <c r="E378" s="894"/>
      <c r="F378" s="775">
        <v>4058.8354412875365</v>
      </c>
      <c r="G378" s="895">
        <v>146</v>
      </c>
      <c r="H378" s="532">
        <v>112.5</v>
      </c>
      <c r="I378" s="1307">
        <f t="shared" si="10"/>
        <v>0.05</v>
      </c>
    </row>
    <row r="379" spans="1:9" ht="19.5" customHeight="1">
      <c r="A379" s="474">
        <f t="shared" si="11"/>
        <v>271</v>
      </c>
      <c r="B379" s="883" t="s">
        <v>737</v>
      </c>
      <c r="C379" s="884"/>
      <c r="D379" s="885"/>
      <c r="E379" s="894"/>
      <c r="F379" s="775">
        <v>11149.019648262598</v>
      </c>
      <c r="G379" s="895">
        <v>0</v>
      </c>
      <c r="H379" s="532">
        <v>282.25</v>
      </c>
      <c r="I379" s="1307">
        <f t="shared" si="10"/>
        <v>0.14</v>
      </c>
    </row>
    <row r="380" spans="1:9" ht="19.5" customHeight="1">
      <c r="A380" s="474">
        <f t="shared" si="11"/>
        <v>272</v>
      </c>
      <c r="B380" s="883" t="s">
        <v>737</v>
      </c>
      <c r="C380" s="884"/>
      <c r="D380" s="885"/>
      <c r="E380" s="894"/>
      <c r="F380" s="775">
        <v>4180.851049923773</v>
      </c>
      <c r="G380" s="895">
        <v>0</v>
      </c>
      <c r="H380" s="532">
        <v>112.75</v>
      </c>
      <c r="I380" s="1307">
        <f t="shared" si="10"/>
        <v>0.05</v>
      </c>
    </row>
    <row r="381" spans="1:9" ht="19.5" customHeight="1">
      <c r="A381" s="474">
        <f t="shared" si="11"/>
        <v>273</v>
      </c>
      <c r="B381" s="883" t="s">
        <v>737</v>
      </c>
      <c r="C381" s="884"/>
      <c r="D381" s="885"/>
      <c r="E381" s="894"/>
      <c r="F381" s="775">
        <v>1686.6716167128207</v>
      </c>
      <c r="G381" s="895">
        <v>0</v>
      </c>
      <c r="H381" s="532">
        <v>51</v>
      </c>
      <c r="I381" s="1307">
        <f t="shared" si="10"/>
        <v>0.02</v>
      </c>
    </row>
    <row r="382" spans="1:9" ht="19.5" customHeight="1">
      <c r="A382" s="474">
        <f t="shared" si="11"/>
        <v>274</v>
      </c>
      <c r="B382" s="883" t="s">
        <v>737</v>
      </c>
      <c r="C382" s="884"/>
      <c r="D382" s="885"/>
      <c r="E382" s="894"/>
      <c r="F382" s="775">
        <v>9623.949813008448</v>
      </c>
      <c r="G382" s="895">
        <v>0</v>
      </c>
      <c r="H382" s="532">
        <v>291</v>
      </c>
      <c r="I382" s="1307">
        <f t="shared" si="10"/>
        <v>0.14</v>
      </c>
    </row>
    <row r="383" spans="1:9" ht="19.5" customHeight="1">
      <c r="A383" s="474">
        <f t="shared" si="11"/>
        <v>275</v>
      </c>
      <c r="B383" s="883" t="s">
        <v>737</v>
      </c>
      <c r="C383" s="884"/>
      <c r="D383" s="885"/>
      <c r="E383" s="894"/>
      <c r="F383" s="775">
        <v>5702.914340406599</v>
      </c>
      <c r="G383" s="895">
        <v>0</v>
      </c>
      <c r="H383" s="532">
        <v>149.75</v>
      </c>
      <c r="I383" s="1307">
        <f t="shared" si="10"/>
        <v>0.07</v>
      </c>
    </row>
    <row r="384" spans="1:9" ht="19.5" customHeight="1">
      <c r="A384" s="474">
        <f t="shared" si="11"/>
        <v>276</v>
      </c>
      <c r="B384" s="883" t="s">
        <v>737</v>
      </c>
      <c r="C384" s="884"/>
      <c r="D384" s="885"/>
      <c r="E384" s="894"/>
      <c r="F384" s="775">
        <v>4255.012487616434</v>
      </c>
      <c r="G384" s="895">
        <v>0</v>
      </c>
      <c r="H384" s="532">
        <v>122.25</v>
      </c>
      <c r="I384" s="1307">
        <f t="shared" si="10"/>
        <v>0.06</v>
      </c>
    </row>
    <row r="385" spans="1:9" ht="19.5" customHeight="1">
      <c r="A385" s="474">
        <f t="shared" si="11"/>
        <v>277</v>
      </c>
      <c r="B385" s="883" t="s">
        <v>737</v>
      </c>
      <c r="C385" s="884"/>
      <c r="D385" s="885"/>
      <c r="E385" s="894"/>
      <c r="F385" s="775">
        <v>517.3762460653558</v>
      </c>
      <c r="G385" s="895">
        <v>0</v>
      </c>
      <c r="H385" s="532">
        <v>14.75</v>
      </c>
      <c r="I385" s="1307">
        <f t="shared" si="10"/>
        <v>0.01</v>
      </c>
    </row>
    <row r="386" spans="1:9" ht="19.5" customHeight="1">
      <c r="A386" s="474">
        <f t="shared" si="11"/>
        <v>278</v>
      </c>
      <c r="B386" s="883" t="s">
        <v>737</v>
      </c>
      <c r="C386" s="884"/>
      <c r="D386" s="885"/>
      <c r="E386" s="894"/>
      <c r="F386" s="775">
        <v>5283.501344806887</v>
      </c>
      <c r="G386" s="895">
        <v>707</v>
      </c>
      <c r="H386" s="532">
        <v>164.75</v>
      </c>
      <c r="I386" s="1307">
        <f t="shared" si="10"/>
        <v>0.08</v>
      </c>
    </row>
    <row r="387" spans="1:9" ht="19.5" customHeight="1">
      <c r="A387" s="474">
        <f t="shared" si="11"/>
        <v>279</v>
      </c>
      <c r="B387" s="883" t="s">
        <v>737</v>
      </c>
      <c r="C387" s="884"/>
      <c r="D387" s="885"/>
      <c r="E387" s="894"/>
      <c r="F387" s="775">
        <v>27654.21885027089</v>
      </c>
      <c r="G387" s="895">
        <v>1144</v>
      </c>
      <c r="H387" s="532">
        <v>755.25</v>
      </c>
      <c r="I387" s="1307">
        <f t="shared" si="10"/>
        <v>0.36</v>
      </c>
    </row>
    <row r="388" spans="1:9" ht="19.5" customHeight="1">
      <c r="A388" s="474">
        <f t="shared" si="11"/>
        <v>280</v>
      </c>
      <c r="B388" s="883" t="s">
        <v>737</v>
      </c>
      <c r="C388" s="884"/>
      <c r="D388" s="885"/>
      <c r="E388" s="894"/>
      <c r="F388" s="775">
        <v>17789.474866527096</v>
      </c>
      <c r="G388" s="895">
        <v>545</v>
      </c>
      <c r="H388" s="532">
        <v>443.5</v>
      </c>
      <c r="I388" s="1307">
        <f t="shared" si="10"/>
        <v>0.21</v>
      </c>
    </row>
    <row r="389" spans="1:9" ht="19.5" customHeight="1">
      <c r="A389" s="474">
        <f t="shared" si="11"/>
        <v>281</v>
      </c>
      <c r="B389" s="883" t="s">
        <v>737</v>
      </c>
      <c r="C389" s="884"/>
      <c r="D389" s="885"/>
      <c r="E389" s="894"/>
      <c r="F389" s="775">
        <v>502.5940676063456</v>
      </c>
      <c r="G389" s="895">
        <v>0</v>
      </c>
      <c r="H389" s="532">
        <v>14.75</v>
      </c>
      <c r="I389" s="1307">
        <f t="shared" si="10"/>
        <v>0.01</v>
      </c>
    </row>
    <row r="390" spans="1:9" ht="19.5" customHeight="1">
      <c r="A390" s="474">
        <f t="shared" si="11"/>
        <v>282</v>
      </c>
      <c r="B390" s="883" t="s">
        <v>737</v>
      </c>
      <c r="C390" s="884"/>
      <c r="D390" s="885"/>
      <c r="E390" s="894"/>
      <c r="F390" s="775">
        <v>6629.431220769643</v>
      </c>
      <c r="G390" s="895">
        <v>147</v>
      </c>
      <c r="H390" s="532">
        <v>182</v>
      </c>
      <c r="I390" s="1307">
        <f t="shared" si="10"/>
        <v>0.09</v>
      </c>
    </row>
    <row r="391" spans="1:9" ht="19.5" customHeight="1">
      <c r="A391" s="474">
        <f t="shared" si="11"/>
        <v>283</v>
      </c>
      <c r="B391" s="883" t="s">
        <v>737</v>
      </c>
      <c r="C391" s="884"/>
      <c r="D391" s="885"/>
      <c r="E391" s="894"/>
      <c r="F391" s="775">
        <v>10058.14498706717</v>
      </c>
      <c r="G391" s="895">
        <v>2</v>
      </c>
      <c r="H391" s="532">
        <v>260</v>
      </c>
      <c r="I391" s="1307">
        <f t="shared" si="10"/>
        <v>0.13</v>
      </c>
    </row>
    <row r="392" spans="1:9" ht="19.5" customHeight="1">
      <c r="A392" s="474">
        <f t="shared" si="11"/>
        <v>284</v>
      </c>
      <c r="B392" s="883" t="s">
        <v>737</v>
      </c>
      <c r="C392" s="884"/>
      <c r="D392" s="885"/>
      <c r="E392" s="894"/>
      <c r="F392" s="775">
        <v>342.99664932855785</v>
      </c>
      <c r="G392" s="895">
        <v>0</v>
      </c>
      <c r="H392" s="532">
        <v>9.25</v>
      </c>
      <c r="I392" s="1307">
        <f t="shared" si="10"/>
        <v>0</v>
      </c>
    </row>
    <row r="393" spans="1:9" ht="19.5" customHeight="1">
      <c r="A393" s="474">
        <f t="shared" si="11"/>
        <v>285</v>
      </c>
      <c r="B393" s="883" t="s">
        <v>737</v>
      </c>
      <c r="C393" s="884"/>
      <c r="D393" s="885"/>
      <c r="E393" s="894"/>
      <c r="F393" s="775">
        <v>9157.093540917242</v>
      </c>
      <c r="G393" s="895">
        <v>411</v>
      </c>
      <c r="H393" s="532">
        <v>239.75</v>
      </c>
      <c r="I393" s="1307">
        <f t="shared" si="10"/>
        <v>0.12</v>
      </c>
    </row>
    <row r="394" spans="1:9" ht="19.5" customHeight="1">
      <c r="A394" s="474">
        <f t="shared" si="11"/>
        <v>286</v>
      </c>
      <c r="B394" s="883" t="s">
        <v>737</v>
      </c>
      <c r="C394" s="884"/>
      <c r="D394" s="885"/>
      <c r="E394" s="894"/>
      <c r="F394" s="775">
        <v>7471.764847535612</v>
      </c>
      <c r="G394" s="895">
        <v>0</v>
      </c>
      <c r="H394" s="532">
        <v>201.5</v>
      </c>
      <c r="I394" s="1307">
        <f t="shared" si="10"/>
        <v>0.1</v>
      </c>
    </row>
    <row r="395" spans="1:9" ht="19.5" customHeight="1">
      <c r="A395" s="474">
        <f t="shared" si="11"/>
        <v>287</v>
      </c>
      <c r="B395" s="883" t="s">
        <v>737</v>
      </c>
      <c r="C395" s="884"/>
      <c r="D395" s="885"/>
      <c r="E395" s="894"/>
      <c r="F395" s="775">
        <v>288.6282980471137</v>
      </c>
      <c r="G395" s="895">
        <v>0</v>
      </c>
      <c r="H395" s="532">
        <v>8</v>
      </c>
      <c r="I395" s="1307">
        <f t="shared" si="10"/>
        <v>0</v>
      </c>
    </row>
    <row r="396" spans="1:9" ht="19.5" customHeight="1">
      <c r="A396" s="474">
        <f t="shared" si="11"/>
        <v>288</v>
      </c>
      <c r="B396" s="883" t="s">
        <v>737</v>
      </c>
      <c r="C396" s="884"/>
      <c r="D396" s="885"/>
      <c r="E396" s="894"/>
      <c r="F396" s="775">
        <v>5959.97391835481</v>
      </c>
      <c r="G396" s="895">
        <v>379</v>
      </c>
      <c r="H396" s="532">
        <v>156.5</v>
      </c>
      <c r="I396" s="1307">
        <f t="shared" si="10"/>
        <v>0.08</v>
      </c>
    </row>
    <row r="397" spans="1:9" ht="19.5" customHeight="1">
      <c r="A397" s="474">
        <f t="shared" si="11"/>
        <v>289</v>
      </c>
      <c r="B397" s="883" t="s">
        <v>737</v>
      </c>
      <c r="C397" s="884"/>
      <c r="D397" s="885"/>
      <c r="E397" s="894"/>
      <c r="F397" s="775">
        <v>5493</v>
      </c>
      <c r="G397" s="895">
        <v>440</v>
      </c>
      <c r="H397" s="532">
        <v>152.25</v>
      </c>
      <c r="I397" s="1307">
        <f t="shared" si="10"/>
        <v>0.07</v>
      </c>
    </row>
    <row r="398" spans="1:9" ht="19.5" customHeight="1">
      <c r="A398" s="474">
        <f t="shared" si="11"/>
        <v>290</v>
      </c>
      <c r="B398" s="883" t="s">
        <v>737</v>
      </c>
      <c r="C398" s="884"/>
      <c r="D398" s="885"/>
      <c r="E398" s="894"/>
      <c r="F398" s="775">
        <v>9545</v>
      </c>
      <c r="G398" s="895">
        <v>758</v>
      </c>
      <c r="H398" s="532">
        <v>243.75</v>
      </c>
      <c r="I398" s="1307">
        <f t="shared" si="10"/>
        <v>0.12</v>
      </c>
    </row>
    <row r="399" spans="1:9" ht="19.5" customHeight="1">
      <c r="A399" s="474">
        <f t="shared" si="11"/>
        <v>291</v>
      </c>
      <c r="B399" s="883" t="s">
        <v>737</v>
      </c>
      <c r="C399" s="884"/>
      <c r="D399" s="885"/>
      <c r="E399" s="894"/>
      <c r="F399" s="775">
        <v>673.4660287765986</v>
      </c>
      <c r="G399" s="895">
        <v>0</v>
      </c>
      <c r="H399" s="532">
        <v>21</v>
      </c>
      <c r="I399" s="1307">
        <f t="shared" si="10"/>
        <v>0.01</v>
      </c>
    </row>
    <row r="400" spans="1:9" ht="19.5" customHeight="1">
      <c r="A400" s="474">
        <f t="shared" si="11"/>
        <v>292</v>
      </c>
      <c r="B400" s="883" t="s">
        <v>737</v>
      </c>
      <c r="C400" s="884"/>
      <c r="D400" s="885"/>
      <c r="E400" s="894"/>
      <c r="F400" s="775">
        <v>3667.18287574305</v>
      </c>
      <c r="G400" s="895">
        <v>0</v>
      </c>
      <c r="H400" s="532">
        <v>113</v>
      </c>
      <c r="I400" s="1307">
        <f t="shared" si="10"/>
        <v>0.05</v>
      </c>
    </row>
    <row r="401" spans="1:9" ht="19.5" customHeight="1">
      <c r="A401" s="474">
        <f t="shared" si="11"/>
        <v>293</v>
      </c>
      <c r="B401" s="883" t="s">
        <v>737</v>
      </c>
      <c r="C401" s="884"/>
      <c r="D401" s="885"/>
      <c r="E401" s="894"/>
      <c r="F401" s="906">
        <v>6525.204335363741</v>
      </c>
      <c r="G401" s="895">
        <v>0</v>
      </c>
      <c r="H401" s="532">
        <v>191.5</v>
      </c>
      <c r="I401" s="1307">
        <f t="shared" si="10"/>
        <v>0.09</v>
      </c>
    </row>
    <row r="402" spans="1:9" ht="19.5" customHeight="1">
      <c r="A402" s="474">
        <f t="shared" si="11"/>
        <v>294</v>
      </c>
      <c r="B402" s="883" t="s">
        <v>737</v>
      </c>
      <c r="C402" s="884"/>
      <c r="D402" s="885"/>
      <c r="E402" s="894"/>
      <c r="F402" s="906">
        <v>1508.2832936142574</v>
      </c>
      <c r="G402" s="895">
        <v>0</v>
      </c>
      <c r="H402" s="532">
        <v>43</v>
      </c>
      <c r="I402" s="1307">
        <f t="shared" si="10"/>
        <v>0.02</v>
      </c>
    </row>
    <row r="403" spans="1:9" ht="19.5" customHeight="1">
      <c r="A403" s="474">
        <f t="shared" si="11"/>
        <v>295</v>
      </c>
      <c r="B403" s="883" t="s">
        <v>737</v>
      </c>
      <c r="C403" s="884"/>
      <c r="D403" s="885"/>
      <c r="E403" s="894"/>
      <c r="F403" s="906">
        <v>4516.231119164977</v>
      </c>
      <c r="G403" s="895">
        <v>0</v>
      </c>
      <c r="H403" s="532">
        <v>132.5</v>
      </c>
      <c r="I403" s="1307">
        <f t="shared" si="10"/>
        <v>0.06</v>
      </c>
    </row>
    <row r="404" spans="1:9" ht="19.5" customHeight="1">
      <c r="A404" s="474">
        <f t="shared" si="11"/>
        <v>296</v>
      </c>
      <c r="B404" s="883" t="s">
        <v>737</v>
      </c>
      <c r="C404" s="884"/>
      <c r="D404" s="885"/>
      <c r="E404" s="894"/>
      <c r="F404" s="906">
        <v>10938.571536085816</v>
      </c>
      <c r="G404" s="895">
        <v>0</v>
      </c>
      <c r="H404" s="532">
        <v>324</v>
      </c>
      <c r="I404" s="1307">
        <f t="shared" si="10"/>
        <v>0.16</v>
      </c>
    </row>
    <row r="405" spans="1:9" ht="19.5" customHeight="1">
      <c r="A405" s="474">
        <f t="shared" si="11"/>
        <v>297</v>
      </c>
      <c r="B405" s="883" t="s">
        <v>737</v>
      </c>
      <c r="C405" s="884"/>
      <c r="D405" s="885"/>
      <c r="E405" s="894"/>
      <c r="F405" s="906">
        <v>10497.060436416872</v>
      </c>
      <c r="G405" s="895">
        <v>0</v>
      </c>
      <c r="H405" s="532">
        <v>292.75</v>
      </c>
      <c r="I405" s="1307">
        <f t="shared" si="10"/>
        <v>0.14</v>
      </c>
    </row>
    <row r="406" spans="1:9" ht="19.5" customHeight="1">
      <c r="A406" s="474">
        <f t="shared" si="11"/>
        <v>298</v>
      </c>
      <c r="B406" s="883" t="s">
        <v>737</v>
      </c>
      <c r="C406" s="884"/>
      <c r="D406" s="885"/>
      <c r="E406" s="894"/>
      <c r="F406" s="906">
        <v>5773.868797009848</v>
      </c>
      <c r="G406" s="895">
        <v>0</v>
      </c>
      <c r="H406" s="532">
        <v>168.25</v>
      </c>
      <c r="I406" s="1307">
        <f t="shared" si="10"/>
        <v>0.08</v>
      </c>
    </row>
    <row r="407" spans="1:9" ht="19.5" customHeight="1">
      <c r="A407" s="474">
        <f t="shared" si="11"/>
        <v>299</v>
      </c>
      <c r="B407" s="883" t="s">
        <v>895</v>
      </c>
      <c r="C407" s="884"/>
      <c r="D407" s="885"/>
      <c r="E407" s="894"/>
      <c r="F407" s="1309">
        <v>6757.961009743748</v>
      </c>
      <c r="G407" s="931">
        <v>889</v>
      </c>
      <c r="H407" s="532">
        <v>179</v>
      </c>
      <c r="I407" s="1307">
        <f t="shared" si="10"/>
        <v>0.09</v>
      </c>
    </row>
    <row r="408" spans="1:9" ht="19.5" customHeight="1">
      <c r="A408" s="474">
        <f t="shared" si="11"/>
        <v>300</v>
      </c>
      <c r="B408" s="883" t="s">
        <v>895</v>
      </c>
      <c r="C408" s="884"/>
      <c r="D408" s="885"/>
      <c r="E408" s="894"/>
      <c r="F408" s="775">
        <v>16189</v>
      </c>
      <c r="G408" s="895">
        <v>401</v>
      </c>
      <c r="H408" s="532">
        <v>432</v>
      </c>
      <c r="I408" s="1307">
        <f t="shared" si="10"/>
        <v>0.21</v>
      </c>
    </row>
    <row r="409" spans="1:9" ht="19.5" customHeight="1">
      <c r="A409" s="474">
        <f t="shared" si="11"/>
        <v>301</v>
      </c>
      <c r="B409" s="883" t="s">
        <v>895</v>
      </c>
      <c r="C409" s="884"/>
      <c r="D409" s="885"/>
      <c r="E409" s="894"/>
      <c r="F409" s="775">
        <v>2822.1433586828894</v>
      </c>
      <c r="G409" s="895">
        <v>0</v>
      </c>
      <c r="H409" s="532">
        <v>88</v>
      </c>
      <c r="I409" s="1307">
        <f t="shared" si="10"/>
        <v>0.04</v>
      </c>
    </row>
    <row r="410" spans="1:9" ht="19.5" customHeight="1">
      <c r="A410" s="474">
        <f t="shared" si="11"/>
        <v>302</v>
      </c>
      <c r="B410" s="883" t="s">
        <v>895</v>
      </c>
      <c r="C410" s="884"/>
      <c r="D410" s="885"/>
      <c r="E410" s="894"/>
      <c r="F410" s="1309">
        <v>10755.55</v>
      </c>
      <c r="G410" s="931">
        <v>118</v>
      </c>
      <c r="H410" s="532">
        <v>135.75</v>
      </c>
      <c r="I410" s="1307">
        <f t="shared" si="10"/>
        <v>0.07</v>
      </c>
    </row>
    <row r="411" spans="1:9" ht="19.5" customHeight="1">
      <c r="A411" s="474">
        <f t="shared" si="11"/>
        <v>303</v>
      </c>
      <c r="B411" s="883" t="s">
        <v>650</v>
      </c>
      <c r="C411" s="884"/>
      <c r="D411" s="885"/>
      <c r="E411" s="894"/>
      <c r="F411" s="775">
        <v>52351</v>
      </c>
      <c r="G411" s="895">
        <v>0</v>
      </c>
      <c r="H411" s="532">
        <v>2252.25</v>
      </c>
      <c r="I411" s="1307">
        <f t="shared" si="10"/>
        <v>1.08</v>
      </c>
    </row>
    <row r="412" spans="1:9" ht="19.5" customHeight="1">
      <c r="A412" s="474">
        <f t="shared" si="11"/>
        <v>304</v>
      </c>
      <c r="B412" s="883" t="s">
        <v>650</v>
      </c>
      <c r="C412" s="884"/>
      <c r="D412" s="885"/>
      <c r="E412" s="894"/>
      <c r="F412" s="775">
        <v>43909.14324369831</v>
      </c>
      <c r="G412" s="895">
        <v>0</v>
      </c>
      <c r="H412" s="532">
        <v>1981.77</v>
      </c>
      <c r="I412" s="1307">
        <f t="shared" si="10"/>
        <v>0.95</v>
      </c>
    </row>
    <row r="413" spans="1:9" ht="19.5" customHeight="1">
      <c r="A413" s="474">
        <f t="shared" si="11"/>
        <v>305</v>
      </c>
      <c r="B413" s="883" t="s">
        <v>650</v>
      </c>
      <c r="C413" s="884"/>
      <c r="D413" s="885"/>
      <c r="E413" s="894"/>
      <c r="F413" s="775">
        <v>45154.173477135395</v>
      </c>
      <c r="G413" s="895">
        <v>0</v>
      </c>
      <c r="H413" s="532">
        <v>2091</v>
      </c>
      <c r="I413" s="1307">
        <f t="shared" si="10"/>
        <v>1.01</v>
      </c>
    </row>
    <row r="414" spans="1:9" ht="19.5" customHeight="1">
      <c r="A414" s="474">
        <f t="shared" si="11"/>
        <v>306</v>
      </c>
      <c r="B414" s="883" t="s">
        <v>650</v>
      </c>
      <c r="C414" s="884"/>
      <c r="D414" s="885"/>
      <c r="E414" s="894"/>
      <c r="F414" s="775">
        <v>41755.05413320357</v>
      </c>
      <c r="G414" s="895">
        <v>0</v>
      </c>
      <c r="H414" s="532">
        <v>1927.5</v>
      </c>
      <c r="I414" s="1307">
        <f t="shared" si="10"/>
        <v>0.93</v>
      </c>
    </row>
    <row r="415" spans="1:9" ht="19.5" customHeight="1">
      <c r="A415" s="474">
        <f t="shared" si="11"/>
        <v>307</v>
      </c>
      <c r="B415" s="883" t="s">
        <v>650</v>
      </c>
      <c r="C415" s="884"/>
      <c r="D415" s="885"/>
      <c r="E415" s="894"/>
      <c r="F415" s="775">
        <v>46156</v>
      </c>
      <c r="G415" s="895">
        <v>0</v>
      </c>
      <c r="H415" s="532">
        <v>1751.5</v>
      </c>
      <c r="I415" s="1307">
        <f t="shared" si="10"/>
        <v>0.84</v>
      </c>
    </row>
    <row r="416" spans="1:9" ht="19.5" customHeight="1">
      <c r="A416" s="474">
        <f t="shared" si="11"/>
        <v>308</v>
      </c>
      <c r="B416" s="883" t="s">
        <v>650</v>
      </c>
      <c r="C416" s="884"/>
      <c r="D416" s="885"/>
      <c r="E416" s="894"/>
      <c r="F416" s="775">
        <v>10692.746413766452</v>
      </c>
      <c r="G416" s="895">
        <v>0</v>
      </c>
      <c r="H416" s="532">
        <v>527.5</v>
      </c>
      <c r="I416" s="1307">
        <f t="shared" si="10"/>
        <v>0.25</v>
      </c>
    </row>
    <row r="417" spans="1:9" ht="19.5" customHeight="1">
      <c r="A417" s="474">
        <f t="shared" si="11"/>
        <v>309</v>
      </c>
      <c r="B417" s="883" t="s">
        <v>650</v>
      </c>
      <c r="C417" s="884"/>
      <c r="D417" s="885"/>
      <c r="E417" s="894"/>
      <c r="F417" s="775">
        <v>36368.31806276535</v>
      </c>
      <c r="G417" s="895">
        <v>0</v>
      </c>
      <c r="H417" s="532">
        <v>1190.5000000000002</v>
      </c>
      <c r="I417" s="1307">
        <f t="shared" si="10"/>
        <v>0.57</v>
      </c>
    </row>
    <row r="418" spans="1:9" ht="19.5" customHeight="1">
      <c r="A418" s="474">
        <f t="shared" si="11"/>
        <v>310</v>
      </c>
      <c r="B418" s="883" t="s">
        <v>650</v>
      </c>
      <c r="C418" s="884"/>
      <c r="D418" s="885"/>
      <c r="E418" s="894"/>
      <c r="F418" s="775">
        <v>57204</v>
      </c>
      <c r="G418" s="895">
        <v>0</v>
      </c>
      <c r="H418" s="532">
        <v>2531.5</v>
      </c>
      <c r="I418" s="1307">
        <f t="shared" si="10"/>
        <v>1.22</v>
      </c>
    </row>
    <row r="419" spans="1:9" ht="19.5" customHeight="1">
      <c r="A419" s="474">
        <f t="shared" si="11"/>
        <v>311</v>
      </c>
      <c r="B419" s="883" t="s">
        <v>650</v>
      </c>
      <c r="C419" s="884"/>
      <c r="D419" s="885"/>
      <c r="E419" s="894"/>
      <c r="F419" s="775">
        <v>49886.40479448819</v>
      </c>
      <c r="G419" s="895">
        <v>0</v>
      </c>
      <c r="H419" s="532">
        <v>2184</v>
      </c>
      <c r="I419" s="1307">
        <f t="shared" si="10"/>
        <v>1.05</v>
      </c>
    </row>
    <row r="420" spans="1:9" ht="19.5" customHeight="1">
      <c r="A420" s="474">
        <f t="shared" si="11"/>
        <v>312</v>
      </c>
      <c r="B420" s="883" t="s">
        <v>650</v>
      </c>
      <c r="C420" s="884"/>
      <c r="D420" s="885"/>
      <c r="E420" s="894"/>
      <c r="F420" s="775">
        <v>55119.65675435034</v>
      </c>
      <c r="G420" s="895">
        <v>0</v>
      </c>
      <c r="H420" s="532">
        <v>2219</v>
      </c>
      <c r="I420" s="1307">
        <f t="shared" si="10"/>
        <v>1.07</v>
      </c>
    </row>
    <row r="421" spans="1:9" ht="19.5" customHeight="1">
      <c r="A421" s="474">
        <f t="shared" si="11"/>
        <v>313</v>
      </c>
      <c r="B421" s="883" t="s">
        <v>650</v>
      </c>
      <c r="C421" s="884"/>
      <c r="D421" s="885"/>
      <c r="E421" s="894"/>
      <c r="F421" s="775">
        <v>41604</v>
      </c>
      <c r="G421" s="895">
        <v>0</v>
      </c>
      <c r="H421" s="532">
        <v>1556.25</v>
      </c>
      <c r="I421" s="1307">
        <f t="shared" si="10"/>
        <v>0.75</v>
      </c>
    </row>
    <row r="422" spans="1:9" ht="19.5" customHeight="1">
      <c r="A422" s="474">
        <f t="shared" si="11"/>
        <v>314</v>
      </c>
      <c r="B422" s="883" t="s">
        <v>650</v>
      </c>
      <c r="C422" s="884"/>
      <c r="D422" s="885"/>
      <c r="E422" s="894"/>
      <c r="F422" s="775">
        <v>39389</v>
      </c>
      <c r="G422" s="895">
        <v>0</v>
      </c>
      <c r="H422" s="532">
        <v>1779.5</v>
      </c>
      <c r="I422" s="1307">
        <f t="shared" si="10"/>
        <v>0.86</v>
      </c>
    </row>
    <row r="423" spans="1:9" ht="19.5" customHeight="1">
      <c r="A423" s="474">
        <f t="shared" si="11"/>
        <v>315</v>
      </c>
      <c r="B423" s="883" t="s">
        <v>650</v>
      </c>
      <c r="C423" s="884"/>
      <c r="D423" s="885"/>
      <c r="E423" s="894"/>
      <c r="F423" s="775">
        <v>54510.7412418141</v>
      </c>
      <c r="G423" s="895">
        <v>0</v>
      </c>
      <c r="H423" s="532">
        <v>2412</v>
      </c>
      <c r="I423" s="1307">
        <f t="shared" si="10"/>
        <v>1.16</v>
      </c>
    </row>
    <row r="424" spans="1:9" ht="19.5" customHeight="1">
      <c r="A424" s="474">
        <f t="shared" si="11"/>
        <v>316</v>
      </c>
      <c r="B424" s="883" t="s">
        <v>896</v>
      </c>
      <c r="C424" s="884"/>
      <c r="D424" s="885"/>
      <c r="E424" s="894"/>
      <c r="F424" s="775">
        <f>117262.9127-5171</f>
        <v>112091.9127</v>
      </c>
      <c r="G424" s="895">
        <v>1341</v>
      </c>
      <c r="H424" s="532">
        <v>1705.7</v>
      </c>
      <c r="I424" s="1307">
        <f t="shared" si="10"/>
        <v>0.82</v>
      </c>
    </row>
    <row r="425" spans="1:9" ht="19.5" customHeight="1">
      <c r="A425" s="474">
        <f t="shared" si="11"/>
        <v>317</v>
      </c>
      <c r="B425" s="883" t="s">
        <v>897</v>
      </c>
      <c r="C425" s="884"/>
      <c r="D425" s="885"/>
      <c r="E425" s="894"/>
      <c r="F425" s="775">
        <v>108551</v>
      </c>
      <c r="G425" s="895">
        <v>426</v>
      </c>
      <c r="H425" s="532">
        <v>2231</v>
      </c>
      <c r="I425" s="1307">
        <f t="shared" si="10"/>
        <v>1.07</v>
      </c>
    </row>
    <row r="426" spans="1:9" ht="19.5" customHeight="1">
      <c r="A426" s="474">
        <f t="shared" si="11"/>
        <v>318</v>
      </c>
      <c r="B426" s="883" t="s">
        <v>897</v>
      </c>
      <c r="C426" s="884"/>
      <c r="D426" s="885"/>
      <c r="E426" s="894"/>
      <c r="F426" s="775">
        <v>104963</v>
      </c>
      <c r="G426" s="895">
        <v>612</v>
      </c>
      <c r="H426" s="532">
        <v>2198.5</v>
      </c>
      <c r="I426" s="1307">
        <f t="shared" si="10"/>
        <v>1.06</v>
      </c>
    </row>
    <row r="427" spans="1:9" ht="19.5" customHeight="1">
      <c r="A427" s="474">
        <f t="shared" si="11"/>
        <v>319</v>
      </c>
      <c r="B427" s="883" t="s">
        <v>897</v>
      </c>
      <c r="C427" s="884"/>
      <c r="D427" s="885"/>
      <c r="E427" s="894"/>
      <c r="F427" s="1311">
        <f>135033.5-4245.35</f>
        <v>130788.15</v>
      </c>
      <c r="G427" s="895">
        <v>490</v>
      </c>
      <c r="H427" s="532">
        <v>2593.25</v>
      </c>
      <c r="I427" s="1307">
        <f>ROUND(H427/2080,2)</f>
        <v>1.25</v>
      </c>
    </row>
    <row r="428" spans="1:9" ht="19.5" customHeight="1" thickBot="1">
      <c r="A428" s="293"/>
      <c r="B428" s="1170" t="s">
        <v>276</v>
      </c>
      <c r="C428" s="1171"/>
      <c r="D428" s="1171"/>
      <c r="E428" s="388"/>
      <c r="F428" s="779">
        <f>SUM(F109:F427)</f>
        <v>14232548.249164728</v>
      </c>
      <c r="G428" s="779">
        <f>SUM(G109:G427)</f>
        <v>208016</v>
      </c>
      <c r="H428" s="779">
        <f>SUM(H109:H427)</f>
        <v>338975.171</v>
      </c>
      <c r="I428" s="777">
        <f>SUM(I109:I427)</f>
        <v>163.02000000000007</v>
      </c>
    </row>
    <row r="429" spans="1:9" ht="19.5" customHeight="1" thickTop="1">
      <c r="A429" s="293"/>
      <c r="B429" s="375"/>
      <c r="C429" s="375"/>
      <c r="D429" s="375"/>
      <c r="E429" s="375"/>
      <c r="F429" s="1312"/>
      <c r="G429" s="1312"/>
      <c r="H429" s="1312"/>
      <c r="I429" s="1313"/>
    </row>
    <row r="430" spans="1:9" ht="19.5" customHeight="1">
      <c r="A430" s="293"/>
      <c r="B430" s="375"/>
      <c r="C430" s="375"/>
      <c r="D430" s="375"/>
      <c r="E430" s="375"/>
      <c r="F430" s="368"/>
      <c r="G430" s="294"/>
      <c r="H430" s="295"/>
      <c r="I430" s="396"/>
    </row>
    <row r="431" spans="1:9" ht="19.5" customHeight="1">
      <c r="A431" s="207" t="s">
        <v>92</v>
      </c>
      <c r="B431" s="1174" t="s">
        <v>207</v>
      </c>
      <c r="C431" s="1174"/>
      <c r="D431" s="1174"/>
      <c r="E431" s="524"/>
      <c r="F431" s="338"/>
      <c r="G431" s="338"/>
      <c r="H431" s="390"/>
      <c r="I431" s="391"/>
    </row>
    <row r="432" spans="1:9" ht="19.5" customHeight="1">
      <c r="A432" s="474">
        <v>1</v>
      </c>
      <c r="B432" t="s">
        <v>475</v>
      </c>
      <c r="C432" s="540"/>
      <c r="D432" s="541"/>
      <c r="E432" s="486"/>
      <c r="F432" s="1314" t="s">
        <v>551</v>
      </c>
      <c r="G432" s="859">
        <v>786</v>
      </c>
      <c r="H432" s="994">
        <f>G432*0.68</f>
        <v>534.48</v>
      </c>
      <c r="I432" s="658">
        <f>ROUND(H432/2080,2)</f>
        <v>0.26</v>
      </c>
    </row>
    <row r="433" spans="1:9" ht="19.5" customHeight="1">
      <c r="A433" s="474">
        <f>+A432+1</f>
        <v>2</v>
      </c>
      <c r="B433" t="s">
        <v>685</v>
      </c>
      <c r="C433" s="540"/>
      <c r="D433" s="541"/>
      <c r="E433" s="486"/>
      <c r="F433" s="1314" t="s">
        <v>551</v>
      </c>
      <c r="G433" s="859">
        <v>66</v>
      </c>
      <c r="H433" s="994">
        <f aca="true" t="shared" si="12" ref="H433:H477">G433*0.68</f>
        <v>44.88</v>
      </c>
      <c r="I433" s="658">
        <f aca="true" t="shared" si="13" ref="I433:I477">ROUND(H433/2080,2)</f>
        <v>0.02</v>
      </c>
    </row>
    <row r="434" spans="1:9" ht="19.5" customHeight="1">
      <c r="A434" s="474">
        <f aca="true" t="shared" si="14" ref="A434:A497">+A433+1</f>
        <v>3</v>
      </c>
      <c r="B434" t="s">
        <v>685</v>
      </c>
      <c r="C434" s="540"/>
      <c r="D434" s="541"/>
      <c r="E434" s="486"/>
      <c r="F434" s="1314" t="s">
        <v>551</v>
      </c>
      <c r="G434" s="859">
        <v>147</v>
      </c>
      <c r="H434" s="994">
        <f t="shared" si="12"/>
        <v>99.96000000000001</v>
      </c>
      <c r="I434" s="658">
        <f t="shared" si="13"/>
        <v>0.05</v>
      </c>
    </row>
    <row r="435" spans="1:9" ht="19.5" customHeight="1">
      <c r="A435" s="474">
        <f t="shared" si="14"/>
        <v>4</v>
      </c>
      <c r="B435" t="s">
        <v>685</v>
      </c>
      <c r="C435" s="540"/>
      <c r="D435" s="541"/>
      <c r="E435" s="486"/>
      <c r="F435" s="1314" t="s">
        <v>551</v>
      </c>
      <c r="G435" s="859">
        <v>24</v>
      </c>
      <c r="H435" s="994">
        <f t="shared" si="12"/>
        <v>16.32</v>
      </c>
      <c r="I435" s="658">
        <f t="shared" si="13"/>
        <v>0.01</v>
      </c>
    </row>
    <row r="436" spans="1:9" ht="19.5" customHeight="1">
      <c r="A436" s="474">
        <f t="shared" si="14"/>
        <v>5</v>
      </c>
      <c r="B436" t="s">
        <v>475</v>
      </c>
      <c r="C436" s="540"/>
      <c r="D436" s="541"/>
      <c r="E436" s="486"/>
      <c r="F436" s="1314" t="s">
        <v>551</v>
      </c>
      <c r="G436" s="859">
        <v>113</v>
      </c>
      <c r="H436" s="994">
        <f t="shared" si="12"/>
        <v>76.84</v>
      </c>
      <c r="I436" s="658">
        <f t="shared" si="13"/>
        <v>0.04</v>
      </c>
    </row>
    <row r="437" spans="1:9" ht="19.5" customHeight="1">
      <c r="A437" s="474">
        <f t="shared" si="14"/>
        <v>6</v>
      </c>
      <c r="B437" t="s">
        <v>685</v>
      </c>
      <c r="C437" s="540"/>
      <c r="D437" s="541"/>
      <c r="E437" s="486"/>
      <c r="F437" s="1314" t="s">
        <v>551</v>
      </c>
      <c r="G437" s="859">
        <v>92</v>
      </c>
      <c r="H437" s="994">
        <f t="shared" si="12"/>
        <v>62.56</v>
      </c>
      <c r="I437" s="658">
        <f t="shared" si="13"/>
        <v>0.03</v>
      </c>
    </row>
    <row r="438" spans="1:9" ht="19.5" customHeight="1">
      <c r="A438" s="474">
        <f t="shared" si="14"/>
        <v>7</v>
      </c>
      <c r="B438" t="s">
        <v>685</v>
      </c>
      <c r="C438" s="540"/>
      <c r="D438" s="541"/>
      <c r="E438" s="486"/>
      <c r="F438" s="1314" t="s">
        <v>551</v>
      </c>
      <c r="G438" s="859">
        <v>180</v>
      </c>
      <c r="H438" s="994">
        <f t="shared" si="12"/>
        <v>122.4</v>
      </c>
      <c r="I438" s="658">
        <f t="shared" si="13"/>
        <v>0.06</v>
      </c>
    </row>
    <row r="439" spans="1:9" ht="19.5" customHeight="1">
      <c r="A439" s="474">
        <f t="shared" si="14"/>
        <v>8</v>
      </c>
      <c r="B439" t="s">
        <v>685</v>
      </c>
      <c r="C439" s="540"/>
      <c r="D439" s="541"/>
      <c r="E439" s="486"/>
      <c r="F439" s="1314" t="s">
        <v>551</v>
      </c>
      <c r="G439" s="859">
        <v>956</v>
      </c>
      <c r="H439" s="994">
        <f t="shared" si="12"/>
        <v>650.08</v>
      </c>
      <c r="I439" s="658">
        <f t="shared" si="13"/>
        <v>0.31</v>
      </c>
    </row>
    <row r="440" spans="1:9" ht="19.5" customHeight="1">
      <c r="A440" s="474">
        <f t="shared" si="14"/>
        <v>9</v>
      </c>
      <c r="B440" t="s">
        <v>685</v>
      </c>
      <c r="C440" s="540"/>
      <c r="D440" s="541"/>
      <c r="E440" s="486"/>
      <c r="F440" s="1314" t="s">
        <v>551</v>
      </c>
      <c r="G440" s="859">
        <v>792</v>
      </c>
      <c r="H440" s="994">
        <f t="shared" si="12"/>
        <v>538.5600000000001</v>
      </c>
      <c r="I440" s="658">
        <f t="shared" si="13"/>
        <v>0.26</v>
      </c>
    </row>
    <row r="441" spans="1:9" ht="19.5" customHeight="1">
      <c r="A441" s="474">
        <f t="shared" si="14"/>
        <v>10</v>
      </c>
      <c r="B441" t="s">
        <v>685</v>
      </c>
      <c r="C441" s="540"/>
      <c r="D441" s="541"/>
      <c r="E441" s="486"/>
      <c r="F441" s="1314" t="s">
        <v>551</v>
      </c>
      <c r="G441" s="859">
        <v>979</v>
      </c>
      <c r="H441" s="994">
        <f t="shared" si="12"/>
        <v>665.72</v>
      </c>
      <c r="I441" s="658">
        <f t="shared" si="13"/>
        <v>0.32</v>
      </c>
    </row>
    <row r="442" spans="1:9" ht="19.5" customHeight="1">
      <c r="A442" s="474">
        <f t="shared" si="14"/>
        <v>11</v>
      </c>
      <c r="B442" t="s">
        <v>685</v>
      </c>
      <c r="C442" s="540"/>
      <c r="D442" s="541"/>
      <c r="E442" s="486"/>
      <c r="F442" s="1314" t="s">
        <v>551</v>
      </c>
      <c r="G442" s="859">
        <v>1</v>
      </c>
      <c r="H442" s="994">
        <f t="shared" si="12"/>
        <v>0.68</v>
      </c>
      <c r="I442" s="658">
        <f t="shared" si="13"/>
        <v>0</v>
      </c>
    </row>
    <row r="443" spans="1:9" ht="19.5" customHeight="1">
      <c r="A443" s="474">
        <f t="shared" si="14"/>
        <v>12</v>
      </c>
      <c r="B443" t="s">
        <v>685</v>
      </c>
      <c r="C443" s="540"/>
      <c r="D443" s="541"/>
      <c r="E443" s="486"/>
      <c r="F443" s="1314" t="s">
        <v>551</v>
      </c>
      <c r="G443" s="859">
        <v>22</v>
      </c>
      <c r="H443" s="994">
        <f t="shared" si="12"/>
        <v>14.96</v>
      </c>
      <c r="I443" s="658">
        <f t="shared" si="13"/>
        <v>0.01</v>
      </c>
    </row>
    <row r="444" spans="1:9" ht="19.5" customHeight="1">
      <c r="A444" s="474">
        <f t="shared" si="14"/>
        <v>13</v>
      </c>
      <c r="B444" t="s">
        <v>685</v>
      </c>
      <c r="C444" s="540"/>
      <c r="D444" s="541"/>
      <c r="E444" s="486"/>
      <c r="F444" s="1314" t="s">
        <v>551</v>
      </c>
      <c r="G444" s="859">
        <v>651</v>
      </c>
      <c r="H444" s="994">
        <f t="shared" si="12"/>
        <v>442.68</v>
      </c>
      <c r="I444" s="658">
        <f t="shared" si="13"/>
        <v>0.21</v>
      </c>
    </row>
    <row r="445" spans="1:9" ht="19.5" customHeight="1">
      <c r="A445" s="474">
        <f t="shared" si="14"/>
        <v>14</v>
      </c>
      <c r="B445" t="s">
        <v>679</v>
      </c>
      <c r="C445" s="540"/>
      <c r="D445" s="541"/>
      <c r="E445" s="486"/>
      <c r="F445" s="1314" t="s">
        <v>551</v>
      </c>
      <c r="G445" s="859">
        <v>70</v>
      </c>
      <c r="H445" s="994">
        <f t="shared" si="12"/>
        <v>47.6</v>
      </c>
      <c r="I445" s="658">
        <f t="shared" si="13"/>
        <v>0.02</v>
      </c>
    </row>
    <row r="446" spans="1:9" ht="19.5" customHeight="1">
      <c r="A446" s="474">
        <f t="shared" si="14"/>
        <v>15</v>
      </c>
      <c r="B446" t="s">
        <v>475</v>
      </c>
      <c r="C446" s="540"/>
      <c r="D446" s="541"/>
      <c r="E446" s="486"/>
      <c r="F446" s="1314" t="s">
        <v>551</v>
      </c>
      <c r="G446" s="859">
        <v>1333</v>
      </c>
      <c r="H446" s="994">
        <f t="shared" si="12"/>
        <v>906.44</v>
      </c>
      <c r="I446" s="658">
        <f t="shared" si="13"/>
        <v>0.44</v>
      </c>
    </row>
    <row r="447" spans="1:9" ht="19.5" customHeight="1">
      <c r="A447" s="474">
        <f t="shared" si="14"/>
        <v>16</v>
      </c>
      <c r="B447" t="s">
        <v>685</v>
      </c>
      <c r="C447" s="540"/>
      <c r="D447" s="541"/>
      <c r="E447" s="486"/>
      <c r="F447" s="1314" t="s">
        <v>551</v>
      </c>
      <c r="G447" s="859">
        <v>52</v>
      </c>
      <c r="H447" s="994">
        <f t="shared" si="12"/>
        <v>35.36</v>
      </c>
      <c r="I447" s="658">
        <f t="shared" si="13"/>
        <v>0.02</v>
      </c>
    </row>
    <row r="448" spans="1:9" ht="19.5" customHeight="1">
      <c r="A448" s="474">
        <f t="shared" si="14"/>
        <v>17</v>
      </c>
      <c r="B448" t="s">
        <v>474</v>
      </c>
      <c r="C448" s="540"/>
      <c r="D448" s="541"/>
      <c r="E448" s="486"/>
      <c r="F448" s="1314" t="s">
        <v>551</v>
      </c>
      <c r="G448" s="859">
        <v>619</v>
      </c>
      <c r="H448" s="994">
        <f t="shared" si="12"/>
        <v>420.92</v>
      </c>
      <c r="I448" s="658">
        <f t="shared" si="13"/>
        <v>0.2</v>
      </c>
    </row>
    <row r="449" spans="1:9" ht="19.5" customHeight="1">
      <c r="A449" s="474">
        <f t="shared" si="14"/>
        <v>18</v>
      </c>
      <c r="B449" t="s">
        <v>685</v>
      </c>
      <c r="C449" s="540"/>
      <c r="D449" s="541"/>
      <c r="E449" s="486"/>
      <c r="F449" s="1314" t="s">
        <v>551</v>
      </c>
      <c r="G449" s="859">
        <v>622</v>
      </c>
      <c r="H449" s="994">
        <f t="shared" si="12"/>
        <v>422.96000000000004</v>
      </c>
      <c r="I449" s="658">
        <f t="shared" si="13"/>
        <v>0.2</v>
      </c>
    </row>
    <row r="450" spans="1:9" ht="19.5" customHeight="1">
      <c r="A450" s="474">
        <f t="shared" si="14"/>
        <v>19</v>
      </c>
      <c r="B450" t="s">
        <v>679</v>
      </c>
      <c r="C450" s="540"/>
      <c r="D450" s="541"/>
      <c r="E450" s="486"/>
      <c r="F450" s="1314" t="s">
        <v>551</v>
      </c>
      <c r="G450" s="859">
        <v>1</v>
      </c>
      <c r="H450" s="994">
        <f t="shared" si="12"/>
        <v>0.68</v>
      </c>
      <c r="I450" s="658">
        <f t="shared" si="13"/>
        <v>0</v>
      </c>
    </row>
    <row r="451" spans="1:9" ht="19.5" customHeight="1">
      <c r="A451" s="474">
        <f t="shared" si="14"/>
        <v>20</v>
      </c>
      <c r="B451" t="s">
        <v>679</v>
      </c>
      <c r="C451" s="540"/>
      <c r="D451" s="541"/>
      <c r="E451" s="486"/>
      <c r="F451" s="1314" t="s">
        <v>551</v>
      </c>
      <c r="G451" s="859">
        <v>69</v>
      </c>
      <c r="H451" s="994">
        <f t="shared" si="12"/>
        <v>46.92</v>
      </c>
      <c r="I451" s="658">
        <f t="shared" si="13"/>
        <v>0.02</v>
      </c>
    </row>
    <row r="452" spans="1:9" ht="19.5" customHeight="1">
      <c r="A452" s="474">
        <f t="shared" si="14"/>
        <v>21</v>
      </c>
      <c r="B452" t="s">
        <v>475</v>
      </c>
      <c r="C452" s="540"/>
      <c r="D452" s="541"/>
      <c r="E452" s="486"/>
      <c r="F452" s="1314" t="s">
        <v>551</v>
      </c>
      <c r="G452" s="859">
        <v>424</v>
      </c>
      <c r="H452" s="994">
        <f t="shared" si="12"/>
        <v>288.32</v>
      </c>
      <c r="I452" s="658">
        <f t="shared" si="13"/>
        <v>0.14</v>
      </c>
    </row>
    <row r="453" spans="1:9" ht="19.5" customHeight="1">
      <c r="A453" s="474">
        <f t="shared" si="14"/>
        <v>22</v>
      </c>
      <c r="B453" t="s">
        <v>689</v>
      </c>
      <c r="C453" s="540"/>
      <c r="D453" s="541"/>
      <c r="E453" s="486"/>
      <c r="F453" s="1314" t="s">
        <v>551</v>
      </c>
      <c r="G453" s="859">
        <v>3005</v>
      </c>
      <c r="H453" s="994">
        <f t="shared" si="12"/>
        <v>2043.4</v>
      </c>
      <c r="I453" s="658">
        <f t="shared" si="13"/>
        <v>0.98</v>
      </c>
    </row>
    <row r="454" spans="1:9" ht="19.5" customHeight="1">
      <c r="A454" s="474">
        <f t="shared" si="14"/>
        <v>23</v>
      </c>
      <c r="B454" t="s">
        <v>679</v>
      </c>
      <c r="C454" s="540"/>
      <c r="D454" s="541"/>
      <c r="E454" s="486"/>
      <c r="F454" s="1314" t="s">
        <v>551</v>
      </c>
      <c r="G454" s="859">
        <v>74</v>
      </c>
      <c r="H454" s="994">
        <f t="shared" si="12"/>
        <v>50.32</v>
      </c>
      <c r="I454" s="658">
        <f t="shared" si="13"/>
        <v>0.02</v>
      </c>
    </row>
    <row r="455" spans="1:9" ht="19.5" customHeight="1">
      <c r="A455" s="474">
        <f t="shared" si="14"/>
        <v>24</v>
      </c>
      <c r="B455" t="s">
        <v>685</v>
      </c>
      <c r="C455" s="540"/>
      <c r="D455" s="541"/>
      <c r="E455" s="486"/>
      <c r="F455" s="1314" t="s">
        <v>551</v>
      </c>
      <c r="G455" s="859">
        <v>81</v>
      </c>
      <c r="H455" s="994">
        <f t="shared" si="12"/>
        <v>55.080000000000005</v>
      </c>
      <c r="I455" s="658">
        <f t="shared" si="13"/>
        <v>0.03</v>
      </c>
    </row>
    <row r="456" spans="1:9" ht="19.5" customHeight="1">
      <c r="A456" s="474">
        <f t="shared" si="14"/>
        <v>25</v>
      </c>
      <c r="B456" t="s">
        <v>685</v>
      </c>
      <c r="C456" s="540"/>
      <c r="D456" s="541"/>
      <c r="E456" s="486"/>
      <c r="F456" s="1314" t="s">
        <v>551</v>
      </c>
      <c r="G456" s="859">
        <v>215</v>
      </c>
      <c r="H456" s="994">
        <f t="shared" si="12"/>
        <v>146.20000000000002</v>
      </c>
      <c r="I456" s="658">
        <f t="shared" si="13"/>
        <v>0.07</v>
      </c>
    </row>
    <row r="457" spans="1:9" ht="19.5" customHeight="1">
      <c r="A457" s="474">
        <f t="shared" si="14"/>
        <v>26</v>
      </c>
      <c r="B457" t="s">
        <v>679</v>
      </c>
      <c r="C457" s="540"/>
      <c r="D457" s="541"/>
      <c r="E457" s="486"/>
      <c r="F457" s="1314" t="s">
        <v>551</v>
      </c>
      <c r="G457" s="859">
        <v>83</v>
      </c>
      <c r="H457" s="994">
        <f t="shared" si="12"/>
        <v>56.440000000000005</v>
      </c>
      <c r="I457" s="658">
        <f t="shared" si="13"/>
        <v>0.03</v>
      </c>
    </row>
    <row r="458" spans="1:9" ht="19.5" customHeight="1">
      <c r="A458" s="474">
        <f t="shared" si="14"/>
        <v>27</v>
      </c>
      <c r="B458" t="s">
        <v>685</v>
      </c>
      <c r="C458" s="540"/>
      <c r="D458" s="541"/>
      <c r="E458" s="486"/>
      <c r="F458" s="1314" t="s">
        <v>551</v>
      </c>
      <c r="G458" s="859">
        <v>411</v>
      </c>
      <c r="H458" s="994">
        <f t="shared" si="12"/>
        <v>279.48</v>
      </c>
      <c r="I458" s="658">
        <f t="shared" si="13"/>
        <v>0.13</v>
      </c>
    </row>
    <row r="459" spans="1:9" ht="19.5" customHeight="1">
      <c r="A459" s="474">
        <f t="shared" si="14"/>
        <v>28</v>
      </c>
      <c r="B459" t="s">
        <v>679</v>
      </c>
      <c r="C459" s="540"/>
      <c r="D459" s="541"/>
      <c r="E459" s="486"/>
      <c r="F459" s="1314" t="s">
        <v>551</v>
      </c>
      <c r="G459" s="859">
        <v>54</v>
      </c>
      <c r="H459" s="994">
        <f t="shared" si="12"/>
        <v>36.720000000000006</v>
      </c>
      <c r="I459" s="658">
        <f t="shared" si="13"/>
        <v>0.02</v>
      </c>
    </row>
    <row r="460" spans="1:9" ht="19.5" customHeight="1">
      <c r="A460" s="474">
        <f t="shared" si="14"/>
        <v>29</v>
      </c>
      <c r="B460" t="s">
        <v>679</v>
      </c>
      <c r="C460" s="540"/>
      <c r="D460" s="541"/>
      <c r="E460" s="486"/>
      <c r="F460" s="1314" t="s">
        <v>551</v>
      </c>
      <c r="G460" s="859">
        <v>623</v>
      </c>
      <c r="H460" s="994">
        <f t="shared" si="12"/>
        <v>423.64000000000004</v>
      </c>
      <c r="I460" s="658">
        <f t="shared" si="13"/>
        <v>0.2</v>
      </c>
    </row>
    <row r="461" spans="1:9" ht="19.5" customHeight="1">
      <c r="A461" s="474">
        <f t="shared" si="14"/>
        <v>30</v>
      </c>
      <c r="B461" t="s">
        <v>474</v>
      </c>
      <c r="C461" s="540"/>
      <c r="D461" s="541"/>
      <c r="E461" s="486"/>
      <c r="F461" s="1314" t="s">
        <v>551</v>
      </c>
      <c r="G461" s="859">
        <v>195</v>
      </c>
      <c r="H461" s="994">
        <f t="shared" si="12"/>
        <v>132.60000000000002</v>
      </c>
      <c r="I461" s="658">
        <f t="shared" si="13"/>
        <v>0.06</v>
      </c>
    </row>
    <row r="462" spans="1:9" ht="19.5" customHeight="1">
      <c r="A462" s="474">
        <f t="shared" si="14"/>
        <v>31</v>
      </c>
      <c r="B462" t="s">
        <v>685</v>
      </c>
      <c r="C462" s="540"/>
      <c r="D462" s="541"/>
      <c r="E462" s="486"/>
      <c r="F462" s="1314" t="s">
        <v>551</v>
      </c>
      <c r="G462" s="859">
        <v>136</v>
      </c>
      <c r="H462" s="994">
        <f t="shared" si="12"/>
        <v>92.48</v>
      </c>
      <c r="I462" s="658">
        <f t="shared" si="13"/>
        <v>0.04</v>
      </c>
    </row>
    <row r="463" spans="1:9" ht="19.5" customHeight="1">
      <c r="A463" s="474">
        <f t="shared" si="14"/>
        <v>32</v>
      </c>
      <c r="B463" t="s">
        <v>475</v>
      </c>
      <c r="C463" s="540"/>
      <c r="D463" s="541"/>
      <c r="E463" s="486"/>
      <c r="F463" s="1314" t="s">
        <v>551</v>
      </c>
      <c r="G463" s="859">
        <v>1616</v>
      </c>
      <c r="H463" s="994">
        <f t="shared" si="12"/>
        <v>1098.88</v>
      </c>
      <c r="I463" s="658">
        <f t="shared" si="13"/>
        <v>0.53</v>
      </c>
    </row>
    <row r="464" spans="1:9" ht="19.5" customHeight="1">
      <c r="A464" s="474">
        <f t="shared" si="14"/>
        <v>33</v>
      </c>
      <c r="B464" t="s">
        <v>679</v>
      </c>
      <c r="C464" s="540"/>
      <c r="D464" s="541"/>
      <c r="E464" s="486"/>
      <c r="F464" s="1314" t="s">
        <v>551</v>
      </c>
      <c r="G464" s="859">
        <v>1</v>
      </c>
      <c r="H464" s="994">
        <f t="shared" si="12"/>
        <v>0.68</v>
      </c>
      <c r="I464" s="658">
        <f t="shared" si="13"/>
        <v>0</v>
      </c>
    </row>
    <row r="465" spans="1:9" ht="19.5" customHeight="1">
      <c r="A465" s="474">
        <f t="shared" si="14"/>
        <v>34</v>
      </c>
      <c r="B465" t="s">
        <v>689</v>
      </c>
      <c r="C465" s="540"/>
      <c r="D465" s="541"/>
      <c r="E465" s="486"/>
      <c r="F465" s="1314" t="s">
        <v>551</v>
      </c>
      <c r="G465" s="859">
        <v>68</v>
      </c>
      <c r="H465" s="994">
        <f t="shared" si="12"/>
        <v>46.24</v>
      </c>
      <c r="I465" s="658">
        <f t="shared" si="13"/>
        <v>0.02</v>
      </c>
    </row>
    <row r="466" spans="1:9" ht="19.5" customHeight="1">
      <c r="A466" s="474">
        <f t="shared" si="14"/>
        <v>35</v>
      </c>
      <c r="B466" t="s">
        <v>685</v>
      </c>
      <c r="C466" s="540"/>
      <c r="D466" s="541"/>
      <c r="E466" s="486"/>
      <c r="F466" s="1314" t="s">
        <v>551</v>
      </c>
      <c r="G466" s="859">
        <v>27</v>
      </c>
      <c r="H466" s="994">
        <f t="shared" si="12"/>
        <v>18.360000000000003</v>
      </c>
      <c r="I466" s="658">
        <f t="shared" si="13"/>
        <v>0.01</v>
      </c>
    </row>
    <row r="467" spans="1:9" ht="19.5" customHeight="1">
      <c r="A467" s="474">
        <f t="shared" si="14"/>
        <v>36</v>
      </c>
      <c r="B467" t="s">
        <v>685</v>
      </c>
      <c r="C467" s="540"/>
      <c r="D467" s="541"/>
      <c r="E467" s="486"/>
      <c r="F467" s="1314" t="s">
        <v>551</v>
      </c>
      <c r="G467" s="859">
        <v>1167</v>
      </c>
      <c r="H467" s="994">
        <f t="shared" si="12"/>
        <v>793.5600000000001</v>
      </c>
      <c r="I467" s="658">
        <f t="shared" si="13"/>
        <v>0.38</v>
      </c>
    </row>
    <row r="468" spans="1:9" ht="19.5" customHeight="1">
      <c r="A468" s="474">
        <f t="shared" si="14"/>
        <v>37</v>
      </c>
      <c r="B468" t="s">
        <v>689</v>
      </c>
      <c r="C468" s="540"/>
      <c r="D468" s="541"/>
      <c r="E468" s="486"/>
      <c r="F468" s="1314" t="s">
        <v>551</v>
      </c>
      <c r="G468" s="859">
        <v>1593</v>
      </c>
      <c r="H468" s="994">
        <f t="shared" si="12"/>
        <v>1083.24</v>
      </c>
      <c r="I468" s="658">
        <f t="shared" si="13"/>
        <v>0.52</v>
      </c>
    </row>
    <row r="469" spans="1:9" ht="19.5" customHeight="1">
      <c r="A469" s="474">
        <f t="shared" si="14"/>
        <v>38</v>
      </c>
      <c r="B469" t="s">
        <v>685</v>
      </c>
      <c r="C469" s="540"/>
      <c r="D469" s="541"/>
      <c r="E469" s="486"/>
      <c r="F469" s="1314" t="s">
        <v>551</v>
      </c>
      <c r="G469" s="859">
        <v>404</v>
      </c>
      <c r="H469" s="994">
        <f t="shared" si="12"/>
        <v>274.72</v>
      </c>
      <c r="I469" s="658">
        <f t="shared" si="13"/>
        <v>0.13</v>
      </c>
    </row>
    <row r="470" spans="1:9" ht="19.5" customHeight="1">
      <c r="A470" s="474">
        <f t="shared" si="14"/>
        <v>39</v>
      </c>
      <c r="B470" t="s">
        <v>685</v>
      </c>
      <c r="C470" s="540"/>
      <c r="D470" s="541"/>
      <c r="E470" s="486"/>
      <c r="F470" s="1314" t="s">
        <v>551</v>
      </c>
      <c r="G470" s="859">
        <v>1371</v>
      </c>
      <c r="H470" s="994">
        <f t="shared" si="12"/>
        <v>932.2800000000001</v>
      </c>
      <c r="I470" s="658">
        <f t="shared" si="13"/>
        <v>0.45</v>
      </c>
    </row>
    <row r="471" spans="1:9" ht="19.5" customHeight="1">
      <c r="A471" s="474">
        <f t="shared" si="14"/>
        <v>40</v>
      </c>
      <c r="B471" t="s">
        <v>685</v>
      </c>
      <c r="C471" s="540"/>
      <c r="D471" s="541"/>
      <c r="E471" s="486"/>
      <c r="F471" s="1314" t="s">
        <v>551</v>
      </c>
      <c r="G471" s="859">
        <v>69</v>
      </c>
      <c r="H471" s="994">
        <f t="shared" si="12"/>
        <v>46.92</v>
      </c>
      <c r="I471" s="658">
        <f t="shared" si="13"/>
        <v>0.02</v>
      </c>
    </row>
    <row r="472" spans="1:9" ht="19.5" customHeight="1">
      <c r="A472" s="474">
        <f t="shared" si="14"/>
        <v>41</v>
      </c>
      <c r="B472" t="s">
        <v>685</v>
      </c>
      <c r="C472" s="540"/>
      <c r="D472" s="541"/>
      <c r="E472" s="486"/>
      <c r="F472" s="1314" t="s">
        <v>551</v>
      </c>
      <c r="G472" s="859">
        <v>89</v>
      </c>
      <c r="H472" s="994">
        <f t="shared" si="12"/>
        <v>60.52</v>
      </c>
      <c r="I472" s="658">
        <f t="shared" si="13"/>
        <v>0.03</v>
      </c>
    </row>
    <row r="473" spans="1:9" ht="19.5" customHeight="1">
      <c r="A473" s="474">
        <f t="shared" si="14"/>
        <v>42</v>
      </c>
      <c r="B473" t="s">
        <v>685</v>
      </c>
      <c r="C473" s="540"/>
      <c r="D473" s="541"/>
      <c r="E473" s="486"/>
      <c r="F473" s="1314" t="s">
        <v>551</v>
      </c>
      <c r="G473" s="859">
        <v>9</v>
      </c>
      <c r="H473" s="994">
        <f t="shared" si="12"/>
        <v>6.12</v>
      </c>
      <c r="I473" s="658">
        <f t="shared" si="13"/>
        <v>0</v>
      </c>
    </row>
    <row r="474" spans="1:9" ht="19.5" customHeight="1">
      <c r="A474" s="474">
        <f t="shared" si="14"/>
        <v>43</v>
      </c>
      <c r="B474" t="s">
        <v>685</v>
      </c>
      <c r="C474" s="540"/>
      <c r="D474" s="541"/>
      <c r="E474" s="486"/>
      <c r="F474" s="1314" t="s">
        <v>551</v>
      </c>
      <c r="G474" s="859">
        <v>185</v>
      </c>
      <c r="H474" s="994">
        <f t="shared" si="12"/>
        <v>125.80000000000001</v>
      </c>
      <c r="I474" s="658">
        <f t="shared" si="13"/>
        <v>0.06</v>
      </c>
    </row>
    <row r="475" spans="1:9" ht="19.5" customHeight="1">
      <c r="A475" s="474">
        <f t="shared" si="14"/>
        <v>44</v>
      </c>
      <c r="B475" t="s">
        <v>685</v>
      </c>
      <c r="C475" s="540"/>
      <c r="D475" s="541"/>
      <c r="E475" s="486"/>
      <c r="F475" s="1314" t="s">
        <v>551</v>
      </c>
      <c r="G475" s="859">
        <v>43</v>
      </c>
      <c r="H475" s="994">
        <f t="shared" si="12"/>
        <v>29.240000000000002</v>
      </c>
      <c r="I475" s="658">
        <f t="shared" si="13"/>
        <v>0.01</v>
      </c>
    </row>
    <row r="476" spans="1:9" ht="19.5" customHeight="1">
      <c r="A476" s="474">
        <f t="shared" si="14"/>
        <v>45</v>
      </c>
      <c r="B476" t="s">
        <v>679</v>
      </c>
      <c r="C476" s="540"/>
      <c r="D476" s="541"/>
      <c r="E476" s="486"/>
      <c r="F476" s="1314" t="s">
        <v>551</v>
      </c>
      <c r="G476" s="859">
        <v>1</v>
      </c>
      <c r="H476" s="994">
        <f t="shared" si="12"/>
        <v>0.68</v>
      </c>
      <c r="I476" s="658">
        <f t="shared" si="13"/>
        <v>0</v>
      </c>
    </row>
    <row r="477" spans="1:9" ht="19.5" customHeight="1">
      <c r="A477" s="474">
        <f t="shared" si="14"/>
        <v>46</v>
      </c>
      <c r="B477" t="s">
        <v>685</v>
      </c>
      <c r="C477" s="540"/>
      <c r="D477" s="541"/>
      <c r="E477" s="486"/>
      <c r="F477" s="1314" t="s">
        <v>551</v>
      </c>
      <c r="G477" s="859">
        <v>1</v>
      </c>
      <c r="H477" s="994">
        <f t="shared" si="12"/>
        <v>0.68</v>
      </c>
      <c r="I477" s="658">
        <f t="shared" si="13"/>
        <v>0</v>
      </c>
    </row>
    <row r="478" spans="1:9" ht="19.5" customHeight="1">
      <c r="A478" s="474">
        <f t="shared" si="14"/>
        <v>47</v>
      </c>
      <c r="B478" t="s">
        <v>679</v>
      </c>
      <c r="C478" s="540"/>
      <c r="D478" s="541"/>
      <c r="E478" s="486"/>
      <c r="F478" s="1314" t="s">
        <v>551</v>
      </c>
      <c r="G478" s="859">
        <v>57</v>
      </c>
      <c r="H478" s="994">
        <f>G478*0.68</f>
        <v>38.760000000000005</v>
      </c>
      <c r="I478" s="658">
        <f>ROUND(H478/2080,2)</f>
        <v>0.02</v>
      </c>
    </row>
    <row r="479" spans="1:9" ht="19.5" customHeight="1">
      <c r="A479" s="474">
        <f t="shared" si="14"/>
        <v>48</v>
      </c>
      <c r="B479" t="s">
        <v>898</v>
      </c>
      <c r="C479" s="540"/>
      <c r="D479" s="541"/>
      <c r="E479" s="486"/>
      <c r="F479" s="1314" t="s">
        <v>551</v>
      </c>
      <c r="G479" s="859">
        <v>66</v>
      </c>
      <c r="H479" s="994">
        <f aca="true" t="shared" si="15" ref="H479:H506">G479*0.68</f>
        <v>44.88</v>
      </c>
      <c r="I479" s="658">
        <f aca="true" t="shared" si="16" ref="I479:I506">ROUND(H479/2080,2)</f>
        <v>0.02</v>
      </c>
    </row>
    <row r="480" spans="1:9" ht="19.5" customHeight="1">
      <c r="A480" s="474">
        <f t="shared" si="14"/>
        <v>49</v>
      </c>
      <c r="B480" t="s">
        <v>685</v>
      </c>
      <c r="C480" s="540"/>
      <c r="D480" s="541"/>
      <c r="E480" s="486"/>
      <c r="F480" s="1314" t="s">
        <v>551</v>
      </c>
      <c r="G480" s="859">
        <v>986</v>
      </c>
      <c r="H480" s="994">
        <f t="shared" si="15"/>
        <v>670.48</v>
      </c>
      <c r="I480" s="658">
        <f t="shared" si="16"/>
        <v>0.32</v>
      </c>
    </row>
    <row r="481" spans="1:9" ht="19.5" customHeight="1">
      <c r="A481" s="474">
        <f t="shared" si="14"/>
        <v>50</v>
      </c>
      <c r="B481" t="s">
        <v>685</v>
      </c>
      <c r="C481" s="540"/>
      <c r="D481" s="541"/>
      <c r="E481" s="486"/>
      <c r="F481" s="1314" t="s">
        <v>551</v>
      </c>
      <c r="G481" s="859">
        <v>76</v>
      </c>
      <c r="H481" s="994">
        <f t="shared" si="15"/>
        <v>51.68000000000001</v>
      </c>
      <c r="I481" s="658">
        <f t="shared" si="16"/>
        <v>0.02</v>
      </c>
    </row>
    <row r="482" spans="1:9" ht="19.5" customHeight="1">
      <c r="A482" s="474">
        <f t="shared" si="14"/>
        <v>51</v>
      </c>
      <c r="B482" t="s">
        <v>475</v>
      </c>
      <c r="C482" s="540"/>
      <c r="D482" s="541"/>
      <c r="E482" s="486"/>
      <c r="F482" s="1314" t="s">
        <v>551</v>
      </c>
      <c r="G482" s="859">
        <v>753</v>
      </c>
      <c r="H482" s="994">
        <f t="shared" si="15"/>
        <v>512.0400000000001</v>
      </c>
      <c r="I482" s="658">
        <f t="shared" si="16"/>
        <v>0.25</v>
      </c>
    </row>
    <row r="483" spans="1:9" ht="19.5" customHeight="1">
      <c r="A483" s="474">
        <f t="shared" si="14"/>
        <v>52</v>
      </c>
      <c r="B483" t="s">
        <v>685</v>
      </c>
      <c r="C483" s="540"/>
      <c r="D483" s="541"/>
      <c r="E483" s="486"/>
      <c r="F483" s="1314" t="s">
        <v>551</v>
      </c>
      <c r="G483" s="859">
        <v>586</v>
      </c>
      <c r="H483" s="994">
        <f t="shared" si="15"/>
        <v>398.48</v>
      </c>
      <c r="I483" s="658">
        <f t="shared" si="16"/>
        <v>0.19</v>
      </c>
    </row>
    <row r="484" spans="1:9" ht="19.5" customHeight="1">
      <c r="A484" s="474">
        <f t="shared" si="14"/>
        <v>53</v>
      </c>
      <c r="B484" t="s">
        <v>685</v>
      </c>
      <c r="C484" s="540"/>
      <c r="D484" s="541"/>
      <c r="E484" s="486"/>
      <c r="F484" s="1314" t="s">
        <v>551</v>
      </c>
      <c r="G484" s="859">
        <v>1272</v>
      </c>
      <c r="H484" s="994">
        <f t="shared" si="15"/>
        <v>864.96</v>
      </c>
      <c r="I484" s="658">
        <f t="shared" si="16"/>
        <v>0.42</v>
      </c>
    </row>
    <row r="485" spans="1:9" ht="19.5" customHeight="1">
      <c r="A485" s="474">
        <f t="shared" si="14"/>
        <v>54</v>
      </c>
      <c r="B485" t="s">
        <v>685</v>
      </c>
      <c r="C485" s="540"/>
      <c r="D485" s="541"/>
      <c r="E485" s="486"/>
      <c r="F485" s="1314" t="s">
        <v>551</v>
      </c>
      <c r="G485" s="859">
        <v>414</v>
      </c>
      <c r="H485" s="994">
        <f t="shared" si="15"/>
        <v>281.52000000000004</v>
      </c>
      <c r="I485" s="658">
        <f t="shared" si="16"/>
        <v>0.14</v>
      </c>
    </row>
    <row r="486" spans="1:9" ht="19.5" customHeight="1">
      <c r="A486" s="474">
        <f t="shared" si="14"/>
        <v>55</v>
      </c>
      <c r="B486" t="s">
        <v>685</v>
      </c>
      <c r="C486" s="540"/>
      <c r="D486" s="541"/>
      <c r="E486" s="486"/>
      <c r="F486" s="1314" t="s">
        <v>551</v>
      </c>
      <c r="G486" s="859">
        <v>77</v>
      </c>
      <c r="H486" s="994">
        <f t="shared" si="15"/>
        <v>52.36000000000001</v>
      </c>
      <c r="I486" s="658">
        <f t="shared" si="16"/>
        <v>0.03</v>
      </c>
    </row>
    <row r="487" spans="1:9" ht="19.5" customHeight="1">
      <c r="A487" s="474">
        <f t="shared" si="14"/>
        <v>56</v>
      </c>
      <c r="B487" t="s">
        <v>679</v>
      </c>
      <c r="C487" s="540"/>
      <c r="D487" s="541"/>
      <c r="E487" s="486"/>
      <c r="F487" s="1314" t="s">
        <v>551</v>
      </c>
      <c r="G487" s="859">
        <v>23</v>
      </c>
      <c r="H487" s="994">
        <f t="shared" si="15"/>
        <v>15.64</v>
      </c>
      <c r="I487" s="658">
        <f t="shared" si="16"/>
        <v>0.01</v>
      </c>
    </row>
    <row r="488" spans="1:9" ht="19.5" customHeight="1">
      <c r="A488" s="474">
        <f t="shared" si="14"/>
        <v>57</v>
      </c>
      <c r="B488" t="s">
        <v>679</v>
      </c>
      <c r="C488" s="540"/>
      <c r="D488" s="541"/>
      <c r="E488" s="486"/>
      <c r="F488" s="1314" t="s">
        <v>551</v>
      </c>
      <c r="G488" s="859">
        <v>78</v>
      </c>
      <c r="H488" s="994">
        <f t="shared" si="15"/>
        <v>53.040000000000006</v>
      </c>
      <c r="I488" s="658">
        <f t="shared" si="16"/>
        <v>0.03</v>
      </c>
    </row>
    <row r="489" spans="1:9" ht="19.5" customHeight="1">
      <c r="A489" s="474">
        <f t="shared" si="14"/>
        <v>58</v>
      </c>
      <c r="B489" t="s">
        <v>689</v>
      </c>
      <c r="C489" s="540"/>
      <c r="D489" s="541"/>
      <c r="E489" s="486"/>
      <c r="F489" s="1314" t="s">
        <v>551</v>
      </c>
      <c r="G489" s="859">
        <v>691</v>
      </c>
      <c r="H489" s="994">
        <f t="shared" si="15"/>
        <v>469.88000000000005</v>
      </c>
      <c r="I489" s="658">
        <f t="shared" si="16"/>
        <v>0.23</v>
      </c>
    </row>
    <row r="490" spans="1:9" ht="19.5" customHeight="1">
      <c r="A490" s="474">
        <f t="shared" si="14"/>
        <v>59</v>
      </c>
      <c r="B490" t="s">
        <v>685</v>
      </c>
      <c r="C490" s="540"/>
      <c r="D490" s="541"/>
      <c r="E490" s="486"/>
      <c r="F490" s="1314" t="s">
        <v>551</v>
      </c>
      <c r="G490" s="859">
        <v>38</v>
      </c>
      <c r="H490" s="994">
        <f t="shared" si="15"/>
        <v>25.840000000000003</v>
      </c>
      <c r="I490" s="658">
        <f t="shared" si="16"/>
        <v>0.01</v>
      </c>
    </row>
    <row r="491" spans="1:9" ht="19.5" customHeight="1">
      <c r="A491" s="474">
        <f t="shared" si="14"/>
        <v>60</v>
      </c>
      <c r="B491" t="s">
        <v>685</v>
      </c>
      <c r="C491" s="540"/>
      <c r="D491" s="541"/>
      <c r="E491" s="486"/>
      <c r="F491" s="1314" t="s">
        <v>551</v>
      </c>
      <c r="G491" s="859">
        <v>160</v>
      </c>
      <c r="H491" s="994">
        <f t="shared" si="15"/>
        <v>108.80000000000001</v>
      </c>
      <c r="I491" s="658">
        <f t="shared" si="16"/>
        <v>0.05</v>
      </c>
    </row>
    <row r="492" spans="1:9" ht="19.5" customHeight="1">
      <c r="A492" s="474">
        <f t="shared" si="14"/>
        <v>61</v>
      </c>
      <c r="B492" t="s">
        <v>679</v>
      </c>
      <c r="C492" s="540"/>
      <c r="D492" s="541"/>
      <c r="E492" s="486"/>
      <c r="F492" s="1314" t="s">
        <v>551</v>
      </c>
      <c r="G492" s="859">
        <v>1</v>
      </c>
      <c r="H492" s="994">
        <f t="shared" si="15"/>
        <v>0.68</v>
      </c>
      <c r="I492" s="658">
        <f t="shared" si="16"/>
        <v>0</v>
      </c>
    </row>
    <row r="493" spans="1:9" ht="19.5" customHeight="1">
      <c r="A493" s="474">
        <f t="shared" si="14"/>
        <v>62</v>
      </c>
      <c r="B493" t="s">
        <v>679</v>
      </c>
      <c r="C493" s="540"/>
      <c r="D493" s="541"/>
      <c r="E493" s="486"/>
      <c r="F493" s="1314" t="s">
        <v>551</v>
      </c>
      <c r="G493" s="859">
        <v>29</v>
      </c>
      <c r="H493" s="994">
        <f t="shared" si="15"/>
        <v>19.720000000000002</v>
      </c>
      <c r="I493" s="658">
        <f t="shared" si="16"/>
        <v>0.01</v>
      </c>
    </row>
    <row r="494" spans="1:9" ht="19.5" customHeight="1">
      <c r="A494" s="474">
        <f t="shared" si="14"/>
        <v>63</v>
      </c>
      <c r="B494" t="s">
        <v>679</v>
      </c>
      <c r="C494" s="540"/>
      <c r="D494" s="541"/>
      <c r="E494" s="486"/>
      <c r="F494" s="1314" t="s">
        <v>551</v>
      </c>
      <c r="G494" s="859">
        <v>20</v>
      </c>
      <c r="H494" s="994">
        <f t="shared" si="15"/>
        <v>13.600000000000001</v>
      </c>
      <c r="I494" s="658">
        <f t="shared" si="16"/>
        <v>0.01</v>
      </c>
    </row>
    <row r="495" spans="1:9" ht="19.5" customHeight="1">
      <c r="A495" s="474">
        <f t="shared" si="14"/>
        <v>64</v>
      </c>
      <c r="B495" t="s">
        <v>685</v>
      </c>
      <c r="C495" s="540"/>
      <c r="D495" s="541"/>
      <c r="E495" s="486"/>
      <c r="F495" s="1314" t="s">
        <v>551</v>
      </c>
      <c r="G495" s="859">
        <v>57</v>
      </c>
      <c r="H495" s="994">
        <f t="shared" si="15"/>
        <v>38.760000000000005</v>
      </c>
      <c r="I495" s="658">
        <f t="shared" si="16"/>
        <v>0.02</v>
      </c>
    </row>
    <row r="496" spans="1:9" ht="19.5" customHeight="1">
      <c r="A496" s="474">
        <f t="shared" si="14"/>
        <v>65</v>
      </c>
      <c r="B496" t="s">
        <v>679</v>
      </c>
      <c r="C496" s="540"/>
      <c r="D496" s="541"/>
      <c r="E496" s="486"/>
      <c r="F496" s="1314" t="s">
        <v>551</v>
      </c>
      <c r="G496" s="859">
        <v>34</v>
      </c>
      <c r="H496" s="994">
        <f t="shared" si="15"/>
        <v>23.12</v>
      </c>
      <c r="I496" s="658">
        <f t="shared" si="16"/>
        <v>0.01</v>
      </c>
    </row>
    <row r="497" spans="1:9" ht="19.5" customHeight="1">
      <c r="A497" s="474">
        <f t="shared" si="14"/>
        <v>66</v>
      </c>
      <c r="B497" t="s">
        <v>679</v>
      </c>
      <c r="C497" s="540"/>
      <c r="D497" s="541"/>
      <c r="E497" s="486"/>
      <c r="F497" s="1314" t="s">
        <v>551</v>
      </c>
      <c r="G497" s="859">
        <v>84</v>
      </c>
      <c r="H497" s="994">
        <f t="shared" si="15"/>
        <v>57.120000000000005</v>
      </c>
      <c r="I497" s="658">
        <f t="shared" si="16"/>
        <v>0.03</v>
      </c>
    </row>
    <row r="498" spans="1:9" ht="19.5" customHeight="1">
      <c r="A498" s="474">
        <f aca="true" t="shared" si="17" ref="A498:A506">+A497+1</f>
        <v>67</v>
      </c>
      <c r="B498" t="s">
        <v>689</v>
      </c>
      <c r="C498" s="540"/>
      <c r="D498" s="541"/>
      <c r="E498" s="486"/>
      <c r="F498" s="1314" t="s">
        <v>551</v>
      </c>
      <c r="G498" s="859">
        <v>2913</v>
      </c>
      <c r="H498" s="994">
        <f t="shared" si="15"/>
        <v>1980.8400000000001</v>
      </c>
      <c r="I498" s="658">
        <f t="shared" si="16"/>
        <v>0.95</v>
      </c>
    </row>
    <row r="499" spans="1:9" ht="19.5" customHeight="1">
      <c r="A499" s="474">
        <f t="shared" si="17"/>
        <v>68</v>
      </c>
      <c r="B499" s="536" t="s">
        <v>685</v>
      </c>
      <c r="C499" s="540"/>
      <c r="D499" s="541"/>
      <c r="E499" s="486"/>
      <c r="F499" s="1314" t="s">
        <v>551</v>
      </c>
      <c r="G499" s="859">
        <v>102</v>
      </c>
      <c r="H499" s="994">
        <f t="shared" si="15"/>
        <v>69.36</v>
      </c>
      <c r="I499" s="658">
        <f t="shared" si="16"/>
        <v>0.03</v>
      </c>
    </row>
    <row r="500" spans="1:9" ht="19.5" customHeight="1">
      <c r="A500" s="474">
        <f t="shared" si="17"/>
        <v>69</v>
      </c>
      <c r="B500" t="s">
        <v>679</v>
      </c>
      <c r="C500" s="540"/>
      <c r="D500" s="541"/>
      <c r="E500" s="486"/>
      <c r="F500" s="1314" t="s">
        <v>551</v>
      </c>
      <c r="G500" s="859">
        <v>99</v>
      </c>
      <c r="H500" s="994">
        <f t="shared" si="15"/>
        <v>67.32000000000001</v>
      </c>
      <c r="I500" s="658">
        <f t="shared" si="16"/>
        <v>0.03</v>
      </c>
    </row>
    <row r="501" spans="1:9" ht="19.5" customHeight="1">
      <c r="A501" s="474">
        <f t="shared" si="17"/>
        <v>70</v>
      </c>
      <c r="B501" t="s">
        <v>685</v>
      </c>
      <c r="C501" s="540"/>
      <c r="D501" s="541"/>
      <c r="E501" s="486"/>
      <c r="F501" s="1314" t="s">
        <v>551</v>
      </c>
      <c r="G501" s="859">
        <v>813</v>
      </c>
      <c r="H501" s="994">
        <f t="shared" si="15"/>
        <v>552.84</v>
      </c>
      <c r="I501" s="658">
        <f t="shared" si="16"/>
        <v>0.27</v>
      </c>
    </row>
    <row r="502" spans="1:9" ht="19.5" customHeight="1">
      <c r="A502" s="474">
        <f t="shared" si="17"/>
        <v>71</v>
      </c>
      <c r="B502" t="s">
        <v>685</v>
      </c>
      <c r="C502" s="540"/>
      <c r="D502" s="541"/>
      <c r="E502" s="486"/>
      <c r="F502" s="1314" t="s">
        <v>551</v>
      </c>
      <c r="G502" s="859">
        <v>373</v>
      </c>
      <c r="H502" s="994">
        <f t="shared" si="15"/>
        <v>253.64000000000001</v>
      </c>
      <c r="I502" s="658">
        <f t="shared" si="16"/>
        <v>0.12</v>
      </c>
    </row>
    <row r="503" spans="1:9" ht="19.5" customHeight="1">
      <c r="A503" s="474">
        <f t="shared" si="17"/>
        <v>72</v>
      </c>
      <c r="B503" t="s">
        <v>679</v>
      </c>
      <c r="C503" s="540"/>
      <c r="D503" s="541"/>
      <c r="E503" s="486"/>
      <c r="F503" s="1314" t="s">
        <v>551</v>
      </c>
      <c r="G503" s="859">
        <v>804</v>
      </c>
      <c r="H503" s="994">
        <f t="shared" si="15"/>
        <v>546.72</v>
      </c>
      <c r="I503" s="658">
        <f t="shared" si="16"/>
        <v>0.26</v>
      </c>
    </row>
    <row r="504" spans="1:9" ht="19.5" customHeight="1">
      <c r="A504" s="474">
        <f t="shared" si="17"/>
        <v>73</v>
      </c>
      <c r="B504" t="s">
        <v>685</v>
      </c>
      <c r="C504" s="540"/>
      <c r="D504" s="541"/>
      <c r="E504" s="486"/>
      <c r="F504" s="1314" t="s">
        <v>551</v>
      </c>
      <c r="G504" s="859">
        <v>80</v>
      </c>
      <c r="H504" s="994">
        <f t="shared" si="15"/>
        <v>54.400000000000006</v>
      </c>
      <c r="I504" s="658">
        <f t="shared" si="16"/>
        <v>0.03</v>
      </c>
    </row>
    <row r="505" spans="1:9" ht="19.5" customHeight="1">
      <c r="A505" s="474">
        <f t="shared" si="17"/>
        <v>74</v>
      </c>
      <c r="B505" t="s">
        <v>685</v>
      </c>
      <c r="C505" s="540"/>
      <c r="D505" s="541"/>
      <c r="E505" s="486"/>
      <c r="F505" s="1314" t="s">
        <v>551</v>
      </c>
      <c r="G505" s="859">
        <v>175</v>
      </c>
      <c r="H505" s="994">
        <f t="shared" si="15"/>
        <v>119.00000000000001</v>
      </c>
      <c r="I505" s="658">
        <f t="shared" si="16"/>
        <v>0.06</v>
      </c>
    </row>
    <row r="506" spans="1:9" ht="19.5" customHeight="1">
      <c r="A506" s="474">
        <f t="shared" si="17"/>
        <v>75</v>
      </c>
      <c r="B506" t="s">
        <v>685</v>
      </c>
      <c r="C506" s="540"/>
      <c r="D506" s="541"/>
      <c r="E506" s="486"/>
      <c r="F506" s="1314" t="s">
        <v>551</v>
      </c>
      <c r="G506" s="859">
        <v>1</v>
      </c>
      <c r="H506" s="994">
        <f t="shared" si="15"/>
        <v>0.68</v>
      </c>
      <c r="I506" s="658">
        <f t="shared" si="16"/>
        <v>0</v>
      </c>
    </row>
    <row r="507" spans="1:9" ht="19.5" customHeight="1" thickBot="1">
      <c r="A507" s="293"/>
      <c r="B507" s="1170" t="s">
        <v>277</v>
      </c>
      <c r="C507" s="1171"/>
      <c r="D507" s="1172"/>
      <c r="E507" s="380"/>
      <c r="F507" s="473"/>
      <c r="G507" s="630">
        <f>SUM(G432:G506)</f>
        <v>30382</v>
      </c>
      <c r="H507" s="630">
        <f>SUM(H432:H506)</f>
        <v>20659.76</v>
      </c>
      <c r="I507" s="631">
        <f>ROUND(H507/2080,2)</f>
        <v>9.93</v>
      </c>
    </row>
    <row r="508" spans="1:9" ht="19.5" customHeight="1" thickTop="1">
      <c r="A508" s="293"/>
      <c r="B508" s="375"/>
      <c r="C508" s="375"/>
      <c r="D508" s="375"/>
      <c r="E508" s="297"/>
      <c r="F508" s="368"/>
      <c r="G508" s="294"/>
      <c r="H508" s="295"/>
      <c r="I508" s="396"/>
    </row>
    <row r="509" spans="1:9" ht="19.5" customHeight="1">
      <c r="A509" s="207" t="s">
        <v>75</v>
      </c>
      <c r="B509" s="1184" t="s">
        <v>345</v>
      </c>
      <c r="C509" s="1185"/>
      <c r="D509" s="1186"/>
      <c r="E509" s="524"/>
      <c r="F509" s="338"/>
      <c r="G509" s="338"/>
      <c r="H509" s="390"/>
      <c r="I509" s="391"/>
    </row>
    <row r="510" spans="1:9" ht="19.5" customHeight="1">
      <c r="A510" s="474">
        <v>1</v>
      </c>
      <c r="B510" s="896" t="s">
        <v>702</v>
      </c>
      <c r="C510" s="897"/>
      <c r="D510" s="1046"/>
      <c r="E510" s="581" t="s">
        <v>475</v>
      </c>
      <c r="F510" s="775">
        <v>235444</v>
      </c>
      <c r="G510">
        <v>765</v>
      </c>
      <c r="H510" s="532">
        <v>2174</v>
      </c>
      <c r="I510" s="658">
        <f aca="true" t="shared" si="18" ref="I510:I573">ROUND(H510/2080,2)</f>
        <v>1.05</v>
      </c>
    </row>
    <row r="511" spans="1:9" ht="19.5" customHeight="1">
      <c r="A511" s="474">
        <v>2</v>
      </c>
      <c r="B511" s="896" t="s">
        <v>702</v>
      </c>
      <c r="C511" s="897"/>
      <c r="D511" s="1046"/>
      <c r="E511" s="617" t="s">
        <v>904</v>
      </c>
      <c r="F511" s="775">
        <v>57667</v>
      </c>
      <c r="G511">
        <v>0</v>
      </c>
      <c r="H511" s="532">
        <v>1768</v>
      </c>
      <c r="I511" s="658">
        <f t="shared" si="18"/>
        <v>0.85</v>
      </c>
    </row>
    <row r="512" spans="1:9" ht="19.5" customHeight="1">
      <c r="A512" s="474">
        <v>3</v>
      </c>
      <c r="B512" s="896" t="s">
        <v>702</v>
      </c>
      <c r="C512" s="897"/>
      <c r="D512" s="1046"/>
      <c r="E512" s="617" t="s">
        <v>904</v>
      </c>
      <c r="F512" s="775">
        <v>3469.1217280241226</v>
      </c>
      <c r="G512">
        <v>20</v>
      </c>
      <c r="H512" s="532">
        <v>60</v>
      </c>
      <c r="I512" s="658">
        <f t="shared" si="18"/>
        <v>0.03</v>
      </c>
    </row>
    <row r="513" spans="1:9" ht="19.5" customHeight="1">
      <c r="A513" s="474">
        <v>4</v>
      </c>
      <c r="B513" s="896" t="s">
        <v>702</v>
      </c>
      <c r="C513" s="897"/>
      <c r="D513" s="1046"/>
      <c r="E513" s="617" t="s">
        <v>904</v>
      </c>
      <c r="F513" s="775">
        <v>7511.20069311948</v>
      </c>
      <c r="G513">
        <v>0</v>
      </c>
      <c r="H513" s="532">
        <v>404.25</v>
      </c>
      <c r="I513" s="658">
        <f t="shared" si="18"/>
        <v>0.19</v>
      </c>
    </row>
    <row r="514" spans="1:9" ht="19.5" customHeight="1">
      <c r="A514" s="474">
        <v>5</v>
      </c>
      <c r="B514" s="896" t="s">
        <v>702</v>
      </c>
      <c r="C514" s="897"/>
      <c r="D514" s="1046"/>
      <c r="E514" s="908" t="s">
        <v>903</v>
      </c>
      <c r="F514" s="910">
        <v>44543</v>
      </c>
      <c r="G514" s="911">
        <v>1960</v>
      </c>
      <c r="H514" s="912">
        <v>1071.25</v>
      </c>
      <c r="I514" s="658">
        <f t="shared" si="18"/>
        <v>0.52</v>
      </c>
    </row>
    <row r="515" spans="1:9" ht="19.5" customHeight="1">
      <c r="A515" s="474">
        <v>6</v>
      </c>
      <c r="B515" s="896" t="s">
        <v>702</v>
      </c>
      <c r="C515" s="897"/>
      <c r="D515" s="1046"/>
      <c r="E515" s="617" t="s">
        <v>904</v>
      </c>
      <c r="F515" s="910">
        <v>4788.0728755721975</v>
      </c>
      <c r="G515" s="911">
        <v>0</v>
      </c>
      <c r="H515" s="912">
        <v>258.25</v>
      </c>
      <c r="I515" s="658">
        <f t="shared" si="18"/>
        <v>0.12</v>
      </c>
    </row>
    <row r="516" spans="1:9" ht="19.5" customHeight="1">
      <c r="A516" s="474">
        <v>7</v>
      </c>
      <c r="B516" s="896" t="s">
        <v>702</v>
      </c>
      <c r="C516" s="897"/>
      <c r="D516" s="1046"/>
      <c r="E516" s="617" t="s">
        <v>904</v>
      </c>
      <c r="F516" s="910">
        <v>6505</v>
      </c>
      <c r="G516" s="911">
        <v>0</v>
      </c>
      <c r="H516" s="912">
        <v>192</v>
      </c>
      <c r="I516" s="658">
        <f t="shared" si="18"/>
        <v>0.09</v>
      </c>
    </row>
    <row r="517" spans="1:9" ht="19.5" customHeight="1">
      <c r="A517" s="474">
        <v>8</v>
      </c>
      <c r="B517" s="896" t="s">
        <v>702</v>
      </c>
      <c r="C517" s="897"/>
      <c r="D517" s="1046"/>
      <c r="E517" s="909" t="s">
        <v>474</v>
      </c>
      <c r="F517" s="910">
        <v>5171.257006677453</v>
      </c>
      <c r="G517" s="911">
        <v>0</v>
      </c>
      <c r="H517" s="912">
        <v>129</v>
      </c>
      <c r="I517" s="658">
        <f t="shared" si="18"/>
        <v>0.06</v>
      </c>
    </row>
    <row r="518" spans="1:9" ht="19.5" customHeight="1">
      <c r="A518" s="474">
        <v>9</v>
      </c>
      <c r="B518" s="896" t="s">
        <v>702</v>
      </c>
      <c r="C518" s="897"/>
      <c r="D518" s="1046"/>
      <c r="E518" s="908" t="s">
        <v>474</v>
      </c>
      <c r="F518" s="910">
        <v>19943.47378067863</v>
      </c>
      <c r="G518" s="911">
        <v>172</v>
      </c>
      <c r="H518" s="912">
        <v>480</v>
      </c>
      <c r="I518" s="658">
        <f t="shared" si="18"/>
        <v>0.23</v>
      </c>
    </row>
    <row r="519" spans="1:9" ht="19.5" customHeight="1">
      <c r="A519" s="474">
        <v>10</v>
      </c>
      <c r="B519" s="896" t="s">
        <v>702</v>
      </c>
      <c r="C519" s="897"/>
      <c r="D519" s="1046"/>
      <c r="E519" s="617" t="s">
        <v>701</v>
      </c>
      <c r="F519" s="775">
        <v>24048</v>
      </c>
      <c r="G519">
        <v>350</v>
      </c>
      <c r="H519" s="532">
        <v>606.15</v>
      </c>
      <c r="I519" s="658">
        <f t="shared" si="18"/>
        <v>0.29</v>
      </c>
    </row>
    <row r="520" spans="1:9" ht="19.5" customHeight="1">
      <c r="A520" s="474">
        <v>11</v>
      </c>
      <c r="B520" s="896" t="s">
        <v>702</v>
      </c>
      <c r="C520" s="897"/>
      <c r="D520" s="1046"/>
      <c r="E520" s="581" t="s">
        <v>701</v>
      </c>
      <c r="F520" s="775">
        <v>42397.58281628327</v>
      </c>
      <c r="G520">
        <v>702</v>
      </c>
      <c r="H520" s="532">
        <v>1194</v>
      </c>
      <c r="I520" s="658">
        <f t="shared" si="18"/>
        <v>0.57</v>
      </c>
    </row>
    <row r="521" spans="1:9" ht="19.5" customHeight="1">
      <c r="A521" s="474">
        <v>12</v>
      </c>
      <c r="B521" s="896" t="s">
        <v>702</v>
      </c>
      <c r="C521" s="897"/>
      <c r="D521" s="1046"/>
      <c r="E521" s="581" t="s">
        <v>701</v>
      </c>
      <c r="F521" s="775">
        <v>7461</v>
      </c>
      <c r="G521">
        <v>29</v>
      </c>
      <c r="H521" s="532">
        <f>162+54</f>
        <v>216</v>
      </c>
      <c r="I521" s="658">
        <f t="shared" si="18"/>
        <v>0.1</v>
      </c>
    </row>
    <row r="522" spans="1:9" ht="19.5" customHeight="1">
      <c r="A522" s="474">
        <v>13</v>
      </c>
      <c r="B522" s="896" t="s">
        <v>702</v>
      </c>
      <c r="C522" s="897"/>
      <c r="D522" s="1046"/>
      <c r="E522" s="581" t="s">
        <v>701</v>
      </c>
      <c r="F522" s="775">
        <f>15610.7521325394+24561</f>
        <v>40171.7521325394</v>
      </c>
      <c r="G522">
        <v>1107</v>
      </c>
      <c r="H522" s="532">
        <f>416+624</f>
        <v>1040</v>
      </c>
      <c r="I522" s="658">
        <f t="shared" si="18"/>
        <v>0.5</v>
      </c>
    </row>
    <row r="523" spans="1:9" ht="19.5" customHeight="1">
      <c r="A523" s="474">
        <v>14</v>
      </c>
      <c r="B523" s="896" t="s">
        <v>702</v>
      </c>
      <c r="C523" s="897"/>
      <c r="D523" s="1046"/>
      <c r="E523" s="581" t="s">
        <v>701</v>
      </c>
      <c r="F523" s="775">
        <f>4488.5709072688+32597+14896</f>
        <v>51981.5709072688</v>
      </c>
      <c r="G523">
        <v>1157</v>
      </c>
      <c r="H523" s="532">
        <f>136+854.69+406.56</f>
        <v>1397.25</v>
      </c>
      <c r="I523" s="658">
        <f t="shared" si="18"/>
        <v>0.67</v>
      </c>
    </row>
    <row r="524" spans="1:9" ht="19.5" customHeight="1">
      <c r="A524" s="474">
        <v>15</v>
      </c>
      <c r="B524" s="896" t="s">
        <v>702</v>
      </c>
      <c r="C524" s="897"/>
      <c r="D524" s="1046"/>
      <c r="E524" s="581" t="s">
        <v>701</v>
      </c>
      <c r="F524" s="775">
        <f>57131.7968643749+2425</f>
        <v>59556.7968643749</v>
      </c>
      <c r="G524">
        <v>874</v>
      </c>
      <c r="H524" s="532">
        <f>1581+70</f>
        <v>1651</v>
      </c>
      <c r="I524" s="658">
        <f t="shared" si="18"/>
        <v>0.79</v>
      </c>
    </row>
    <row r="525" spans="1:9" ht="19.5" customHeight="1">
      <c r="A525" s="474">
        <v>16</v>
      </c>
      <c r="B525" s="896" t="s">
        <v>702</v>
      </c>
      <c r="C525" s="897"/>
      <c r="D525" s="1046"/>
      <c r="E525" s="837" t="s">
        <v>701</v>
      </c>
      <c r="F525" s="913">
        <f>90.5972157758996+67387+14994</f>
        <v>82471.5972157759</v>
      </c>
      <c r="G525" s="717">
        <v>1699</v>
      </c>
      <c r="H525" s="914">
        <f>2.5+1697.3+382.7</f>
        <v>2082.5</v>
      </c>
      <c r="I525" s="658">
        <f t="shared" si="18"/>
        <v>1</v>
      </c>
    </row>
    <row r="526" spans="1:9" ht="19.5" customHeight="1">
      <c r="A526" s="474">
        <v>17</v>
      </c>
      <c r="B526" s="896" t="s">
        <v>702</v>
      </c>
      <c r="C526" s="897"/>
      <c r="D526" s="1046"/>
      <c r="E526" s="837" t="s">
        <v>701</v>
      </c>
      <c r="F526" s="913">
        <f>19187.0271162135+125+410</f>
        <v>19722.0271162135</v>
      </c>
      <c r="G526" s="717">
        <f>194-95</f>
        <v>99</v>
      </c>
      <c r="H526" s="914">
        <f>336.576309+2.78+9.1</f>
        <v>348.456309</v>
      </c>
      <c r="I526" s="658">
        <f t="shared" si="18"/>
        <v>0.17</v>
      </c>
    </row>
    <row r="527" spans="1:9" ht="19.5" customHeight="1">
      <c r="A527" s="474">
        <v>18</v>
      </c>
      <c r="B527" s="896" t="s">
        <v>702</v>
      </c>
      <c r="C527" s="897"/>
      <c r="D527" s="1046"/>
      <c r="E527" s="837" t="s">
        <v>701</v>
      </c>
      <c r="F527" s="913">
        <v>75058</v>
      </c>
      <c r="G527" s="717">
        <v>1729</v>
      </c>
      <c r="H527" s="914">
        <v>1760</v>
      </c>
      <c r="I527" s="658">
        <f t="shared" si="18"/>
        <v>0.85</v>
      </c>
    </row>
    <row r="528" spans="1:9" ht="19.5" customHeight="1">
      <c r="A528" s="474">
        <v>19</v>
      </c>
      <c r="B528" s="896" t="s">
        <v>702</v>
      </c>
      <c r="C528" s="897"/>
      <c r="D528" s="1046"/>
      <c r="E528" s="617" t="s">
        <v>906</v>
      </c>
      <c r="F528" s="775">
        <f>44570.3726352555+285</f>
        <v>44855.3726352555</v>
      </c>
      <c r="G528">
        <v>0</v>
      </c>
      <c r="H528" s="532">
        <v>2109.25</v>
      </c>
      <c r="I528" s="658">
        <f t="shared" si="18"/>
        <v>1.01</v>
      </c>
    </row>
    <row r="529" spans="1:9" ht="19.5" customHeight="1">
      <c r="A529" s="474">
        <v>20</v>
      </c>
      <c r="B529" s="896" t="s">
        <v>702</v>
      </c>
      <c r="C529" s="897"/>
      <c r="D529" s="1046"/>
      <c r="E529" s="617" t="s">
        <v>906</v>
      </c>
      <c r="F529" s="775">
        <f>46200.9521483514+285</f>
        <v>46485.9521483514</v>
      </c>
      <c r="G529">
        <v>0</v>
      </c>
      <c r="H529" s="532">
        <v>2082</v>
      </c>
      <c r="I529" s="658">
        <f t="shared" si="18"/>
        <v>1</v>
      </c>
    </row>
    <row r="530" spans="1:9" ht="19.5" customHeight="1">
      <c r="A530" s="474">
        <v>21</v>
      </c>
      <c r="B530" s="896" t="s">
        <v>702</v>
      </c>
      <c r="C530" s="897"/>
      <c r="D530" s="1046"/>
      <c r="E530" s="617" t="s">
        <v>906</v>
      </c>
      <c r="F530" s="775">
        <f>48821.8674654896+8145</f>
        <v>56966.8674654896</v>
      </c>
      <c r="G530">
        <v>0</v>
      </c>
      <c r="H530" s="532">
        <v>2082</v>
      </c>
      <c r="I530" s="658">
        <f t="shared" si="18"/>
        <v>1</v>
      </c>
    </row>
    <row r="531" spans="1:9" ht="19.5" customHeight="1">
      <c r="A531" s="474">
        <v>22</v>
      </c>
      <c r="B531" s="896" t="s">
        <v>702</v>
      </c>
      <c r="C531" s="897"/>
      <c r="D531" s="1046"/>
      <c r="E531" s="617" t="s">
        <v>906</v>
      </c>
      <c r="F531" s="775">
        <f>56414.2148019871+285</f>
        <v>56699.2148019871</v>
      </c>
      <c r="G531">
        <v>0</v>
      </c>
      <c r="H531" s="532">
        <v>2082</v>
      </c>
      <c r="I531" s="658">
        <f t="shared" si="18"/>
        <v>1</v>
      </c>
    </row>
    <row r="532" spans="1:9" ht="19.5" customHeight="1">
      <c r="A532" s="474">
        <v>23</v>
      </c>
      <c r="B532" s="896" t="s">
        <v>702</v>
      </c>
      <c r="C532" s="897"/>
      <c r="D532" s="1046"/>
      <c r="E532" s="617" t="s">
        <v>906</v>
      </c>
      <c r="F532" s="775">
        <f>39884.0913438245+5231</f>
        <v>45115.0913438245</v>
      </c>
      <c r="G532">
        <v>0</v>
      </c>
      <c r="H532" s="532">
        <f>1865+240.75</f>
        <v>2105.75</v>
      </c>
      <c r="I532" s="658">
        <f t="shared" si="18"/>
        <v>1.01</v>
      </c>
    </row>
    <row r="533" spans="1:9" ht="19.5" customHeight="1">
      <c r="A533" s="474">
        <v>24</v>
      </c>
      <c r="B533" s="898" t="s">
        <v>702</v>
      </c>
      <c r="C533" s="897"/>
      <c r="D533" s="1046"/>
      <c r="E533" s="581" t="s">
        <v>701</v>
      </c>
      <c r="F533" s="775">
        <f>48925.7035000752+11286+2381</f>
        <v>62592.7035000752</v>
      </c>
      <c r="G533">
        <f>859-29</f>
        <v>830</v>
      </c>
      <c r="H533" s="532">
        <f>1133.216026+255.17+59.61</f>
        <v>1447.996026</v>
      </c>
      <c r="I533" s="658">
        <f t="shared" si="18"/>
        <v>0.7</v>
      </c>
    </row>
    <row r="534" spans="1:9" ht="19.5" customHeight="1">
      <c r="A534" s="474">
        <v>25</v>
      </c>
      <c r="B534" s="899" t="s">
        <v>702</v>
      </c>
      <c r="C534" s="900"/>
      <c r="D534" s="543"/>
      <c r="E534" s="581" t="s">
        <v>701</v>
      </c>
      <c r="F534" s="775">
        <f>8938.75825962368+5215+1755</f>
        <v>15908.75825962368</v>
      </c>
      <c r="G534">
        <v>95</v>
      </c>
      <c r="H534" s="532">
        <f>161.947057+67.34+42.71</f>
        <v>271.997057</v>
      </c>
      <c r="I534" s="658">
        <f t="shared" si="18"/>
        <v>0.13</v>
      </c>
    </row>
    <row r="535" spans="1:9" ht="19.5" customHeight="1">
      <c r="A535" s="474">
        <f>+A534+1</f>
        <v>26</v>
      </c>
      <c r="B535" s="899" t="s">
        <v>702</v>
      </c>
      <c r="C535" s="900"/>
      <c r="D535" s="543"/>
      <c r="E535" s="617" t="s">
        <v>907</v>
      </c>
      <c r="F535" s="775">
        <v>417.90972321405</v>
      </c>
      <c r="G535">
        <v>0</v>
      </c>
      <c r="H535" s="532">
        <v>13</v>
      </c>
      <c r="I535" s="658">
        <f t="shared" si="18"/>
        <v>0.01</v>
      </c>
    </row>
    <row r="536" spans="1:9" ht="19.5" customHeight="1">
      <c r="A536" s="474">
        <f aca="true" t="shared" si="19" ref="A536:A587">+A535+1</f>
        <v>27</v>
      </c>
      <c r="B536" s="899" t="s">
        <v>702</v>
      </c>
      <c r="C536" s="900"/>
      <c r="D536" s="543"/>
      <c r="E536" s="617" t="s">
        <v>907</v>
      </c>
      <c r="F536" s="775">
        <v>483.6829009947169</v>
      </c>
      <c r="G536">
        <v>0</v>
      </c>
      <c r="H536" s="532">
        <v>15.75</v>
      </c>
      <c r="I536" s="658">
        <f t="shared" si="18"/>
        <v>0.01</v>
      </c>
    </row>
    <row r="537" spans="1:9" ht="19.5" customHeight="1">
      <c r="A537" s="474">
        <f t="shared" si="19"/>
        <v>28</v>
      </c>
      <c r="B537" s="899" t="s">
        <v>702</v>
      </c>
      <c r="C537" s="900"/>
      <c r="D537" s="543"/>
      <c r="E537" s="617" t="s">
        <v>907</v>
      </c>
      <c r="F537" s="775">
        <v>1211.6375428436127</v>
      </c>
      <c r="G537">
        <v>0</v>
      </c>
      <c r="H537" s="532">
        <v>46.5</v>
      </c>
      <c r="I537" s="658">
        <f t="shared" si="18"/>
        <v>0.02</v>
      </c>
    </row>
    <row r="538" spans="1:9" ht="19.5" customHeight="1">
      <c r="A538" s="474">
        <f t="shared" si="19"/>
        <v>29</v>
      </c>
      <c r="B538" s="899" t="s">
        <v>702</v>
      </c>
      <c r="C538" s="900"/>
      <c r="D538" s="543"/>
      <c r="E538" s="617" t="s">
        <v>907</v>
      </c>
      <c r="F538" s="775">
        <v>1984.3195490739067</v>
      </c>
      <c r="G538">
        <v>0</v>
      </c>
      <c r="H538" s="532">
        <v>82.5</v>
      </c>
      <c r="I538" s="658">
        <f t="shared" si="18"/>
        <v>0.04</v>
      </c>
    </row>
    <row r="539" spans="1:9" ht="19.5" customHeight="1">
      <c r="A539" s="474">
        <f t="shared" si="19"/>
        <v>30</v>
      </c>
      <c r="B539" s="899" t="s">
        <v>702</v>
      </c>
      <c r="C539" s="900"/>
      <c r="D539" s="543"/>
      <c r="E539" s="617" t="s">
        <v>907</v>
      </c>
      <c r="F539" s="775">
        <v>330.7199248456511</v>
      </c>
      <c r="G539">
        <v>0</v>
      </c>
      <c r="H539" s="532">
        <v>13.75</v>
      </c>
      <c r="I539" s="658">
        <f t="shared" si="18"/>
        <v>0.01</v>
      </c>
    </row>
    <row r="540" spans="1:9" ht="19.5" customHeight="1">
      <c r="A540" s="474">
        <f t="shared" si="19"/>
        <v>31</v>
      </c>
      <c r="B540" s="899" t="s">
        <v>702</v>
      </c>
      <c r="C540" s="900"/>
      <c r="D540" s="543"/>
      <c r="E540" s="617" t="s">
        <v>907</v>
      </c>
      <c r="F540" s="775">
        <v>212.96358796879048</v>
      </c>
      <c r="G540">
        <v>0</v>
      </c>
      <c r="H540" s="532">
        <v>8.5</v>
      </c>
      <c r="I540" s="658">
        <f t="shared" si="18"/>
        <v>0</v>
      </c>
    </row>
    <row r="541" spans="1:9" ht="19.5" customHeight="1">
      <c r="A541" s="474">
        <f t="shared" si="19"/>
        <v>32</v>
      </c>
      <c r="B541" s="899" t="s">
        <v>702</v>
      </c>
      <c r="C541" s="900"/>
      <c r="D541" s="543"/>
      <c r="E541" s="617" t="s">
        <v>907</v>
      </c>
      <c r="F541" s="775">
        <v>180.39268627944605</v>
      </c>
      <c r="G541">
        <v>0</v>
      </c>
      <c r="H541" s="532">
        <v>7.5</v>
      </c>
      <c r="I541" s="658">
        <f t="shared" si="18"/>
        <v>0</v>
      </c>
    </row>
    <row r="542" spans="1:9" ht="19.5" customHeight="1">
      <c r="A542" s="474">
        <f t="shared" si="19"/>
        <v>33</v>
      </c>
      <c r="B542" s="899" t="s">
        <v>702</v>
      </c>
      <c r="C542" s="900"/>
      <c r="D542" s="543"/>
      <c r="E542" s="617" t="s">
        <v>907</v>
      </c>
      <c r="F542" s="775">
        <v>11393.000756455549</v>
      </c>
      <c r="G542">
        <v>295</v>
      </c>
      <c r="H542" s="532">
        <v>441.25</v>
      </c>
      <c r="I542" s="658">
        <f t="shared" si="18"/>
        <v>0.21</v>
      </c>
    </row>
    <row r="543" spans="1:9" ht="19.5" customHeight="1">
      <c r="A543" s="474">
        <f t="shared" si="19"/>
        <v>34</v>
      </c>
      <c r="B543" s="899" t="s">
        <v>702</v>
      </c>
      <c r="C543" s="900"/>
      <c r="D543" s="543"/>
      <c r="E543" s="617" t="s">
        <v>907</v>
      </c>
      <c r="F543" s="775">
        <v>252.42949900037152</v>
      </c>
      <c r="G543">
        <v>1</v>
      </c>
      <c r="H543" s="532">
        <v>7.75</v>
      </c>
      <c r="I543" s="658">
        <f t="shared" si="18"/>
        <v>0</v>
      </c>
    </row>
    <row r="544" spans="1:9" ht="19.5" customHeight="1">
      <c r="A544" s="474">
        <f t="shared" si="19"/>
        <v>35</v>
      </c>
      <c r="B544" s="899" t="s">
        <v>702</v>
      </c>
      <c r="C544" s="900"/>
      <c r="D544" s="543"/>
      <c r="E544" s="617" t="s">
        <v>907</v>
      </c>
      <c r="F544" s="775">
        <v>11654.570151560745</v>
      </c>
      <c r="G544">
        <v>0</v>
      </c>
      <c r="H544" s="532">
        <v>448.5</v>
      </c>
      <c r="I544" s="658">
        <f t="shared" si="18"/>
        <v>0.22</v>
      </c>
    </row>
    <row r="545" spans="1:9" ht="19.5" customHeight="1">
      <c r="A545" s="474">
        <f t="shared" si="19"/>
        <v>36</v>
      </c>
      <c r="B545" s="899" t="s">
        <v>702</v>
      </c>
      <c r="C545" s="900"/>
      <c r="D545" s="543"/>
      <c r="E545" s="617" t="s">
        <v>907</v>
      </c>
      <c r="F545" s="775">
        <v>195.42541013606657</v>
      </c>
      <c r="G545">
        <v>0</v>
      </c>
      <c r="H545" s="532">
        <v>6.5</v>
      </c>
      <c r="I545" s="658">
        <f t="shared" si="18"/>
        <v>0</v>
      </c>
    </row>
    <row r="546" spans="1:9" ht="19.5" customHeight="1">
      <c r="A546" s="474">
        <f t="shared" si="19"/>
        <v>37</v>
      </c>
      <c r="B546" s="899" t="s">
        <v>702</v>
      </c>
      <c r="C546" s="900"/>
      <c r="D546" s="543"/>
      <c r="E546" s="581" t="s">
        <v>699</v>
      </c>
      <c r="F546" s="775">
        <f>19193.6415147104+12551</f>
        <v>31744.6415147104</v>
      </c>
      <c r="G546">
        <v>22</v>
      </c>
      <c r="H546" s="532">
        <f>850.199999999999+566.8</f>
        <v>1416.999999999999</v>
      </c>
      <c r="I546" s="658">
        <f t="shared" si="18"/>
        <v>0.68</v>
      </c>
    </row>
    <row r="547" spans="1:9" ht="19.5" customHeight="1">
      <c r="A547" s="474">
        <f t="shared" si="19"/>
        <v>38</v>
      </c>
      <c r="B547" s="899" t="s">
        <v>702</v>
      </c>
      <c r="C547" s="900"/>
      <c r="D547" s="543"/>
      <c r="E547" s="581" t="s">
        <v>700</v>
      </c>
      <c r="F547" s="775">
        <v>119509.64354752188</v>
      </c>
      <c r="G547">
        <v>977</v>
      </c>
      <c r="H547" s="532">
        <v>1040</v>
      </c>
      <c r="I547" s="658">
        <f t="shared" si="18"/>
        <v>0.5</v>
      </c>
    </row>
    <row r="548" spans="1:9" ht="19.5" customHeight="1">
      <c r="A548" s="474">
        <f t="shared" si="19"/>
        <v>39</v>
      </c>
      <c r="B548" s="899" t="s">
        <v>702</v>
      </c>
      <c r="C548" s="900"/>
      <c r="D548" s="543"/>
      <c r="E548" s="581" t="s">
        <v>700</v>
      </c>
      <c r="F548" s="775">
        <v>47839.60924506616</v>
      </c>
      <c r="G548">
        <v>742</v>
      </c>
      <c r="H548" s="532">
        <v>409</v>
      </c>
      <c r="I548" s="658">
        <f t="shared" si="18"/>
        <v>0.2</v>
      </c>
    </row>
    <row r="549" spans="1:9" ht="19.5" customHeight="1">
      <c r="A549" s="474">
        <f t="shared" si="19"/>
        <v>40</v>
      </c>
      <c r="B549" s="899" t="s">
        <v>702</v>
      </c>
      <c r="C549" s="900"/>
      <c r="D549" s="543"/>
      <c r="E549" s="581" t="s">
        <v>700</v>
      </c>
      <c r="F549" s="775">
        <f>44674.6095424774+57+44973</f>
        <v>89704.60954247741</v>
      </c>
      <c r="G549">
        <v>1406</v>
      </c>
      <c r="H549" s="532">
        <f>382.5+385.25</f>
        <v>767.75</v>
      </c>
      <c r="I549" s="658">
        <f t="shared" si="18"/>
        <v>0.37</v>
      </c>
    </row>
    <row r="550" spans="1:9" ht="19.5" customHeight="1">
      <c r="A550" s="474">
        <f t="shared" si="19"/>
        <v>41</v>
      </c>
      <c r="B550" s="899" t="s">
        <v>702</v>
      </c>
      <c r="C550" s="900"/>
      <c r="D550" s="543"/>
      <c r="E550" s="581" t="s">
        <v>700</v>
      </c>
      <c r="F550" s="775">
        <v>29529.94200220457</v>
      </c>
      <c r="G550">
        <v>777</v>
      </c>
      <c r="H550" s="532">
        <v>256.5</v>
      </c>
      <c r="I550" s="658">
        <f t="shared" si="18"/>
        <v>0.12</v>
      </c>
    </row>
    <row r="551" spans="1:9" ht="19.5" customHeight="1">
      <c r="A551" s="474">
        <f t="shared" si="19"/>
        <v>42</v>
      </c>
      <c r="B551" s="899" t="s">
        <v>702</v>
      </c>
      <c r="C551" s="900"/>
      <c r="D551" s="543"/>
      <c r="E551" s="915" t="s">
        <v>908</v>
      </c>
      <c r="F551" s="881">
        <v>91459.39259815628</v>
      </c>
      <c r="G551" s="907">
        <v>150</v>
      </c>
      <c r="H551" s="882">
        <v>2080</v>
      </c>
      <c r="I551" s="658">
        <f t="shared" si="18"/>
        <v>1</v>
      </c>
    </row>
    <row r="552" spans="1:9" ht="19.5" customHeight="1">
      <c r="A552" s="474">
        <f t="shared" si="19"/>
        <v>43</v>
      </c>
      <c r="B552" s="899" t="s">
        <v>702</v>
      </c>
      <c r="C552" s="900"/>
      <c r="D552" s="543"/>
      <c r="E552" s="915" t="s">
        <v>904</v>
      </c>
      <c r="F552" s="881">
        <v>5625.706270678995</v>
      </c>
      <c r="G552" s="907">
        <v>160</v>
      </c>
      <c r="H552" s="882">
        <v>92.25</v>
      </c>
      <c r="I552" s="658">
        <f t="shared" si="18"/>
        <v>0.04</v>
      </c>
    </row>
    <row r="553" spans="1:9" ht="19.5" customHeight="1">
      <c r="A553" s="474">
        <f t="shared" si="19"/>
        <v>44</v>
      </c>
      <c r="B553" s="899" t="s">
        <v>702</v>
      </c>
      <c r="C553" s="900"/>
      <c r="D553" s="543"/>
      <c r="E553" s="915" t="s">
        <v>905</v>
      </c>
      <c r="F553" s="881">
        <v>3667.18287574305</v>
      </c>
      <c r="G553" s="907">
        <v>0</v>
      </c>
      <c r="H553" s="882">
        <v>113</v>
      </c>
      <c r="I553" s="658">
        <f t="shared" si="18"/>
        <v>0.05</v>
      </c>
    </row>
    <row r="554" spans="1:9" ht="19.5" customHeight="1">
      <c r="A554" s="474">
        <f t="shared" si="19"/>
        <v>45</v>
      </c>
      <c r="B554" s="899" t="s">
        <v>702</v>
      </c>
      <c r="C554" s="900"/>
      <c r="D554" s="543"/>
      <c r="E554" s="909" t="s">
        <v>474</v>
      </c>
      <c r="F554" s="881">
        <v>7399.447423969364</v>
      </c>
      <c r="G554" s="907">
        <v>30</v>
      </c>
      <c r="H554" s="882">
        <v>221.325</v>
      </c>
      <c r="I554" s="658">
        <f t="shared" si="18"/>
        <v>0.11</v>
      </c>
    </row>
    <row r="555" spans="1:9" ht="19.5" customHeight="1">
      <c r="A555" s="474">
        <f t="shared" si="19"/>
        <v>46</v>
      </c>
      <c r="B555" s="899" t="s">
        <v>702</v>
      </c>
      <c r="C555" s="900"/>
      <c r="D555" s="543"/>
      <c r="E555" s="909" t="s">
        <v>474</v>
      </c>
      <c r="F555" s="881">
        <v>1686.6716167128207</v>
      </c>
      <c r="G555" s="907">
        <v>39</v>
      </c>
      <c r="H555" s="882">
        <v>46.75</v>
      </c>
      <c r="I555" s="658">
        <f t="shared" si="18"/>
        <v>0.02</v>
      </c>
    </row>
    <row r="556" spans="1:9" ht="19.5" customHeight="1">
      <c r="A556" s="474">
        <f t="shared" si="19"/>
        <v>47</v>
      </c>
      <c r="B556" s="899" t="s">
        <v>702</v>
      </c>
      <c r="C556" s="900"/>
      <c r="D556" s="543"/>
      <c r="E556" s="909" t="s">
        <v>474</v>
      </c>
      <c r="F556" s="881">
        <v>3840.860945366539</v>
      </c>
      <c r="G556" s="907">
        <v>0</v>
      </c>
      <c r="H556" s="882">
        <v>109.5</v>
      </c>
      <c r="I556" s="658">
        <f t="shared" si="18"/>
        <v>0.05</v>
      </c>
    </row>
    <row r="557" spans="1:9" ht="19.5" customHeight="1">
      <c r="A557" s="474">
        <f t="shared" si="19"/>
        <v>48</v>
      </c>
      <c r="B557" s="899" t="s">
        <v>702</v>
      </c>
      <c r="C557" s="900"/>
      <c r="D557" s="543"/>
      <c r="E557" s="909" t="s">
        <v>474</v>
      </c>
      <c r="F557" s="881">
        <v>1550.3749204127948</v>
      </c>
      <c r="G557" s="907">
        <v>0</v>
      </c>
      <c r="H557" s="882">
        <v>45.5</v>
      </c>
      <c r="I557" s="658">
        <f t="shared" si="18"/>
        <v>0.02</v>
      </c>
    </row>
    <row r="558" spans="1:9" ht="19.5" customHeight="1">
      <c r="A558" s="474">
        <f t="shared" si="19"/>
        <v>49</v>
      </c>
      <c r="B558" s="899" t="s">
        <v>702</v>
      </c>
      <c r="C558" s="900"/>
      <c r="D558" s="543"/>
      <c r="E558" s="909" t="s">
        <v>474</v>
      </c>
      <c r="F558" s="881">
        <v>707.0391120563844</v>
      </c>
      <c r="G558" s="907">
        <v>0</v>
      </c>
      <c r="H558" s="882">
        <v>20.75</v>
      </c>
      <c r="I558" s="658">
        <f t="shared" si="18"/>
        <v>0.01</v>
      </c>
    </row>
    <row r="559" spans="1:9" ht="19.5" customHeight="1">
      <c r="A559" s="474">
        <f t="shared" si="19"/>
        <v>50</v>
      </c>
      <c r="B559" s="899" t="s">
        <v>702</v>
      </c>
      <c r="C559" s="900"/>
      <c r="D559" s="543"/>
      <c r="E559" s="909" t="s">
        <v>474</v>
      </c>
      <c r="F559" s="881">
        <v>1613.5123606106008</v>
      </c>
      <c r="G559" s="907">
        <v>0</v>
      </c>
      <c r="H559" s="882">
        <v>46</v>
      </c>
      <c r="I559" s="658">
        <f t="shared" si="18"/>
        <v>0.02</v>
      </c>
    </row>
    <row r="560" spans="1:9" ht="19.5" customHeight="1">
      <c r="A560" s="474">
        <f t="shared" si="19"/>
        <v>51</v>
      </c>
      <c r="B560" s="899" t="s">
        <v>702</v>
      </c>
      <c r="C560" s="900"/>
      <c r="D560" s="543"/>
      <c r="E560" s="909" t="s">
        <v>474</v>
      </c>
      <c r="F560" s="881">
        <v>2701.8815678299256</v>
      </c>
      <c r="G560" s="907">
        <v>0</v>
      </c>
      <c r="H560" s="882">
        <v>84.25</v>
      </c>
      <c r="I560" s="658">
        <f t="shared" si="18"/>
        <v>0.04</v>
      </c>
    </row>
    <row r="561" spans="1:9" ht="19.5" customHeight="1">
      <c r="A561" s="474">
        <f t="shared" si="19"/>
        <v>52</v>
      </c>
      <c r="B561" s="899" t="s">
        <v>702</v>
      </c>
      <c r="C561" s="900"/>
      <c r="D561" s="543"/>
      <c r="E561" s="909" t="s">
        <v>474</v>
      </c>
      <c r="F561" s="881">
        <v>7868.328102873262</v>
      </c>
      <c r="G561" s="907">
        <v>102</v>
      </c>
      <c r="H561" s="882">
        <v>236.25</v>
      </c>
      <c r="I561" s="658">
        <f t="shared" si="18"/>
        <v>0.11</v>
      </c>
    </row>
    <row r="562" spans="1:9" ht="19.5" customHeight="1">
      <c r="A562" s="474">
        <f t="shared" si="19"/>
        <v>53</v>
      </c>
      <c r="B562" s="899" t="s">
        <v>702</v>
      </c>
      <c r="C562" s="900"/>
      <c r="D562" s="543"/>
      <c r="E562" s="909" t="s">
        <v>474</v>
      </c>
      <c r="F562" s="881">
        <v>1193.2875979226312</v>
      </c>
      <c r="G562" s="907">
        <v>23</v>
      </c>
      <c r="H562" s="882">
        <v>34.013999999999996</v>
      </c>
      <c r="I562" s="658">
        <f t="shared" si="18"/>
        <v>0.02</v>
      </c>
    </row>
    <row r="563" spans="1:9" ht="19.5" customHeight="1">
      <c r="A563" s="474">
        <f t="shared" si="19"/>
        <v>54</v>
      </c>
      <c r="B563" s="899" t="s">
        <v>702</v>
      </c>
      <c r="C563" s="900"/>
      <c r="D563" s="543"/>
      <c r="E563" s="909" t="s">
        <v>474</v>
      </c>
      <c r="F563" s="881">
        <v>884.3250354054622</v>
      </c>
      <c r="G563" s="907">
        <v>0</v>
      </c>
      <c r="H563" s="882">
        <v>25.25</v>
      </c>
      <c r="I563" s="658">
        <f t="shared" si="18"/>
        <v>0.01</v>
      </c>
    </row>
    <row r="564" spans="1:9" ht="19.5" customHeight="1">
      <c r="A564" s="474">
        <f t="shared" si="19"/>
        <v>55</v>
      </c>
      <c r="B564" s="899" t="s">
        <v>702</v>
      </c>
      <c r="C564" s="900"/>
      <c r="D564" s="543"/>
      <c r="E564" s="909" t="s">
        <v>474</v>
      </c>
      <c r="F564" s="775">
        <v>3116.283655477431</v>
      </c>
      <c r="G564">
        <v>0</v>
      </c>
      <c r="H564" s="532">
        <v>101.25</v>
      </c>
      <c r="I564" s="658">
        <f t="shared" si="18"/>
        <v>0.05</v>
      </c>
    </row>
    <row r="565" spans="1:9" ht="19.5" customHeight="1">
      <c r="A565" s="474">
        <f t="shared" si="19"/>
        <v>56</v>
      </c>
      <c r="B565" s="899" t="s">
        <v>702</v>
      </c>
      <c r="C565" s="900"/>
      <c r="D565" s="543"/>
      <c r="E565" s="909" t="s">
        <v>474</v>
      </c>
      <c r="F565" s="775">
        <v>4249.751034266616</v>
      </c>
      <c r="G565">
        <v>267</v>
      </c>
      <c r="H565" s="532">
        <v>128.5</v>
      </c>
      <c r="I565" s="658">
        <f t="shared" si="18"/>
        <v>0.06</v>
      </c>
    </row>
    <row r="566" spans="1:9" ht="19.5" customHeight="1">
      <c r="A566" s="474">
        <f t="shared" si="19"/>
        <v>57</v>
      </c>
      <c r="B566" s="899" t="s">
        <v>702</v>
      </c>
      <c r="C566" s="900"/>
      <c r="D566" s="543"/>
      <c r="E566" s="909" t="s">
        <v>474</v>
      </c>
      <c r="F566" s="775">
        <v>2674.8226648880086</v>
      </c>
      <c r="G566">
        <v>0</v>
      </c>
      <c r="H566" s="532">
        <v>78.5</v>
      </c>
      <c r="I566" s="658">
        <f t="shared" si="18"/>
        <v>0.04</v>
      </c>
    </row>
    <row r="567" spans="1:9" ht="19.5" customHeight="1">
      <c r="A567" s="474">
        <f t="shared" si="19"/>
        <v>58</v>
      </c>
      <c r="B567" s="899" t="s">
        <v>702</v>
      </c>
      <c r="C567" s="900"/>
      <c r="D567" s="543"/>
      <c r="E567" s="909" t="s">
        <v>474</v>
      </c>
      <c r="F567" s="775">
        <v>4109.475677052538</v>
      </c>
      <c r="G567">
        <v>197</v>
      </c>
      <c r="H567" s="532">
        <v>107.75</v>
      </c>
      <c r="I567" s="658">
        <f t="shared" si="18"/>
        <v>0.05</v>
      </c>
    </row>
    <row r="568" spans="1:9" ht="19.5" customHeight="1">
      <c r="A568" s="474">
        <f t="shared" si="19"/>
        <v>59</v>
      </c>
      <c r="B568" s="899" t="s">
        <v>702</v>
      </c>
      <c r="C568" s="900"/>
      <c r="D568" s="543"/>
      <c r="E568" s="909" t="s">
        <v>474</v>
      </c>
      <c r="F568" s="775">
        <v>12898.087090796298</v>
      </c>
      <c r="G568">
        <v>0</v>
      </c>
      <c r="H568" s="532">
        <v>382.25</v>
      </c>
      <c r="I568" s="658">
        <f t="shared" si="18"/>
        <v>0.18</v>
      </c>
    </row>
    <row r="569" spans="1:9" ht="19.5" customHeight="1">
      <c r="A569" s="474">
        <f t="shared" si="19"/>
        <v>60</v>
      </c>
      <c r="B569" s="899" t="s">
        <v>702</v>
      </c>
      <c r="C569" s="900"/>
      <c r="D569" s="543"/>
      <c r="E569" s="909" t="s">
        <v>474</v>
      </c>
      <c r="F569" s="775">
        <v>766.6689166876457</v>
      </c>
      <c r="G569">
        <v>0</v>
      </c>
      <c r="H569" s="532">
        <v>21.25</v>
      </c>
      <c r="I569" s="658">
        <f t="shared" si="18"/>
        <v>0.01</v>
      </c>
    </row>
    <row r="570" spans="1:9" ht="19.5" customHeight="1">
      <c r="A570" s="474">
        <f t="shared" si="19"/>
        <v>61</v>
      </c>
      <c r="B570" s="899" t="s">
        <v>702</v>
      </c>
      <c r="C570" s="900"/>
      <c r="D570" s="543"/>
      <c r="E570" s="909" t="s">
        <v>474</v>
      </c>
      <c r="F570" s="1315">
        <v>526.1453349817177</v>
      </c>
      <c r="G570">
        <v>0</v>
      </c>
      <c r="H570" s="532">
        <v>0</v>
      </c>
      <c r="I570" s="658">
        <f t="shared" si="18"/>
        <v>0</v>
      </c>
    </row>
    <row r="571" spans="1:9" ht="19.5" customHeight="1">
      <c r="A571" s="474">
        <f t="shared" si="19"/>
        <v>62</v>
      </c>
      <c r="B571" s="899" t="s">
        <v>702</v>
      </c>
      <c r="C571" s="900"/>
      <c r="D571" s="543"/>
      <c r="E571" s="909" t="s">
        <v>474</v>
      </c>
      <c r="F571" s="775">
        <v>272.8439379976622</v>
      </c>
      <c r="G571">
        <v>0</v>
      </c>
      <c r="H571" s="532">
        <v>8.25</v>
      </c>
      <c r="I571" s="658">
        <f t="shared" si="18"/>
        <v>0</v>
      </c>
    </row>
    <row r="572" spans="1:9" ht="19.5" customHeight="1">
      <c r="A572" s="474">
        <f t="shared" si="19"/>
        <v>63</v>
      </c>
      <c r="B572" s="899" t="s">
        <v>913</v>
      </c>
      <c r="C572" s="900"/>
      <c r="D572" s="543"/>
      <c r="E572" s="915" t="s">
        <v>921</v>
      </c>
      <c r="F572" s="775">
        <v>703.5314764898396</v>
      </c>
      <c r="G572"/>
      <c r="H572" s="532">
        <v>19.5</v>
      </c>
      <c r="I572" s="658">
        <f t="shared" si="18"/>
        <v>0.01</v>
      </c>
    </row>
    <row r="573" spans="1:9" ht="19.5" customHeight="1">
      <c r="A573" s="474">
        <f t="shared" si="19"/>
        <v>64</v>
      </c>
      <c r="B573" s="899" t="s">
        <v>913</v>
      </c>
      <c r="C573" s="900"/>
      <c r="D573" s="543"/>
      <c r="E573" s="915" t="s">
        <v>921</v>
      </c>
      <c r="F573" s="775">
        <v>1570.1780286399162</v>
      </c>
      <c r="G573"/>
      <c r="H573" s="532">
        <v>20</v>
      </c>
      <c r="I573" s="658">
        <f t="shared" si="18"/>
        <v>0.01</v>
      </c>
    </row>
    <row r="574" spans="1:9" ht="19.5" customHeight="1">
      <c r="A574" s="474">
        <f t="shared" si="19"/>
        <v>65</v>
      </c>
      <c r="B574" s="899" t="s">
        <v>913</v>
      </c>
      <c r="C574" s="900"/>
      <c r="D574" s="543"/>
      <c r="E574" s="915" t="s">
        <v>921</v>
      </c>
      <c r="F574" s="775">
        <f>1281+1281</f>
        <v>2562</v>
      </c>
      <c r="G574"/>
      <c r="H574" s="532">
        <f>29.95+29.95</f>
        <v>59.9</v>
      </c>
      <c r="I574" s="658">
        <f aca="true" t="shared" si="20" ref="I574:I591">ROUND(H574/2080,2)</f>
        <v>0.03</v>
      </c>
    </row>
    <row r="575" spans="1:9" ht="19.5" customHeight="1">
      <c r="A575" s="474">
        <f t="shared" si="19"/>
        <v>66</v>
      </c>
      <c r="B575" s="899" t="s">
        <v>913</v>
      </c>
      <c r="C575" s="900"/>
      <c r="D575" s="543"/>
      <c r="E575" s="915" t="s">
        <v>921</v>
      </c>
      <c r="F575" s="775">
        <v>5072.271530989572</v>
      </c>
      <c r="G575"/>
      <c r="H575" s="532">
        <v>266.13</v>
      </c>
      <c r="I575" s="658">
        <f t="shared" si="20"/>
        <v>0.13</v>
      </c>
    </row>
    <row r="576" spans="1:9" ht="19.5" customHeight="1">
      <c r="A576" s="474">
        <f t="shared" si="19"/>
        <v>67</v>
      </c>
      <c r="B576" s="899" t="s">
        <v>913</v>
      </c>
      <c r="C576" s="900"/>
      <c r="D576" s="543"/>
      <c r="E576" s="915" t="s">
        <v>921</v>
      </c>
      <c r="F576" s="775">
        <v>1292.062615476532</v>
      </c>
      <c r="G576"/>
      <c r="H576" s="532">
        <v>28.660210999999997</v>
      </c>
      <c r="I576" s="658">
        <f t="shared" si="20"/>
        <v>0.01</v>
      </c>
    </row>
    <row r="577" spans="1:9" ht="19.5" customHeight="1">
      <c r="A577" s="474">
        <f t="shared" si="19"/>
        <v>68</v>
      </c>
      <c r="B577" s="899" t="s">
        <v>913</v>
      </c>
      <c r="C577" s="900"/>
      <c r="D577" s="543"/>
      <c r="E577" s="915" t="s">
        <v>921</v>
      </c>
      <c r="F577" s="775">
        <f>1719+1251+18465+13+1539+64+2630</f>
        <v>25681</v>
      </c>
      <c r="G577" s="764">
        <v>272</v>
      </c>
      <c r="H577" s="532">
        <f>57+48.5+704.05+0.5+53.5+2.5+93.5</f>
        <v>959.55</v>
      </c>
      <c r="I577" s="658">
        <f t="shared" si="20"/>
        <v>0.46</v>
      </c>
    </row>
    <row r="578" spans="1:9" ht="19.5" customHeight="1">
      <c r="A578" s="474">
        <f t="shared" si="19"/>
        <v>69</v>
      </c>
      <c r="B578" s="899" t="s">
        <v>913</v>
      </c>
      <c r="C578" s="900"/>
      <c r="D578" s="543"/>
      <c r="E578" s="915" t="s">
        <v>921</v>
      </c>
      <c r="F578" s="775">
        <f>1125+251</f>
        <v>1376</v>
      </c>
      <c r="G578" s="764"/>
      <c r="H578" s="532">
        <v>38.61040499999999</v>
      </c>
      <c r="I578" s="658">
        <f t="shared" si="20"/>
        <v>0.02</v>
      </c>
    </row>
    <row r="579" spans="1:9" ht="19.5" customHeight="1">
      <c r="A579" s="474">
        <f t="shared" si="19"/>
        <v>70</v>
      </c>
      <c r="B579" s="899" t="s">
        <v>913</v>
      </c>
      <c r="C579" s="900"/>
      <c r="D579" s="543"/>
      <c r="E579" s="915" t="s">
        <v>921</v>
      </c>
      <c r="F579" s="775">
        <f>1947+1947</f>
        <v>3894</v>
      </c>
      <c r="G579" s="764"/>
      <c r="H579" s="532">
        <f>39.63+39.68</f>
        <v>79.31</v>
      </c>
      <c r="I579" s="658">
        <f t="shared" si="20"/>
        <v>0.04</v>
      </c>
    </row>
    <row r="580" spans="1:9" ht="19.5" customHeight="1">
      <c r="A580" s="474">
        <f t="shared" si="19"/>
        <v>71</v>
      </c>
      <c r="B580" s="899" t="s">
        <v>913</v>
      </c>
      <c r="C580" s="900"/>
      <c r="D580" s="543"/>
      <c r="E580" s="915" t="s">
        <v>921</v>
      </c>
      <c r="F580" s="775">
        <v>1168.9446070908102</v>
      </c>
      <c r="G580" s="764"/>
      <c r="H580" s="532">
        <v>41.949999999999996</v>
      </c>
      <c r="I580" s="658">
        <f t="shared" si="20"/>
        <v>0.02</v>
      </c>
    </row>
    <row r="581" spans="1:9" ht="19.5" customHeight="1">
      <c r="A581" s="474">
        <f t="shared" si="19"/>
        <v>72</v>
      </c>
      <c r="B581" s="899" t="s">
        <v>913</v>
      </c>
      <c r="C581" s="900"/>
      <c r="D581" s="543"/>
      <c r="E581" s="915" t="s">
        <v>921</v>
      </c>
      <c r="F581" s="775">
        <v>52.724773473120315</v>
      </c>
      <c r="G581" s="764"/>
      <c r="H581" s="532">
        <v>1.25</v>
      </c>
      <c r="I581" s="658">
        <f t="shared" si="20"/>
        <v>0</v>
      </c>
    </row>
    <row r="582" spans="1:9" ht="19.5" customHeight="1">
      <c r="A582" s="474">
        <f t="shared" si="19"/>
        <v>73</v>
      </c>
      <c r="B582" s="899" t="s">
        <v>913</v>
      </c>
      <c r="C582" s="900"/>
      <c r="D582" s="543"/>
      <c r="E582" s="915" t="s">
        <v>921</v>
      </c>
      <c r="F582" s="775">
        <f>9323+416</f>
        <v>9739</v>
      </c>
      <c r="G582" s="764"/>
      <c r="H582" s="532">
        <f>176+8</f>
        <v>184</v>
      </c>
      <c r="I582" s="658">
        <f t="shared" si="20"/>
        <v>0.09</v>
      </c>
    </row>
    <row r="583" spans="1:9" ht="19.5" customHeight="1">
      <c r="A583" s="474">
        <f t="shared" si="19"/>
        <v>74</v>
      </c>
      <c r="B583" s="899" t="s">
        <v>913</v>
      </c>
      <c r="C583" s="900"/>
      <c r="D583" s="543"/>
      <c r="E583" s="915" t="s">
        <v>921</v>
      </c>
      <c r="F583" s="775">
        <v>324.346049930444</v>
      </c>
      <c r="G583" s="764"/>
      <c r="H583" s="532">
        <v>4</v>
      </c>
      <c r="I583" s="658">
        <f t="shared" si="20"/>
        <v>0</v>
      </c>
    </row>
    <row r="584" spans="1:9" ht="19.5" customHeight="1">
      <c r="A584" s="474">
        <f t="shared" si="19"/>
        <v>75</v>
      </c>
      <c r="B584" s="899" t="s">
        <v>913</v>
      </c>
      <c r="C584" s="900"/>
      <c r="D584" s="543"/>
      <c r="E584" s="915" t="s">
        <v>921</v>
      </c>
      <c r="F584" s="775">
        <v>400.8726361765468</v>
      </c>
      <c r="G584" s="764"/>
      <c r="H584" s="532">
        <v>5</v>
      </c>
      <c r="I584" s="658">
        <f t="shared" si="20"/>
        <v>0</v>
      </c>
    </row>
    <row r="585" spans="1:9" ht="19.5" customHeight="1">
      <c r="A585" s="474">
        <f t="shared" si="19"/>
        <v>76</v>
      </c>
      <c r="B585" s="899" t="s">
        <v>913</v>
      </c>
      <c r="C585" s="900"/>
      <c r="D585" s="543"/>
      <c r="E585" s="915" t="s">
        <v>921</v>
      </c>
      <c r="F585" s="775">
        <v>11089.029058258777</v>
      </c>
      <c r="G585" s="764"/>
      <c r="H585" s="532">
        <v>266.25</v>
      </c>
      <c r="I585" s="658">
        <f t="shared" si="20"/>
        <v>0.13</v>
      </c>
    </row>
    <row r="586" spans="1:9" ht="19.5" customHeight="1">
      <c r="A586" s="474">
        <f t="shared" si="19"/>
        <v>77</v>
      </c>
      <c r="B586" s="899" t="s">
        <v>913</v>
      </c>
      <c r="C586" s="900"/>
      <c r="D586" s="543"/>
      <c r="E586" s="915" t="s">
        <v>921</v>
      </c>
      <c r="F586" s="775">
        <f>1496+1496+429+151</f>
        <v>3572</v>
      </c>
      <c r="G586"/>
      <c r="H586" s="532">
        <f>30.5+30.5+9.25+3.25</f>
        <v>73.5</v>
      </c>
      <c r="I586" s="658">
        <f t="shared" si="20"/>
        <v>0.04</v>
      </c>
    </row>
    <row r="587" spans="1:9" ht="19.5" customHeight="1">
      <c r="A587" s="474">
        <f t="shared" si="19"/>
        <v>78</v>
      </c>
      <c r="B587" s="899" t="s">
        <v>913</v>
      </c>
      <c r="C587" s="900"/>
      <c r="D587" s="543"/>
      <c r="E587" s="915" t="s">
        <v>921</v>
      </c>
      <c r="F587" s="775">
        <v>2351.1781420708735</v>
      </c>
      <c r="G587"/>
      <c r="H587" s="532">
        <v>30.5</v>
      </c>
      <c r="I587" s="658">
        <f t="shared" si="20"/>
        <v>0.01</v>
      </c>
    </row>
    <row r="588" spans="1:9" ht="19.5" customHeight="1">
      <c r="A588" s="474">
        <f>+A587+1</f>
        <v>79</v>
      </c>
      <c r="B588" s="899" t="s">
        <v>913</v>
      </c>
      <c r="C588" s="900"/>
      <c r="D588" s="543"/>
      <c r="E588" s="915" t="s">
        <v>921</v>
      </c>
      <c r="F588" s="775">
        <v>629.0493406882372</v>
      </c>
      <c r="G588"/>
      <c r="H588" s="532">
        <v>8</v>
      </c>
      <c r="I588" s="658">
        <f t="shared" si="20"/>
        <v>0</v>
      </c>
    </row>
    <row r="589" spans="1:9" ht="19.5" customHeight="1">
      <c r="A589" s="474">
        <f>+A588+1</f>
        <v>80</v>
      </c>
      <c r="B589" s="899" t="s">
        <v>913</v>
      </c>
      <c r="C589" s="900"/>
      <c r="D589" s="543"/>
      <c r="E589" s="915" t="s">
        <v>921</v>
      </c>
      <c r="F589" s="775">
        <v>225.4908578493076</v>
      </c>
      <c r="G589"/>
      <c r="H589" s="532">
        <v>3</v>
      </c>
      <c r="I589" s="658">
        <f t="shared" si="20"/>
        <v>0</v>
      </c>
    </row>
    <row r="590" spans="1:9" ht="19.5" customHeight="1">
      <c r="A590" s="474"/>
      <c r="B590" s="899"/>
      <c r="C590" s="900"/>
      <c r="D590" s="543"/>
      <c r="E590" s="909"/>
      <c r="F590" s="775"/>
      <c r="G590" s="748"/>
      <c r="H590" s="532"/>
      <c r="I590" s="658"/>
    </row>
    <row r="591" spans="1:9" ht="19.5" customHeight="1">
      <c r="A591" s="474"/>
      <c r="B591" s="899"/>
      <c r="C591" s="542"/>
      <c r="D591" s="543"/>
      <c r="E591" s="479"/>
      <c r="F591" s="657"/>
      <c r="G591" s="477"/>
      <c r="H591" s="657"/>
      <c r="I591" s="658"/>
    </row>
    <row r="592" spans="1:9" ht="19.5" customHeight="1" thickBot="1">
      <c r="A592" s="293"/>
      <c r="B592" s="1170" t="s">
        <v>278</v>
      </c>
      <c r="C592" s="1171"/>
      <c r="D592" s="1172"/>
      <c r="E592" s="522"/>
      <c r="F592" s="776">
        <f>SUM(F510:F591)</f>
        <v>1693695.6787325079</v>
      </c>
      <c r="G592" s="776">
        <f>SUM(G510:G591)</f>
        <v>17048</v>
      </c>
      <c r="H592" s="776">
        <f>SUM(H510:H591)</f>
        <v>40066.549008</v>
      </c>
      <c r="I592" s="777">
        <f>ROUND(H592/2080,2)</f>
        <v>19.26</v>
      </c>
    </row>
    <row r="593" ht="19.5" customHeight="1" thickTop="1"/>
    <row r="594" spans="5:9" ht="19.5" customHeight="1" thickBot="1">
      <c r="E594" s="870" t="s">
        <v>759</v>
      </c>
      <c r="F594" s="877">
        <f>+F66+F106+F428+F507+F592</f>
        <v>28044160.227523394</v>
      </c>
      <c r="G594" s="877">
        <f>+G66+G106+G428+G507+G592</f>
        <v>421462.12</v>
      </c>
      <c r="H594" s="877">
        <f>+H66+H106+H428+H507+H592</f>
        <v>545891.520008</v>
      </c>
      <c r="I594" s="878">
        <f>ROUND(H594/2080,2)</f>
        <v>262.45</v>
      </c>
    </row>
    <row r="595" ht="19.5" customHeight="1" thickTop="1"/>
    <row r="596" spans="5:7" ht="19.5" customHeight="1">
      <c r="E596" s="149"/>
      <c r="G596" s="880"/>
    </row>
    <row r="597" spans="5:7" ht="19.5" customHeight="1">
      <c r="E597" s="149"/>
      <c r="G597" s="932"/>
    </row>
  </sheetData>
  <sheetProtection/>
  <mergeCells count="104">
    <mergeCell ref="B103:D103"/>
    <mergeCell ref="B104:D104"/>
    <mergeCell ref="B96:D96"/>
    <mergeCell ref="B97:D97"/>
    <mergeCell ref="B98:D98"/>
    <mergeCell ref="B99:D99"/>
    <mergeCell ref="B100:D100"/>
    <mergeCell ref="B102:D102"/>
    <mergeCell ref="B94:D94"/>
    <mergeCell ref="B81:D81"/>
    <mergeCell ref="B78:D78"/>
    <mergeCell ref="B79:D79"/>
    <mergeCell ref="B87:D87"/>
    <mergeCell ref="B88:D88"/>
    <mergeCell ref="B91:D91"/>
    <mergeCell ref="B92:D92"/>
    <mergeCell ref="B84:D84"/>
    <mergeCell ref="B95:D95"/>
    <mergeCell ref="B101:D101"/>
    <mergeCell ref="B62:D62"/>
    <mergeCell ref="B21:D21"/>
    <mergeCell ref="B80:D80"/>
    <mergeCell ref="B66:D66"/>
    <mergeCell ref="B67:D67"/>
    <mergeCell ref="B69:D69"/>
    <mergeCell ref="B73:D73"/>
    <mergeCell ref="B24:D24"/>
    <mergeCell ref="B74:D74"/>
    <mergeCell ref="B76:D76"/>
    <mergeCell ref="A1:I1"/>
    <mergeCell ref="A2:I2"/>
    <mergeCell ref="A3:I3"/>
    <mergeCell ref="A4:I4"/>
    <mergeCell ref="C8:H8"/>
    <mergeCell ref="A13:D15"/>
    <mergeCell ref="B23:D23"/>
    <mergeCell ref="A12:I12"/>
    <mergeCell ref="B39:D39"/>
    <mergeCell ref="B35:D35"/>
    <mergeCell ref="B27:D27"/>
    <mergeCell ref="H13:I13"/>
    <mergeCell ref="B28:D28"/>
    <mergeCell ref="B25:D25"/>
    <mergeCell ref="B17:D17"/>
    <mergeCell ref="B20:D20"/>
    <mergeCell ref="B34:D34"/>
    <mergeCell ref="B46:D46"/>
    <mergeCell ref="B40:D40"/>
    <mergeCell ref="B29:D29"/>
    <mergeCell ref="B30:D30"/>
    <mergeCell ref="B31:D31"/>
    <mergeCell ref="B32:D32"/>
    <mergeCell ref="B41:D41"/>
    <mergeCell ref="B36:D36"/>
    <mergeCell ref="B37:D37"/>
    <mergeCell ref="B44:D44"/>
    <mergeCell ref="B56:D56"/>
    <mergeCell ref="B42:D42"/>
    <mergeCell ref="B54:D54"/>
    <mergeCell ref="B18:D18"/>
    <mergeCell ref="B19:D19"/>
    <mergeCell ref="B33:D33"/>
    <mergeCell ref="B43:D43"/>
    <mergeCell ref="B38:D38"/>
    <mergeCell ref="B26:D26"/>
    <mergeCell ref="B22:D22"/>
    <mergeCell ref="B59:D59"/>
    <mergeCell ref="B60:D60"/>
    <mergeCell ref="B65:D65"/>
    <mergeCell ref="B57:D57"/>
    <mergeCell ref="B63:D63"/>
    <mergeCell ref="B64:D64"/>
    <mergeCell ref="B58:D58"/>
    <mergeCell ref="B61:D61"/>
    <mergeCell ref="B106:D106"/>
    <mergeCell ref="B45:D45"/>
    <mergeCell ref="B48:D48"/>
    <mergeCell ref="B55:D55"/>
    <mergeCell ref="B49:D49"/>
    <mergeCell ref="B50:D50"/>
    <mergeCell ref="B51:D51"/>
    <mergeCell ref="B47:D47"/>
    <mergeCell ref="B52:D52"/>
    <mergeCell ref="B53:D53"/>
    <mergeCell ref="B68:D68"/>
    <mergeCell ref="B592:D592"/>
    <mergeCell ref="B507:D507"/>
    <mergeCell ref="B509:D509"/>
    <mergeCell ref="B428:D428"/>
    <mergeCell ref="B431:D431"/>
    <mergeCell ref="B82:D82"/>
    <mergeCell ref="B108:D108"/>
    <mergeCell ref="B85:D85"/>
    <mergeCell ref="B86:D86"/>
    <mergeCell ref="B105:D105"/>
    <mergeCell ref="B75:D75"/>
    <mergeCell ref="B70:D70"/>
    <mergeCell ref="B77:D77"/>
    <mergeCell ref="B71:D71"/>
    <mergeCell ref="B72:D72"/>
    <mergeCell ref="B89:D89"/>
    <mergeCell ref="B90:D90"/>
    <mergeCell ref="B93:D93"/>
    <mergeCell ref="B83:D83"/>
  </mergeCells>
  <printOptions/>
  <pageMargins left="0.7" right="0.7" top="0.75" bottom="0.75" header="0.3" footer="0.3"/>
  <pageSetup fitToHeight="0" fitToWidth="1" horizontalDpi="600" verticalDpi="600" orientation="portrait" scale="3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41"/>
  <sheetViews>
    <sheetView zoomScalePageLayoutView="0" workbookViewId="0" topLeftCell="A1">
      <selection activeCell="B20" sqref="B20:D20"/>
    </sheetView>
  </sheetViews>
  <sheetFormatPr defaultColWidth="9.140625" defaultRowHeight="12.75"/>
  <cols>
    <col min="1" max="1" width="3.57421875" style="155" customWidth="1"/>
    <col min="2" max="2" width="16.421875" style="14" customWidth="1"/>
    <col min="3" max="3" width="28.421875" style="14" customWidth="1"/>
    <col min="4" max="4" width="15.421875" style="14" customWidth="1"/>
    <col min="5" max="5" width="16.421875" style="14" customWidth="1"/>
    <col min="6" max="6" width="17.421875" style="14" customWidth="1"/>
    <col min="7" max="7" width="17.7109375" style="14" customWidth="1"/>
    <col min="8" max="8" width="16.57421875" style="14" customWidth="1"/>
    <col min="9" max="16384" width="9.140625" style="14" customWidth="1"/>
  </cols>
  <sheetData>
    <row r="1" spans="1:17" ht="12.75">
      <c r="A1" s="1107" t="s">
        <v>45</v>
      </c>
      <c r="B1" s="1107"/>
      <c r="C1" s="1107"/>
      <c r="D1" s="1107"/>
      <c r="E1" s="1107"/>
      <c r="F1" s="1107"/>
      <c r="G1" s="1107"/>
      <c r="H1" s="1107"/>
      <c r="I1" s="75"/>
      <c r="J1" s="75"/>
      <c r="K1" s="75"/>
      <c r="L1" s="75"/>
      <c r="M1" s="75"/>
      <c r="N1" s="75"/>
      <c r="O1" s="75"/>
      <c r="P1" s="75"/>
      <c r="Q1" s="75"/>
    </row>
    <row r="2" spans="1:17" ht="12.75">
      <c r="A2" s="1107" t="s">
        <v>46</v>
      </c>
      <c r="B2" s="1107"/>
      <c r="C2" s="1107"/>
      <c r="D2" s="1107"/>
      <c r="E2" s="1107"/>
      <c r="F2" s="1107"/>
      <c r="G2" s="1107"/>
      <c r="H2" s="1107"/>
      <c r="I2" s="75"/>
      <c r="J2" s="75"/>
      <c r="K2" s="75"/>
      <c r="L2" s="75"/>
      <c r="M2" s="75"/>
      <c r="N2" s="75"/>
      <c r="O2" s="75"/>
      <c r="P2" s="75"/>
      <c r="Q2" s="75"/>
    </row>
    <row r="3" spans="1:17" ht="12.75">
      <c r="A3" s="1107" t="s">
        <v>47</v>
      </c>
      <c r="B3" s="1107"/>
      <c r="C3" s="1107"/>
      <c r="D3" s="1107"/>
      <c r="E3" s="1107"/>
      <c r="F3" s="1107"/>
      <c r="G3" s="1107"/>
      <c r="H3" s="1107"/>
      <c r="I3" s="75"/>
      <c r="J3" s="75"/>
      <c r="K3" s="75"/>
      <c r="L3" s="75"/>
      <c r="M3" s="75"/>
      <c r="N3" s="75"/>
      <c r="O3" s="75"/>
      <c r="P3" s="75"/>
      <c r="Q3" s="75"/>
    </row>
    <row r="4" spans="1:17" ht="12.75">
      <c r="A4" s="1107" t="s">
        <v>48</v>
      </c>
      <c r="B4" s="1107"/>
      <c r="C4" s="1107"/>
      <c r="D4" s="1107"/>
      <c r="E4" s="1107"/>
      <c r="F4" s="1107"/>
      <c r="G4" s="1107"/>
      <c r="H4" s="1107"/>
      <c r="I4" s="75"/>
      <c r="J4" s="75"/>
      <c r="K4" s="75"/>
      <c r="L4" s="75"/>
      <c r="M4" s="75"/>
      <c r="N4" s="75"/>
      <c r="O4" s="75"/>
      <c r="P4" s="75"/>
      <c r="Q4" s="75"/>
    </row>
    <row r="5" spans="1:17" ht="13.5" thickBot="1">
      <c r="A5" s="151"/>
      <c r="B5" s="12"/>
      <c r="C5" s="12"/>
      <c r="D5" s="12"/>
      <c r="E5" s="440"/>
      <c r="F5" s="440"/>
      <c r="G5" s="440"/>
      <c r="H5" s="440"/>
      <c r="I5" s="85"/>
      <c r="J5" s="85"/>
      <c r="K5" s="85"/>
      <c r="L5" s="85"/>
      <c r="M5" s="85"/>
      <c r="N5" s="85"/>
      <c r="O5" s="85"/>
      <c r="P5" s="85"/>
      <c r="Q5" s="85"/>
    </row>
    <row r="6" spans="1:18" ht="21.75" customHeight="1">
      <c r="A6" s="152"/>
      <c r="B6" s="77" t="s">
        <v>54</v>
      </c>
      <c r="C6" s="77"/>
      <c r="D6" s="78" t="s">
        <v>6</v>
      </c>
      <c r="E6" s="94">
        <f>'P1 Info &amp; Certification'!L20</f>
        <v>44013</v>
      </c>
      <c r="F6" s="148"/>
      <c r="G6" s="95" t="str">
        <f>'P1 Info &amp; Certification'!M20</f>
        <v>To</v>
      </c>
      <c r="H6" s="443">
        <f>'P1 Info &amp; Certification'!N20</f>
        <v>44377</v>
      </c>
      <c r="I6" s="147"/>
      <c r="J6" s="89"/>
      <c r="K6" s="13"/>
      <c r="L6" s="88"/>
      <c r="M6" s="32"/>
      <c r="N6" s="147"/>
      <c r="O6" s="147"/>
      <c r="P6" s="32"/>
      <c r="Q6" s="146"/>
      <c r="R6" s="146"/>
    </row>
    <row r="7" spans="1:18" ht="12.75">
      <c r="A7" s="153"/>
      <c r="B7" s="458"/>
      <c r="C7" s="458"/>
      <c r="D7" s="458"/>
      <c r="E7" s="13"/>
      <c r="F7" s="13"/>
      <c r="G7" s="13"/>
      <c r="H7" s="81"/>
      <c r="I7" s="13"/>
      <c r="J7" s="13"/>
      <c r="K7" s="13"/>
      <c r="L7" s="13"/>
      <c r="M7" s="13"/>
      <c r="N7" s="13"/>
      <c r="O7" s="13"/>
      <c r="P7" s="13"/>
      <c r="Q7" s="146"/>
      <c r="R7" s="146"/>
    </row>
    <row r="8" spans="1:18" ht="22.5" customHeight="1" thickBot="1">
      <c r="A8" s="154"/>
      <c r="B8" s="84" t="s">
        <v>59</v>
      </c>
      <c r="C8" s="1115" t="str">
        <f>'P1 Info &amp; Certification'!E12</f>
        <v>COMMUNITY HEALTH CENTER, INC.</v>
      </c>
      <c r="D8" s="1115"/>
      <c r="E8" s="1115"/>
      <c r="F8" s="1115"/>
      <c r="G8" s="1115"/>
      <c r="H8" s="464"/>
      <c r="I8" s="145"/>
      <c r="J8" s="145"/>
      <c r="K8" s="145"/>
      <c r="L8" s="145"/>
      <c r="M8" s="145"/>
      <c r="N8" s="145"/>
      <c r="O8" s="145"/>
      <c r="P8" s="145"/>
      <c r="Q8" s="146"/>
      <c r="R8" s="146"/>
    </row>
    <row r="9" spans="1:18" ht="12.75">
      <c r="A9" s="471"/>
      <c r="B9" s="472"/>
      <c r="C9" s="472"/>
      <c r="D9" s="472"/>
      <c r="E9" s="472"/>
      <c r="F9" s="472"/>
      <c r="G9" s="472"/>
      <c r="H9" s="472"/>
      <c r="I9" s="43"/>
      <c r="J9" s="43"/>
      <c r="K9" s="43"/>
      <c r="L9" s="43"/>
      <c r="M9" s="43"/>
      <c r="N9" s="43"/>
      <c r="O9" s="43"/>
      <c r="P9" s="43"/>
      <c r="Q9" s="146"/>
      <c r="R9" s="146"/>
    </row>
    <row r="10" spans="1:8" ht="12.75">
      <c r="A10" s="156"/>
      <c r="B10" s="146"/>
      <c r="C10" s="146"/>
      <c r="D10" s="146"/>
      <c r="E10" s="146"/>
      <c r="F10" s="146"/>
      <c r="G10" s="146"/>
      <c r="H10" s="146"/>
    </row>
    <row r="11" spans="1:8" ht="13.5" thickBot="1">
      <c r="A11" s="156"/>
      <c r="B11" s="146"/>
      <c r="C11" s="146"/>
      <c r="D11" s="146"/>
      <c r="E11" s="146"/>
      <c r="F11" s="146"/>
      <c r="G11" s="146"/>
      <c r="H11" s="296" t="s">
        <v>285</v>
      </c>
    </row>
    <row r="12" spans="1:8" ht="28.5" customHeight="1">
      <c r="A12" s="1176" t="s">
        <v>284</v>
      </c>
      <c r="B12" s="1177"/>
      <c r="C12" s="1177"/>
      <c r="D12" s="1177"/>
      <c r="E12" s="1177"/>
      <c r="F12" s="1177"/>
      <c r="G12" s="1177"/>
      <c r="H12" s="1179"/>
    </row>
    <row r="13" spans="1:8" ht="12.75">
      <c r="A13" s="1161" t="s">
        <v>281</v>
      </c>
      <c r="B13" s="1162"/>
      <c r="C13" s="1162"/>
      <c r="D13" s="1190"/>
      <c r="E13" s="366"/>
      <c r="F13" s="413"/>
      <c r="G13" s="1180" t="s">
        <v>271</v>
      </c>
      <c r="H13" s="1181"/>
    </row>
    <row r="14" spans="1:8" ht="12.75">
      <c r="A14" s="1163"/>
      <c r="B14" s="1164"/>
      <c r="C14" s="1164"/>
      <c r="D14" s="1164"/>
      <c r="E14" s="364"/>
      <c r="F14" s="414"/>
      <c r="G14" s="169" t="s">
        <v>272</v>
      </c>
      <c r="H14" s="204" t="s">
        <v>203</v>
      </c>
    </row>
    <row r="15" spans="1:8" ht="12.75" customHeight="1">
      <c r="A15" s="1165"/>
      <c r="B15" s="1166"/>
      <c r="C15" s="1166"/>
      <c r="D15" s="1166"/>
      <c r="E15" s="367" t="s">
        <v>266</v>
      </c>
      <c r="F15" s="415" t="s">
        <v>254</v>
      </c>
      <c r="G15" s="170" t="s">
        <v>205</v>
      </c>
      <c r="H15" s="205" t="s">
        <v>204</v>
      </c>
    </row>
    <row r="16" spans="1:8" ht="12.75" customHeight="1">
      <c r="A16" s="451"/>
      <c r="B16" s="447"/>
      <c r="C16" s="447"/>
      <c r="D16" s="447"/>
      <c r="E16" s="417" t="s">
        <v>61</v>
      </c>
      <c r="F16" s="418" t="s">
        <v>62</v>
      </c>
      <c r="G16" s="419" t="s">
        <v>63</v>
      </c>
      <c r="H16" s="420" t="s">
        <v>64</v>
      </c>
    </row>
    <row r="17" spans="1:8" ht="12.75" customHeight="1" thickBot="1">
      <c r="A17" s="304"/>
      <c r="B17" s="1182" t="s">
        <v>279</v>
      </c>
      <c r="C17" s="1183"/>
      <c r="D17" s="1183"/>
      <c r="E17" s="365">
        <v>125000</v>
      </c>
      <c r="F17" s="365">
        <v>1500</v>
      </c>
      <c r="G17" s="347">
        <v>1040</v>
      </c>
      <c r="H17" s="348">
        <f>G17/2080</f>
        <v>0.5</v>
      </c>
    </row>
    <row r="18" spans="1:8" ht="19.5" customHeight="1">
      <c r="A18" s="305" t="s">
        <v>83</v>
      </c>
      <c r="B18" s="1191" t="s">
        <v>208</v>
      </c>
      <c r="C18" s="1192"/>
      <c r="D18" s="1193"/>
      <c r="E18" s="306"/>
      <c r="F18" s="306"/>
      <c r="G18" s="307"/>
      <c r="H18" s="308"/>
    </row>
    <row r="19" spans="1:8" ht="19.5" customHeight="1">
      <c r="A19" s="474" t="s">
        <v>49</v>
      </c>
      <c r="B19" s="1155" t="s">
        <v>476</v>
      </c>
      <c r="C19" s="1156"/>
      <c r="D19" s="1157"/>
      <c r="E19" s="340">
        <f>+'P4 Form A-2 - Dental'!D19</f>
        <v>2416122</v>
      </c>
      <c r="F19" s="476">
        <f>+'Form B-2 Detail'!F39</f>
        <v>13125</v>
      </c>
      <c r="G19" s="476">
        <f>+'Form B-2 Detail'!G39</f>
        <v>30099</v>
      </c>
      <c r="H19" s="343">
        <f>ROUND(G19/2080,2)</f>
        <v>14.47</v>
      </c>
    </row>
    <row r="20" spans="1:8" ht="19.5" customHeight="1">
      <c r="A20" s="474" t="s">
        <v>50</v>
      </c>
      <c r="B20" s="1155"/>
      <c r="C20" s="1156"/>
      <c r="D20" s="1157"/>
      <c r="E20" s="340"/>
      <c r="F20" s="477"/>
      <c r="G20" s="394"/>
      <c r="H20" s="343">
        <f>ROUND(G20/2080,2)</f>
        <v>0</v>
      </c>
    </row>
    <row r="21" spans="1:8" ht="19.5" customHeight="1">
      <c r="A21" s="474" t="s">
        <v>82</v>
      </c>
      <c r="B21" s="1155"/>
      <c r="C21" s="1156"/>
      <c r="D21" s="1157"/>
      <c r="E21" s="340"/>
      <c r="F21" s="476"/>
      <c r="G21" s="394"/>
      <c r="H21" s="343">
        <f>ROUND(G21/2080,2)</f>
        <v>0</v>
      </c>
    </row>
    <row r="22" spans="1:8" ht="19.5" customHeight="1">
      <c r="A22" s="474" t="s">
        <v>51</v>
      </c>
      <c r="B22" s="1155"/>
      <c r="C22" s="1156"/>
      <c r="D22" s="1157"/>
      <c r="E22" s="340"/>
      <c r="F22" s="477"/>
      <c r="G22" s="394"/>
      <c r="H22" s="343">
        <f>ROUND(G22/2080,2)</f>
        <v>0</v>
      </c>
    </row>
    <row r="23" spans="1:8" ht="19.5" customHeight="1">
      <c r="A23" s="474" t="s">
        <v>156</v>
      </c>
      <c r="B23" s="1155"/>
      <c r="C23" s="1156"/>
      <c r="D23" s="1157"/>
      <c r="E23" s="340"/>
      <c r="F23" s="477"/>
      <c r="G23" s="394"/>
      <c r="H23" s="343">
        <f>ROUND(G23/2080,2)</f>
        <v>0</v>
      </c>
    </row>
    <row r="24" spans="1:8" ht="24.75" customHeight="1" thickBot="1">
      <c r="A24" s="253"/>
      <c r="B24" s="1158" t="s">
        <v>257</v>
      </c>
      <c r="C24" s="1159"/>
      <c r="D24" s="1160"/>
      <c r="E24" s="352">
        <f>SUM(E19:E23)</f>
        <v>2416122</v>
      </c>
      <c r="F24" s="352">
        <f>SUM(F19:F23)</f>
        <v>13125</v>
      </c>
      <c r="G24" s="352">
        <f>SUM(G19:G23)</f>
        <v>30099</v>
      </c>
      <c r="H24" s="344">
        <f>SUM(H19:H23)</f>
        <v>14.47</v>
      </c>
    </row>
    <row r="25" spans="1:9" ht="19.5" customHeight="1" thickTop="1">
      <c r="A25" s="253"/>
      <c r="B25" s="1194"/>
      <c r="C25" s="1194"/>
      <c r="D25" s="1194"/>
      <c r="E25" s="487"/>
      <c r="F25" s="294"/>
      <c r="G25" s="295"/>
      <c r="H25" s="300"/>
      <c r="I25" s="146"/>
    </row>
    <row r="26" spans="1:8" ht="19.5" customHeight="1">
      <c r="A26" s="207" t="s">
        <v>84</v>
      </c>
      <c r="B26" s="1184" t="s">
        <v>209</v>
      </c>
      <c r="C26" s="1185"/>
      <c r="D26" s="1186"/>
      <c r="E26" s="338"/>
      <c r="F26" s="338"/>
      <c r="G26" s="390"/>
      <c r="H26" s="391"/>
    </row>
    <row r="27" spans="1:8" ht="19.5" customHeight="1">
      <c r="A27" s="474" t="s">
        <v>49</v>
      </c>
      <c r="B27" s="1155" t="s">
        <v>476</v>
      </c>
      <c r="C27" s="1156"/>
      <c r="D27" s="1157"/>
      <c r="E27" s="345">
        <f>+'P4 Form A-2 - Dental'!D20</f>
        <v>2071716.2199684754</v>
      </c>
      <c r="F27" s="480">
        <f>+'Form B-2 Detail'!F68</f>
        <v>15435</v>
      </c>
      <c r="G27" s="480">
        <f>+'Form B-2 Detail'!G68</f>
        <v>47394.869999999995</v>
      </c>
      <c r="H27" s="346">
        <f>ROUND(G27/2080,2)</f>
        <v>22.79</v>
      </c>
    </row>
    <row r="28" spans="1:8" ht="19.5" customHeight="1">
      <c r="A28" s="474" t="s">
        <v>50</v>
      </c>
      <c r="B28" s="1155"/>
      <c r="C28" s="1156"/>
      <c r="D28" s="1157"/>
      <c r="E28" s="340"/>
      <c r="F28" s="477"/>
      <c r="G28" s="394"/>
      <c r="H28" s="346">
        <f>ROUND(G28/2080,2)</f>
        <v>0</v>
      </c>
    </row>
    <row r="29" spans="1:8" ht="19.5" customHeight="1">
      <c r="A29" s="474" t="s">
        <v>82</v>
      </c>
      <c r="B29" s="1155"/>
      <c r="C29" s="1156"/>
      <c r="D29" s="1157"/>
      <c r="E29" s="340"/>
      <c r="F29" s="477"/>
      <c r="G29" s="394"/>
      <c r="H29" s="346">
        <f>ROUND(G29/2080,2)</f>
        <v>0</v>
      </c>
    </row>
    <row r="30" spans="1:8" ht="19.5" customHeight="1">
      <c r="A30" s="474" t="s">
        <v>51</v>
      </c>
      <c r="B30" s="1155"/>
      <c r="C30" s="1156"/>
      <c r="D30" s="1157"/>
      <c r="E30" s="340"/>
      <c r="F30" s="477"/>
      <c r="G30" s="394"/>
      <c r="H30" s="346">
        <f>ROUND(G30/2080,2)</f>
        <v>0</v>
      </c>
    </row>
    <row r="31" spans="1:8" ht="19.5" customHeight="1">
      <c r="A31" s="474" t="s">
        <v>156</v>
      </c>
      <c r="B31" s="1155"/>
      <c r="C31" s="1156"/>
      <c r="D31" s="1157"/>
      <c r="E31" s="340"/>
      <c r="F31" s="477"/>
      <c r="G31" s="394"/>
      <c r="H31" s="346">
        <f>ROUND(G31/2080,2)</f>
        <v>0</v>
      </c>
    </row>
    <row r="32" spans="1:8" ht="24.75" customHeight="1" thickBot="1">
      <c r="A32" s="293"/>
      <c r="B32" s="1158" t="s">
        <v>258</v>
      </c>
      <c r="C32" s="1159"/>
      <c r="D32" s="1160"/>
      <c r="E32" s="352">
        <f>SUM(E27:E31)</f>
        <v>2071716.2199684754</v>
      </c>
      <c r="F32" s="352">
        <f>SUM(F27:F31)</f>
        <v>15435</v>
      </c>
      <c r="G32" s="352">
        <f>SUM(G27:G31)</f>
        <v>47394.869999999995</v>
      </c>
      <c r="H32" s="344">
        <f>SUM(H27:H31)</f>
        <v>22.79</v>
      </c>
    </row>
    <row r="33" spans="1:8" s="146" customFormat="1" ht="19.5" customHeight="1" thickTop="1">
      <c r="A33" s="293"/>
      <c r="B33" s="375"/>
      <c r="C33" s="375"/>
      <c r="D33" s="375"/>
      <c r="E33" s="487"/>
      <c r="F33" s="294"/>
      <c r="G33" s="295"/>
      <c r="H33" s="300"/>
    </row>
    <row r="34" spans="1:8" ht="19.5" customHeight="1">
      <c r="A34" s="207" t="s">
        <v>91</v>
      </c>
      <c r="B34" s="1184" t="s">
        <v>346</v>
      </c>
      <c r="C34" s="1185"/>
      <c r="D34" s="1186"/>
      <c r="E34" s="338"/>
      <c r="F34" s="338"/>
      <c r="G34" s="390"/>
      <c r="H34" s="391"/>
    </row>
    <row r="35" spans="1:8" ht="19.5" customHeight="1">
      <c r="A35" s="474" t="s">
        <v>49</v>
      </c>
      <c r="B35" s="1155" t="s">
        <v>476</v>
      </c>
      <c r="C35" s="1156"/>
      <c r="D35" s="1157"/>
      <c r="E35" s="345">
        <f>'Form B-2 Detail'!E80</f>
        <v>0</v>
      </c>
      <c r="F35" s="480">
        <f>'Form B-2 Detail'!F80</f>
        <v>0</v>
      </c>
      <c r="G35" s="392">
        <f>'Form B-2 Detail'!G80</f>
        <v>0</v>
      </c>
      <c r="H35" s="346">
        <f>ROUND(G35/2080,2)</f>
        <v>0</v>
      </c>
    </row>
    <row r="36" spans="1:8" ht="19.5" customHeight="1">
      <c r="A36" s="474" t="s">
        <v>50</v>
      </c>
      <c r="B36" s="1155"/>
      <c r="C36" s="1156"/>
      <c r="D36" s="1157"/>
      <c r="E36" s="340"/>
      <c r="F36" s="477"/>
      <c r="G36" s="394"/>
      <c r="H36" s="346">
        <f>ROUND(G36/2080,2)</f>
        <v>0</v>
      </c>
    </row>
    <row r="37" spans="1:8" ht="19.5" customHeight="1">
      <c r="A37" s="474" t="s">
        <v>82</v>
      </c>
      <c r="B37" s="1155"/>
      <c r="C37" s="1156"/>
      <c r="D37" s="1157"/>
      <c r="E37" s="340"/>
      <c r="F37" s="477"/>
      <c r="G37" s="394"/>
      <c r="H37" s="346">
        <f>ROUND(G37/2080,2)</f>
        <v>0</v>
      </c>
    </row>
    <row r="38" spans="1:8" ht="19.5" customHeight="1">
      <c r="A38" s="474" t="s">
        <v>51</v>
      </c>
      <c r="B38" s="1155"/>
      <c r="C38" s="1156"/>
      <c r="D38" s="1157"/>
      <c r="E38" s="340"/>
      <c r="F38" s="477"/>
      <c r="G38" s="394"/>
      <c r="H38" s="346">
        <f>ROUND(G38/2080,2)</f>
        <v>0</v>
      </c>
    </row>
    <row r="39" spans="1:8" ht="19.5" customHeight="1">
      <c r="A39" s="474" t="s">
        <v>156</v>
      </c>
      <c r="B39" s="1155"/>
      <c r="C39" s="1156"/>
      <c r="D39" s="1157"/>
      <c r="E39" s="340"/>
      <c r="F39" s="477"/>
      <c r="G39" s="394"/>
      <c r="H39" s="346">
        <f>ROUND(G39/2080,2)</f>
        <v>0</v>
      </c>
    </row>
    <row r="40" spans="1:8" ht="24.75" customHeight="1" thickBot="1">
      <c r="A40" s="293"/>
      <c r="B40" s="1158" t="s">
        <v>347</v>
      </c>
      <c r="C40" s="1159"/>
      <c r="D40" s="1160"/>
      <c r="E40" s="352">
        <f>SUM(E35:E39)</f>
        <v>0</v>
      </c>
      <c r="F40" s="352">
        <f>SUM(F35:F39)</f>
        <v>0</v>
      </c>
      <c r="G40" s="352">
        <f>SUM(G35:G39)</f>
        <v>0</v>
      </c>
      <c r="H40" s="344">
        <f>SUM(H35:H39)</f>
        <v>0</v>
      </c>
    </row>
    <row r="41" spans="1:8" ht="14.25" customHeight="1" thickBot="1" thickTop="1">
      <c r="A41" s="301"/>
      <c r="B41" s="309"/>
      <c r="C41" s="309"/>
      <c r="D41" s="309"/>
      <c r="E41" s="310"/>
      <c r="F41" s="311"/>
      <c r="G41" s="312"/>
      <c r="H41" s="313"/>
    </row>
  </sheetData>
  <sheetProtection password="E1AE" sheet="1" formatColumns="0" formatRows="0"/>
  <mergeCells count="31">
    <mergeCell ref="A1:H1"/>
    <mergeCell ref="A2:H2"/>
    <mergeCell ref="A3:H3"/>
    <mergeCell ref="A4:H4"/>
    <mergeCell ref="C8:G8"/>
    <mergeCell ref="A12:H12"/>
    <mergeCell ref="A13:D15"/>
    <mergeCell ref="G13:H13"/>
    <mergeCell ref="B17:D17"/>
    <mergeCell ref="B18:D18"/>
    <mergeCell ref="B19:D19"/>
    <mergeCell ref="B32:D32"/>
    <mergeCell ref="B24:D24"/>
    <mergeCell ref="B25:D25"/>
    <mergeCell ref="B26:D26"/>
    <mergeCell ref="B20:D20"/>
    <mergeCell ref="B21:D21"/>
    <mergeCell ref="B22:D22"/>
    <mergeCell ref="B23:D23"/>
    <mergeCell ref="B34:D34"/>
    <mergeCell ref="B35:D35"/>
    <mergeCell ref="B36:D36"/>
    <mergeCell ref="B37:D37"/>
    <mergeCell ref="B40:D40"/>
    <mergeCell ref="B27:D27"/>
    <mergeCell ref="B28:D28"/>
    <mergeCell ref="B29:D29"/>
    <mergeCell ref="B30:D30"/>
    <mergeCell ref="B31:D31"/>
    <mergeCell ref="B38:D38"/>
    <mergeCell ref="B39:D39"/>
  </mergeCells>
  <printOptions horizontalCentered="1" verticalCentered="1"/>
  <pageMargins left="0.25" right="0.25" top="0.25" bottom="0.25" header="0.5" footer="0.25"/>
  <pageSetup fitToHeight="1" fitToWidth="1" horizontalDpi="600" verticalDpi="600" orientation="landscape" scale="71" r:id="rId1"/>
  <headerFooter alignWithMargins="0">
    <oddFooter>&amp;LDSS-16 10-24-2016&amp;RPage 10</oddFooter>
  </headerFooter>
  <rowBreaks count="1" manualBreakCount="1">
    <brk id="3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I88"/>
  <sheetViews>
    <sheetView zoomScalePageLayoutView="0" workbookViewId="0" topLeftCell="A1">
      <selection activeCell="H67" sqref="H67"/>
    </sheetView>
  </sheetViews>
  <sheetFormatPr defaultColWidth="9.140625" defaultRowHeight="12.75"/>
  <cols>
    <col min="1" max="1" width="3.57421875" style="155" customWidth="1"/>
    <col min="2" max="2" width="16.421875" style="14" customWidth="1"/>
    <col min="3" max="3" width="28.421875" style="14" customWidth="1"/>
    <col min="4" max="4" width="15.421875" style="14" customWidth="1"/>
    <col min="5" max="5" width="16.421875" style="14" customWidth="1"/>
    <col min="6" max="6" width="17.421875" style="14" customWidth="1"/>
    <col min="7" max="7" width="17.7109375" style="14" customWidth="1"/>
    <col min="8" max="8" width="16.57421875" style="14" customWidth="1"/>
    <col min="9" max="16384" width="9.140625" style="14" customWidth="1"/>
  </cols>
  <sheetData>
    <row r="1" spans="1:9" ht="12.75">
      <c r="A1" s="1107" t="s">
        <v>45</v>
      </c>
      <c r="B1" s="1107"/>
      <c r="C1" s="1107"/>
      <c r="D1" s="1107"/>
      <c r="E1" s="1107"/>
      <c r="F1" s="1107"/>
      <c r="G1" s="1107"/>
      <c r="H1" s="1107"/>
      <c r="I1" s="75"/>
    </row>
    <row r="2" spans="1:9" ht="12.75">
      <c r="A2" s="1107" t="s">
        <v>46</v>
      </c>
      <c r="B2" s="1107"/>
      <c r="C2" s="1107"/>
      <c r="D2" s="1107"/>
      <c r="E2" s="1107"/>
      <c r="F2" s="1107"/>
      <c r="G2" s="1107"/>
      <c r="H2" s="1107"/>
      <c r="I2" s="75"/>
    </row>
    <row r="3" spans="1:9" ht="12.75">
      <c r="A3" s="1107" t="s">
        <v>47</v>
      </c>
      <c r="B3" s="1107"/>
      <c r="C3" s="1107"/>
      <c r="D3" s="1107"/>
      <c r="E3" s="1107"/>
      <c r="F3" s="1107"/>
      <c r="G3" s="1107"/>
      <c r="H3" s="1107"/>
      <c r="I3" s="75"/>
    </row>
    <row r="4" spans="1:9" ht="12.75">
      <c r="A4" s="1107" t="s">
        <v>48</v>
      </c>
      <c r="B4" s="1107"/>
      <c r="C4" s="1107"/>
      <c r="D4" s="1107"/>
      <c r="E4" s="1107"/>
      <c r="F4" s="1107"/>
      <c r="G4" s="1107"/>
      <c r="H4" s="1107"/>
      <c r="I4" s="75"/>
    </row>
    <row r="5" spans="1:9" ht="13.5" thickBot="1">
      <c r="A5" s="151"/>
      <c r="B5" s="12"/>
      <c r="C5" s="12"/>
      <c r="D5" s="12"/>
      <c r="E5" s="514"/>
      <c r="F5" s="514"/>
      <c r="G5" s="514"/>
      <c r="H5" s="514"/>
      <c r="I5" s="514"/>
    </row>
    <row r="6" spans="1:9" ht="21.75" customHeight="1">
      <c r="A6" s="152"/>
      <c r="B6" s="77" t="s">
        <v>54</v>
      </c>
      <c r="C6" s="77"/>
      <c r="D6" s="78" t="s">
        <v>6</v>
      </c>
      <c r="E6" s="94">
        <f>'P1 Info &amp; Certification'!L20</f>
        <v>44013</v>
      </c>
      <c r="F6" s="148"/>
      <c r="G6" s="95" t="str">
        <f>'P1 Info &amp; Certification'!M20</f>
        <v>To</v>
      </c>
      <c r="H6" s="516">
        <f>'P1 Info &amp; Certification'!N20</f>
        <v>44377</v>
      </c>
      <c r="I6" s="147"/>
    </row>
    <row r="7" spans="1:9" ht="12.75">
      <c r="A7" s="153"/>
      <c r="B7" s="526"/>
      <c r="C7" s="526"/>
      <c r="D7" s="526"/>
      <c r="E7" s="13"/>
      <c r="F7" s="13"/>
      <c r="G7" s="13"/>
      <c r="H7" s="81"/>
      <c r="I7" s="13"/>
    </row>
    <row r="8" spans="1:9" ht="22.5" customHeight="1" thickBot="1">
      <c r="A8" s="154"/>
      <c r="B8" s="84" t="s">
        <v>59</v>
      </c>
      <c r="C8" s="1115" t="str">
        <f>'P1 Info &amp; Certification'!E12</f>
        <v>COMMUNITY HEALTH CENTER, INC.</v>
      </c>
      <c r="D8" s="1115"/>
      <c r="E8" s="1115"/>
      <c r="F8" s="1115"/>
      <c r="G8" s="1115"/>
      <c r="H8" s="464"/>
      <c r="I8" s="525"/>
    </row>
    <row r="9" spans="1:9" ht="12.75">
      <c r="A9" s="471"/>
      <c r="B9" s="515"/>
      <c r="C9" s="515"/>
      <c r="D9" s="515"/>
      <c r="E9" s="515"/>
      <c r="F9" s="515"/>
      <c r="G9" s="515"/>
      <c r="H9" s="515"/>
      <c r="I9" s="527"/>
    </row>
    <row r="10" spans="1:8" ht="12.75">
      <c r="A10" s="156"/>
      <c r="B10" s="146"/>
      <c r="C10" s="146"/>
      <c r="D10" s="146"/>
      <c r="E10" s="146"/>
      <c r="F10" s="146"/>
      <c r="G10" s="146"/>
      <c r="H10" s="146"/>
    </row>
    <row r="11" spans="1:8" ht="13.5" thickBot="1">
      <c r="A11" s="156"/>
      <c r="B11" s="146"/>
      <c r="C11" s="146"/>
      <c r="D11" s="146"/>
      <c r="E11" s="146"/>
      <c r="F11" s="146"/>
      <c r="G11" s="146"/>
      <c r="H11" s="296" t="s">
        <v>285</v>
      </c>
    </row>
    <row r="12" spans="1:8" ht="28.5" customHeight="1">
      <c r="A12" s="1176" t="s">
        <v>284</v>
      </c>
      <c r="B12" s="1177"/>
      <c r="C12" s="1177"/>
      <c r="D12" s="1177"/>
      <c r="E12" s="1177"/>
      <c r="F12" s="1177"/>
      <c r="G12" s="1177"/>
      <c r="H12" s="1179"/>
    </row>
    <row r="13" spans="1:8" ht="12.75">
      <c r="A13" s="1161" t="s">
        <v>281</v>
      </c>
      <c r="B13" s="1162"/>
      <c r="C13" s="1162"/>
      <c r="D13" s="1190"/>
      <c r="E13" s="366"/>
      <c r="F13" s="413"/>
      <c r="G13" s="1180" t="s">
        <v>271</v>
      </c>
      <c r="H13" s="1181"/>
    </row>
    <row r="14" spans="1:8" ht="12.75">
      <c r="A14" s="1163"/>
      <c r="B14" s="1164"/>
      <c r="C14" s="1164"/>
      <c r="D14" s="1164"/>
      <c r="E14" s="364"/>
      <c r="F14" s="414"/>
      <c r="G14" s="169" t="s">
        <v>272</v>
      </c>
      <c r="H14" s="204" t="s">
        <v>203</v>
      </c>
    </row>
    <row r="15" spans="1:8" ht="12.75" customHeight="1">
      <c r="A15" s="1165"/>
      <c r="B15" s="1166"/>
      <c r="C15" s="1166"/>
      <c r="D15" s="1166"/>
      <c r="E15" s="367" t="s">
        <v>266</v>
      </c>
      <c r="F15" s="415" t="s">
        <v>254</v>
      </c>
      <c r="G15" s="170" t="s">
        <v>205</v>
      </c>
      <c r="H15" s="205" t="s">
        <v>204</v>
      </c>
    </row>
    <row r="16" spans="1:8" ht="12.75" customHeight="1">
      <c r="A16" s="518"/>
      <c r="B16" s="520"/>
      <c r="C16" s="520"/>
      <c r="D16" s="520"/>
      <c r="E16" s="417" t="s">
        <v>61</v>
      </c>
      <c r="F16" s="418" t="s">
        <v>62</v>
      </c>
      <c r="G16" s="419" t="s">
        <v>63</v>
      </c>
      <c r="H16" s="420" t="s">
        <v>64</v>
      </c>
    </row>
    <row r="17" spans="1:8" ht="12.75" customHeight="1" thickBot="1">
      <c r="A17" s="304"/>
      <c r="B17" s="1182" t="s">
        <v>279</v>
      </c>
      <c r="C17" s="1183"/>
      <c r="D17" s="1183"/>
      <c r="E17" s="365">
        <v>125000</v>
      </c>
      <c r="F17" s="365">
        <v>1500</v>
      </c>
      <c r="G17" s="347">
        <v>1040</v>
      </c>
      <c r="H17" s="348">
        <f>G17/2080</f>
        <v>0.5</v>
      </c>
    </row>
    <row r="18" spans="1:8" ht="32.25" customHeight="1">
      <c r="A18" s="305" t="s">
        <v>83</v>
      </c>
      <c r="B18" s="1191" t="s">
        <v>208</v>
      </c>
      <c r="C18" s="1192"/>
      <c r="D18" s="1193"/>
      <c r="E18" s="306"/>
      <c r="F18" s="306"/>
      <c r="G18" s="307"/>
      <c r="H18" s="308"/>
    </row>
    <row r="19" spans="1:8" ht="19.5" customHeight="1">
      <c r="A19" s="474">
        <v>1</v>
      </c>
      <c r="B19" s="539" t="s">
        <v>208</v>
      </c>
      <c r="C19" s="540"/>
      <c r="D19" s="541"/>
      <c r="E19" s="696">
        <f>168873-1570.18</f>
        <v>167302.82</v>
      </c>
      <c r="F19" s="696">
        <v>1002</v>
      </c>
      <c r="G19" s="696">
        <v>2100</v>
      </c>
      <c r="H19" s="1316">
        <f>ROUND(G19/2080,2)</f>
        <v>1.01</v>
      </c>
    </row>
    <row r="20" spans="1:8" ht="19.5" customHeight="1">
      <c r="A20" s="474">
        <v>2</v>
      </c>
      <c r="B20" s="539" t="s">
        <v>208</v>
      </c>
      <c r="C20" s="517"/>
      <c r="D20" s="478"/>
      <c r="E20" s="696">
        <v>155590.11501388068</v>
      </c>
      <c r="F20" s="696">
        <v>1374</v>
      </c>
      <c r="G20" s="696">
        <v>2080</v>
      </c>
      <c r="H20" s="1316">
        <f aca="true" t="shared" si="0" ref="H20:H35">ROUND(G20/2080,2)</f>
        <v>1</v>
      </c>
    </row>
    <row r="21" spans="1:8" ht="19.5" customHeight="1">
      <c r="A21" s="474">
        <v>3</v>
      </c>
      <c r="B21" s="539" t="s">
        <v>208</v>
      </c>
      <c r="C21" s="517"/>
      <c r="D21" s="478"/>
      <c r="E21" s="696">
        <v>73416.5361601179</v>
      </c>
      <c r="F21" s="696">
        <v>320</v>
      </c>
      <c r="G21" s="696">
        <v>881.25</v>
      </c>
      <c r="H21" s="1316">
        <f t="shared" si="0"/>
        <v>0.42</v>
      </c>
    </row>
    <row r="22" spans="1:8" ht="19.5" customHeight="1">
      <c r="A22" s="474">
        <v>4</v>
      </c>
      <c r="B22" s="539" t="s">
        <v>208</v>
      </c>
      <c r="C22" s="517"/>
      <c r="D22" s="478"/>
      <c r="E22" s="696">
        <v>159268.77286883426</v>
      </c>
      <c r="F22" s="696">
        <v>620</v>
      </c>
      <c r="G22" s="696">
        <v>2078</v>
      </c>
      <c r="H22" s="1316">
        <f t="shared" si="0"/>
        <v>1</v>
      </c>
    </row>
    <row r="23" spans="1:8" ht="19.5" customHeight="1">
      <c r="A23" s="474">
        <v>5</v>
      </c>
      <c r="B23" s="539" t="s">
        <v>208</v>
      </c>
      <c r="C23" s="517"/>
      <c r="D23" s="478"/>
      <c r="E23" s="696">
        <v>78578.99401243129</v>
      </c>
      <c r="F23" s="696">
        <v>292</v>
      </c>
      <c r="G23" s="696">
        <v>1065.75</v>
      </c>
      <c r="H23" s="1316">
        <f t="shared" si="0"/>
        <v>0.51</v>
      </c>
    </row>
    <row r="24" spans="1:8" ht="19.5" customHeight="1">
      <c r="A24" s="474">
        <v>6</v>
      </c>
      <c r="B24" s="539" t="s">
        <v>208</v>
      </c>
      <c r="C24" s="517"/>
      <c r="D24" s="478"/>
      <c r="E24" s="696">
        <f>82864-400.87</f>
        <v>82463.13</v>
      </c>
      <c r="F24" s="696">
        <v>71</v>
      </c>
      <c r="G24" s="696">
        <v>1020.5</v>
      </c>
      <c r="H24" s="1316">
        <f t="shared" si="0"/>
        <v>0.49</v>
      </c>
    </row>
    <row r="25" spans="1:8" ht="19.5" customHeight="1">
      <c r="A25" s="474">
        <v>7</v>
      </c>
      <c r="B25" s="539" t="s">
        <v>208</v>
      </c>
      <c r="C25" s="517"/>
      <c r="D25" s="478"/>
      <c r="E25" s="696">
        <v>164580</v>
      </c>
      <c r="F25" s="696">
        <v>596</v>
      </c>
      <c r="G25" s="696">
        <v>2101</v>
      </c>
      <c r="H25" s="1316">
        <f t="shared" si="0"/>
        <v>1.01</v>
      </c>
    </row>
    <row r="26" spans="1:8" ht="19.5" customHeight="1">
      <c r="A26" s="474">
        <v>8</v>
      </c>
      <c r="B26" s="539" t="s">
        <v>208</v>
      </c>
      <c r="C26" s="517"/>
      <c r="D26" s="478"/>
      <c r="E26" s="696">
        <f>164812-2351.18</f>
        <v>162460.82</v>
      </c>
      <c r="F26" s="696">
        <v>819</v>
      </c>
      <c r="G26" s="696">
        <v>2080</v>
      </c>
      <c r="H26" s="1316">
        <f t="shared" si="0"/>
        <v>1</v>
      </c>
    </row>
    <row r="27" spans="1:8" ht="19.5" customHeight="1">
      <c r="A27" s="474">
        <v>9</v>
      </c>
      <c r="B27" s="539" t="s">
        <v>208</v>
      </c>
      <c r="C27" s="517"/>
      <c r="D27" s="478"/>
      <c r="E27" s="696">
        <f>165936-629.05</f>
        <v>165306.95</v>
      </c>
      <c r="F27" s="696">
        <v>1084</v>
      </c>
      <c r="G27" s="696">
        <v>2100</v>
      </c>
      <c r="H27" s="1316">
        <f t="shared" si="0"/>
        <v>1.01</v>
      </c>
    </row>
    <row r="28" spans="1:8" ht="19.5" customHeight="1">
      <c r="A28" s="474">
        <v>10</v>
      </c>
      <c r="B28" s="539" t="s">
        <v>208</v>
      </c>
      <c r="C28" s="517"/>
      <c r="D28" s="478"/>
      <c r="E28" s="696">
        <v>1890.6155703676388</v>
      </c>
      <c r="F28" s="696">
        <v>19</v>
      </c>
      <c r="G28" s="696">
        <v>24.5</v>
      </c>
      <c r="H28" s="1316">
        <f t="shared" si="0"/>
        <v>0.01</v>
      </c>
    </row>
    <row r="29" spans="1:8" ht="19.5" customHeight="1">
      <c r="A29" s="474">
        <v>11</v>
      </c>
      <c r="B29" s="539" t="s">
        <v>208</v>
      </c>
      <c r="C29" s="517"/>
      <c r="D29" s="478"/>
      <c r="E29" s="696">
        <v>162218</v>
      </c>
      <c r="F29" s="696">
        <v>1406</v>
      </c>
      <c r="G29" s="696">
        <v>2084</v>
      </c>
      <c r="H29" s="1316">
        <f t="shared" si="0"/>
        <v>1</v>
      </c>
    </row>
    <row r="30" spans="1:8" ht="19.5" customHeight="1">
      <c r="A30" s="474">
        <v>12</v>
      </c>
      <c r="B30" s="539" t="s">
        <v>208</v>
      </c>
      <c r="C30" s="517"/>
      <c r="D30" s="478"/>
      <c r="E30" s="696">
        <f>172654-325.35</f>
        <v>172328.65</v>
      </c>
      <c r="F30" s="696">
        <v>775</v>
      </c>
      <c r="G30" s="696">
        <v>2092</v>
      </c>
      <c r="H30" s="1316">
        <f t="shared" si="0"/>
        <v>1.01</v>
      </c>
    </row>
    <row r="31" spans="1:8" ht="19.5" customHeight="1">
      <c r="A31" s="474">
        <v>13</v>
      </c>
      <c r="B31" s="539" t="s">
        <v>208</v>
      </c>
      <c r="C31" s="517"/>
      <c r="D31" s="478"/>
      <c r="E31" s="696">
        <v>163964</v>
      </c>
      <c r="F31" s="696">
        <v>871</v>
      </c>
      <c r="G31" s="696">
        <v>2048</v>
      </c>
      <c r="H31" s="1316">
        <f t="shared" si="0"/>
        <v>0.98</v>
      </c>
    </row>
    <row r="32" spans="1:8" ht="19.5" customHeight="1">
      <c r="A32" s="474">
        <v>14</v>
      </c>
      <c r="B32" s="539" t="s">
        <v>208</v>
      </c>
      <c r="C32" s="517"/>
      <c r="D32" s="478"/>
      <c r="E32" s="696">
        <v>192881</v>
      </c>
      <c r="F32" s="696">
        <v>645</v>
      </c>
      <c r="G32" s="696">
        <v>2080</v>
      </c>
      <c r="H32" s="1316">
        <f t="shared" si="0"/>
        <v>1</v>
      </c>
    </row>
    <row r="33" spans="1:8" ht="19.5" customHeight="1">
      <c r="A33" s="474">
        <v>15</v>
      </c>
      <c r="B33" s="539" t="s">
        <v>208</v>
      </c>
      <c r="C33" s="517"/>
      <c r="D33" s="478"/>
      <c r="E33" s="696">
        <v>175922.8060588389</v>
      </c>
      <c r="F33" s="696">
        <v>1010</v>
      </c>
      <c r="G33" s="696">
        <v>2096</v>
      </c>
      <c r="H33" s="1316">
        <f t="shared" si="0"/>
        <v>1.01</v>
      </c>
    </row>
    <row r="34" spans="1:8" ht="19.5" customHeight="1">
      <c r="A34" s="474">
        <v>16</v>
      </c>
      <c r="B34" s="539" t="s">
        <v>208</v>
      </c>
      <c r="C34" s="517"/>
      <c r="D34" s="478"/>
      <c r="E34" s="696">
        <v>170524</v>
      </c>
      <c r="F34" s="696">
        <v>1215</v>
      </c>
      <c r="G34" s="696">
        <v>2080</v>
      </c>
      <c r="H34" s="1317">
        <f t="shared" si="0"/>
        <v>1</v>
      </c>
    </row>
    <row r="35" spans="1:9" ht="19.5" customHeight="1">
      <c r="A35" s="474">
        <v>17</v>
      </c>
      <c r="B35" s="539" t="s">
        <v>208</v>
      </c>
      <c r="C35" s="638"/>
      <c r="D35" s="639"/>
      <c r="E35" s="696">
        <f>167648-225.49</f>
        <v>167422.51</v>
      </c>
      <c r="F35" s="696">
        <v>1006</v>
      </c>
      <c r="G35" s="696">
        <v>2088</v>
      </c>
      <c r="H35" s="1317">
        <f t="shared" si="0"/>
        <v>1</v>
      </c>
      <c r="I35" s="637"/>
    </row>
    <row r="36" spans="1:9" ht="19.5" customHeight="1">
      <c r="A36" s="474">
        <v>18</v>
      </c>
      <c r="B36" s="539"/>
      <c r="C36" s="640"/>
      <c r="D36" s="641"/>
      <c r="E36" s="696"/>
      <c r="F36" s="696"/>
      <c r="G36" s="696"/>
      <c r="H36" s="346"/>
      <c r="I36" s="637"/>
    </row>
    <row r="37" spans="1:9" ht="19.5" customHeight="1">
      <c r="A37" s="474">
        <f>+A36+1</f>
        <v>19</v>
      </c>
      <c r="B37" s="539"/>
      <c r="C37" s="642"/>
      <c r="D37" s="643"/>
      <c r="E37" s="696"/>
      <c r="F37" s="696"/>
      <c r="G37" s="696"/>
      <c r="H37" s="346"/>
      <c r="I37" s="637"/>
    </row>
    <row r="38" spans="1:8" ht="19.5" customHeight="1">
      <c r="A38" s="474">
        <f>+A37+1</f>
        <v>20</v>
      </c>
      <c r="B38" s="539"/>
      <c r="C38" s="517"/>
      <c r="D38" s="478"/>
      <c r="E38" s="696"/>
      <c r="F38" s="696"/>
      <c r="G38" s="696"/>
      <c r="H38" s="346"/>
    </row>
    <row r="39" spans="1:8" ht="24.75" customHeight="1" thickBot="1">
      <c r="A39" s="253"/>
      <c r="B39" s="1158" t="s">
        <v>257</v>
      </c>
      <c r="C39" s="1159"/>
      <c r="D39" s="1160"/>
      <c r="E39" s="776">
        <f>SUM(E19:E38)</f>
        <v>2416119.7196844704</v>
      </c>
      <c r="F39" s="776">
        <f>SUM(F19:F38)</f>
        <v>13125</v>
      </c>
      <c r="G39" s="776">
        <f>SUM(G19:G38)</f>
        <v>30099</v>
      </c>
      <c r="H39" s="777">
        <f>ROUND(G39/2080,2)</f>
        <v>14.47</v>
      </c>
    </row>
    <row r="40" spans="1:9" ht="19.5" customHeight="1" thickTop="1">
      <c r="A40" s="253"/>
      <c r="B40" s="1194"/>
      <c r="C40" s="1194"/>
      <c r="D40" s="1194"/>
      <c r="E40" s="487"/>
      <c r="F40" s="294"/>
      <c r="G40" s="295"/>
      <c r="H40" s="300"/>
      <c r="I40" s="146"/>
    </row>
    <row r="41" spans="1:8" ht="19.5" customHeight="1">
      <c r="A41" s="207" t="s">
        <v>84</v>
      </c>
      <c r="B41" s="1184" t="s">
        <v>209</v>
      </c>
      <c r="C41" s="1185"/>
      <c r="D41" s="1186"/>
      <c r="E41" s="338"/>
      <c r="F41" s="338"/>
      <c r="G41" s="390"/>
      <c r="H41" s="391"/>
    </row>
    <row r="42" spans="1:8" ht="19.5" customHeight="1">
      <c r="A42" s="474">
        <v>1</v>
      </c>
      <c r="B42" s="699" t="s">
        <v>703</v>
      </c>
      <c r="C42" s="698"/>
      <c r="D42" s="700"/>
      <c r="E42" s="696">
        <f>68171-703.53</f>
        <v>67467.47</v>
      </c>
      <c r="F42" s="696">
        <v>335</v>
      </c>
      <c r="G42" s="696">
        <v>1826.5</v>
      </c>
      <c r="H42" s="1317">
        <f>ROUND(G42/2080,2)</f>
        <v>0.88</v>
      </c>
    </row>
    <row r="43" spans="1:8" ht="19.5" customHeight="1">
      <c r="A43" s="474">
        <v>2</v>
      </c>
      <c r="B43" s="697" t="s">
        <v>703</v>
      </c>
      <c r="C43" s="517"/>
      <c r="D43" s="478"/>
      <c r="E43" s="696">
        <f>90269-1280.62-1280.62</f>
        <v>87707.76000000001</v>
      </c>
      <c r="F43" s="696">
        <v>485</v>
      </c>
      <c r="G43" s="696">
        <v>2123.75</v>
      </c>
      <c r="H43" s="1317">
        <f aca="true" t="shared" si="1" ref="H43:H63">ROUND(G43/2080,2)</f>
        <v>1.02</v>
      </c>
    </row>
    <row r="44" spans="1:8" ht="19.5" customHeight="1">
      <c r="A44" s="474">
        <v>3</v>
      </c>
      <c r="B44" s="697" t="s">
        <v>704</v>
      </c>
      <c r="C44" s="517"/>
      <c r="D44" s="478"/>
      <c r="E44" s="696">
        <v>1822</v>
      </c>
      <c r="F44" s="696">
        <v>0</v>
      </c>
      <c r="G44" s="696">
        <v>34.15</v>
      </c>
      <c r="H44" s="1317">
        <f t="shared" si="1"/>
        <v>0.02</v>
      </c>
    </row>
    <row r="45" spans="1:8" ht="19.5" customHeight="1">
      <c r="A45" s="474">
        <v>4</v>
      </c>
      <c r="B45" s="697" t="s">
        <v>703</v>
      </c>
      <c r="C45" s="517"/>
      <c r="D45" s="478"/>
      <c r="E45" s="696">
        <v>82165</v>
      </c>
      <c r="F45" s="696">
        <v>582</v>
      </c>
      <c r="G45" s="696">
        <v>2130.25</v>
      </c>
      <c r="H45" s="1317">
        <f t="shared" si="1"/>
        <v>1.02</v>
      </c>
    </row>
    <row r="46" spans="1:8" ht="19.5" customHeight="1">
      <c r="A46" s="474">
        <v>5</v>
      </c>
      <c r="B46" s="697" t="s">
        <v>703</v>
      </c>
      <c r="C46" s="517"/>
      <c r="D46" s="478"/>
      <c r="E46" s="696">
        <f>93825-1292.46</f>
        <v>92532.54</v>
      </c>
      <c r="F46" s="696">
        <v>1416</v>
      </c>
      <c r="G46" s="696">
        <v>2067</v>
      </c>
      <c r="H46" s="1317">
        <f t="shared" si="1"/>
        <v>0.99</v>
      </c>
    </row>
    <row r="47" spans="1:8" ht="19.5" customHeight="1">
      <c r="A47" s="474">
        <v>6</v>
      </c>
      <c r="B47" s="697" t="s">
        <v>703</v>
      </c>
      <c r="C47" s="517"/>
      <c r="D47" s="478"/>
      <c r="E47" s="696">
        <v>65599.39949288442</v>
      </c>
      <c r="F47" s="696">
        <v>149</v>
      </c>
      <c r="G47" s="696">
        <v>1566.72</v>
      </c>
      <c r="H47" s="1317">
        <f t="shared" si="1"/>
        <v>0.75</v>
      </c>
    </row>
    <row r="48" spans="1:8" ht="19.5" customHeight="1">
      <c r="A48" s="474">
        <v>7</v>
      </c>
      <c r="B48" s="697" t="s">
        <v>703</v>
      </c>
      <c r="C48" s="517"/>
      <c r="D48" s="478"/>
      <c r="E48" s="696">
        <v>80744.04698952539</v>
      </c>
      <c r="F48" s="696">
        <v>349</v>
      </c>
      <c r="G48" s="696">
        <v>1937.25</v>
      </c>
      <c r="H48" s="1317">
        <f t="shared" si="1"/>
        <v>0.93</v>
      </c>
    </row>
    <row r="49" spans="1:8" ht="19.5" customHeight="1">
      <c r="A49" s="474">
        <v>8</v>
      </c>
      <c r="B49" s="697" t="s">
        <v>703</v>
      </c>
      <c r="C49" s="517"/>
      <c r="D49" s="478"/>
      <c r="E49" s="696">
        <v>78920.66778206044</v>
      </c>
      <c r="F49" s="696">
        <v>545</v>
      </c>
      <c r="G49" s="696">
        <v>1993.5</v>
      </c>
      <c r="H49" s="1317">
        <f t="shared" si="1"/>
        <v>0.96</v>
      </c>
    </row>
    <row r="50" spans="1:8" ht="19.5" customHeight="1">
      <c r="A50" s="474">
        <v>9</v>
      </c>
      <c r="B50" s="697" t="s">
        <v>703</v>
      </c>
      <c r="C50" s="517"/>
      <c r="D50" s="478"/>
      <c r="E50" s="696">
        <f>112423-1947.42-1947.42</f>
        <v>108528.16</v>
      </c>
      <c r="F50" s="696">
        <v>473</v>
      </c>
      <c r="G50" s="696">
        <v>2372</v>
      </c>
      <c r="H50" s="1317">
        <f t="shared" si="1"/>
        <v>1.14</v>
      </c>
    </row>
    <row r="51" spans="1:8" ht="19.5" customHeight="1">
      <c r="A51" s="474">
        <v>10</v>
      </c>
      <c r="B51" s="697" t="s">
        <v>703</v>
      </c>
      <c r="C51" s="517"/>
      <c r="D51" s="478"/>
      <c r="E51" s="696">
        <v>86135</v>
      </c>
      <c r="F51" s="696">
        <v>366</v>
      </c>
      <c r="G51" s="696">
        <v>1934</v>
      </c>
      <c r="H51" s="1317">
        <f t="shared" si="1"/>
        <v>0.93</v>
      </c>
    </row>
    <row r="52" spans="1:8" ht="19.5" customHeight="1">
      <c r="A52" s="474">
        <v>11</v>
      </c>
      <c r="B52" s="697" t="s">
        <v>703</v>
      </c>
      <c r="C52" s="517"/>
      <c r="D52" s="478"/>
      <c r="E52" s="696">
        <v>113634.71475893202</v>
      </c>
      <c r="F52" s="696">
        <v>1322</v>
      </c>
      <c r="G52" s="696">
        <v>2542.9999999999995</v>
      </c>
      <c r="H52" s="1317">
        <f t="shared" si="1"/>
        <v>1.22</v>
      </c>
    </row>
    <row r="53" spans="1:8" ht="19.5" customHeight="1">
      <c r="A53" s="474">
        <v>12</v>
      </c>
      <c r="B53" s="697" t="s">
        <v>703</v>
      </c>
      <c r="C53" s="517"/>
      <c r="D53" s="478"/>
      <c r="E53" s="696">
        <v>40236.588674630446</v>
      </c>
      <c r="F53" s="696">
        <v>0</v>
      </c>
      <c r="G53" s="696">
        <v>1008.4999999999998</v>
      </c>
      <c r="H53" s="1317">
        <f t="shared" si="1"/>
        <v>0.48</v>
      </c>
    </row>
    <row r="54" spans="1:8" ht="19.5" customHeight="1">
      <c r="A54" s="474">
        <v>13</v>
      </c>
      <c r="B54" s="697" t="s">
        <v>703</v>
      </c>
      <c r="C54" s="517"/>
      <c r="D54" s="478"/>
      <c r="E54" s="696">
        <f>95597-52.72</f>
        <v>95544.28</v>
      </c>
      <c r="F54" s="696">
        <v>485</v>
      </c>
      <c r="G54" s="696">
        <v>2123</v>
      </c>
      <c r="H54" s="1317">
        <f t="shared" si="1"/>
        <v>1.02</v>
      </c>
    </row>
    <row r="55" spans="1:8" ht="19.5" customHeight="1">
      <c r="A55" s="474">
        <v>14</v>
      </c>
      <c r="B55" s="697" t="s">
        <v>703</v>
      </c>
      <c r="C55" s="540"/>
      <c r="D55" s="541"/>
      <c r="E55" s="696">
        <v>2854.6641512927117</v>
      </c>
      <c r="F55" s="696">
        <v>0</v>
      </c>
      <c r="G55" s="696"/>
      <c r="H55" s="1317">
        <f t="shared" si="1"/>
        <v>0</v>
      </c>
    </row>
    <row r="56" spans="1:8" ht="19.5" customHeight="1">
      <c r="A56" s="474">
        <v>15</v>
      </c>
      <c r="B56" s="697" t="s">
        <v>703</v>
      </c>
      <c r="C56" s="540"/>
      <c r="D56" s="541"/>
      <c r="E56" s="696">
        <v>128675.24561014195</v>
      </c>
      <c r="F56" s="696">
        <v>701</v>
      </c>
      <c r="G56" s="696">
        <v>2510.749999999994</v>
      </c>
      <c r="H56" s="1317">
        <f t="shared" si="1"/>
        <v>1.21</v>
      </c>
    </row>
    <row r="57" spans="1:8" ht="19.5" customHeight="1">
      <c r="A57" s="474">
        <v>16</v>
      </c>
      <c r="B57" s="697" t="s">
        <v>703</v>
      </c>
      <c r="C57" s="517"/>
      <c r="D57" s="478"/>
      <c r="E57" s="696">
        <v>88238.1805301596</v>
      </c>
      <c r="F57" s="696">
        <v>813</v>
      </c>
      <c r="G57" s="696">
        <v>2073.5</v>
      </c>
      <c r="H57" s="1317">
        <f t="shared" si="1"/>
        <v>1</v>
      </c>
    </row>
    <row r="58" spans="1:8" ht="19.5" customHeight="1">
      <c r="A58" s="474">
        <v>17</v>
      </c>
      <c r="B58" s="697" t="s">
        <v>703</v>
      </c>
      <c r="C58" s="517"/>
      <c r="D58" s="478"/>
      <c r="E58" s="696">
        <f>58380-11089.03</f>
        <v>47290.97</v>
      </c>
      <c r="F58" s="696">
        <v>1960</v>
      </c>
      <c r="G58" s="696">
        <v>1421</v>
      </c>
      <c r="H58" s="1317">
        <f t="shared" si="1"/>
        <v>0.68</v>
      </c>
    </row>
    <row r="59" spans="1:8" ht="19.5" customHeight="1">
      <c r="A59" s="474">
        <v>18</v>
      </c>
      <c r="B59" s="697" t="s">
        <v>703</v>
      </c>
      <c r="C59" s="517"/>
      <c r="D59" s="478"/>
      <c r="E59" s="696">
        <v>90027</v>
      </c>
      <c r="F59" s="696">
        <v>79</v>
      </c>
      <c r="G59" s="696">
        <v>2084</v>
      </c>
      <c r="H59" s="1317">
        <f t="shared" si="1"/>
        <v>1</v>
      </c>
    </row>
    <row r="60" spans="1:8" ht="19.5" customHeight="1">
      <c r="A60" s="474">
        <v>19</v>
      </c>
      <c r="B60" s="697" t="s">
        <v>703</v>
      </c>
      <c r="C60" s="517"/>
      <c r="D60" s="478"/>
      <c r="E60" s="696">
        <f>105108-428.72-1495.89-1495.89-150.64</f>
        <v>101536.86</v>
      </c>
      <c r="F60" s="696">
        <v>1185</v>
      </c>
      <c r="G60" s="696">
        <v>2115</v>
      </c>
      <c r="H60" s="1317">
        <f t="shared" si="1"/>
        <v>1.02</v>
      </c>
    </row>
    <row r="61" spans="1:8" ht="19.5" customHeight="1">
      <c r="A61" s="474">
        <v>20</v>
      </c>
      <c r="B61" s="697" t="s">
        <v>703</v>
      </c>
      <c r="C61" s="517"/>
      <c r="D61" s="478"/>
      <c r="E61" s="696">
        <v>96101</v>
      </c>
      <c r="F61" s="696">
        <v>568</v>
      </c>
      <c r="G61" s="696">
        <v>2210</v>
      </c>
      <c r="H61" s="1317">
        <f t="shared" si="1"/>
        <v>1.06</v>
      </c>
    </row>
    <row r="62" spans="1:8" ht="19.5" customHeight="1">
      <c r="A62" s="474">
        <v>21</v>
      </c>
      <c r="B62" s="697" t="s">
        <v>703</v>
      </c>
      <c r="C62" s="517"/>
      <c r="D62" s="478"/>
      <c r="E62" s="696">
        <v>96213.71199776228</v>
      </c>
      <c r="F62" s="696">
        <v>1715</v>
      </c>
      <c r="G62" s="696">
        <v>2122</v>
      </c>
      <c r="H62" s="1317">
        <f t="shared" si="1"/>
        <v>1.02</v>
      </c>
    </row>
    <row r="63" spans="1:8" ht="19.5" customHeight="1">
      <c r="A63" s="474">
        <v>22</v>
      </c>
      <c r="B63" s="697" t="s">
        <v>703</v>
      </c>
      <c r="C63" s="517"/>
      <c r="D63" s="478"/>
      <c r="E63" s="696">
        <v>153813.32722855525</v>
      </c>
      <c r="F63" s="696">
        <v>462</v>
      </c>
      <c r="G63" s="696">
        <v>3172.75</v>
      </c>
      <c r="H63" s="1317">
        <f t="shared" si="1"/>
        <v>1.53</v>
      </c>
    </row>
    <row r="64" spans="1:8" ht="19.5" customHeight="1">
      <c r="A64" s="474">
        <v>23</v>
      </c>
      <c r="B64" s="697" t="s">
        <v>703</v>
      </c>
      <c r="C64" s="540"/>
      <c r="D64" s="541"/>
      <c r="E64" s="696">
        <v>81126.60976804463</v>
      </c>
      <c r="F64" s="696">
        <v>37</v>
      </c>
      <c r="G64" s="696">
        <v>2153.25</v>
      </c>
      <c r="H64" s="1317">
        <f>ROUND(G64/2080,2)</f>
        <v>1.04</v>
      </c>
    </row>
    <row r="65" spans="1:8" ht="19.5" customHeight="1">
      <c r="A65" s="474">
        <v>24</v>
      </c>
      <c r="B65" s="697" t="s">
        <v>703</v>
      </c>
      <c r="C65" s="540"/>
      <c r="D65" s="541"/>
      <c r="E65" s="696">
        <v>70396.94298448623</v>
      </c>
      <c r="F65" s="696">
        <v>1394</v>
      </c>
      <c r="G65" s="696">
        <v>1609</v>
      </c>
      <c r="H65" s="1317">
        <f>ROUND(G65/2080,2)</f>
        <v>0.77</v>
      </c>
    </row>
    <row r="66" spans="1:8" ht="19.5" customHeight="1">
      <c r="A66" s="474">
        <v>25</v>
      </c>
      <c r="B66" s="697" t="s">
        <v>703</v>
      </c>
      <c r="C66" s="540"/>
      <c r="D66" s="541"/>
      <c r="E66" s="696">
        <f>124143-9323.38-415.54</f>
        <v>114404.08</v>
      </c>
      <c r="F66" s="696">
        <v>14</v>
      </c>
      <c r="G66" s="696">
        <v>2264</v>
      </c>
      <c r="H66" s="1317">
        <f>ROUND(G66/2080,2)</f>
        <v>1.09</v>
      </c>
    </row>
    <row r="67" spans="1:8" ht="19.5" customHeight="1">
      <c r="A67" s="474">
        <v>26</v>
      </c>
      <c r="B67" s="697"/>
      <c r="C67" s="540"/>
      <c r="D67" s="626"/>
      <c r="E67" s="696"/>
      <c r="F67" s="696"/>
      <c r="G67" s="696"/>
      <c r="H67" s="346"/>
    </row>
    <row r="68" spans="1:8" ht="24.75" customHeight="1" thickBot="1">
      <c r="A68" s="293"/>
      <c r="B68" s="1158" t="s">
        <v>258</v>
      </c>
      <c r="C68" s="1195"/>
      <c r="D68" s="1160"/>
      <c r="E68" s="776">
        <f>SUM(E42:E67)</f>
        <v>2071716.2199684754</v>
      </c>
      <c r="F68" s="776">
        <f>SUM(F42:F67)</f>
        <v>15435</v>
      </c>
      <c r="G68" s="776">
        <f>SUM(G42:G67)</f>
        <v>47394.869999999995</v>
      </c>
      <c r="H68" s="777">
        <f>ROUND(G68/2080,2)</f>
        <v>22.79</v>
      </c>
    </row>
    <row r="69" spans="1:8" s="146" customFormat="1" ht="19.5" customHeight="1" thickTop="1">
      <c r="A69" s="293"/>
      <c r="B69" s="375"/>
      <c r="C69" s="375"/>
      <c r="D69" s="375"/>
      <c r="E69" s="487"/>
      <c r="F69" s="294"/>
      <c r="G69" s="295"/>
      <c r="H69" s="300"/>
    </row>
    <row r="70" spans="1:8" ht="19.5" customHeight="1">
      <c r="A70" s="207" t="s">
        <v>91</v>
      </c>
      <c r="B70" s="1184" t="s">
        <v>346</v>
      </c>
      <c r="C70" s="1185"/>
      <c r="D70" s="1186"/>
      <c r="E70" s="338"/>
      <c r="F70" s="338"/>
      <c r="G70" s="390"/>
      <c r="H70" s="391"/>
    </row>
    <row r="71" spans="1:8" ht="19.5" customHeight="1">
      <c r="A71" s="715">
        <v>1</v>
      </c>
      <c r="B71" s="714"/>
      <c r="C71" s="540"/>
      <c r="D71" s="541"/>
      <c r="E71" s="661"/>
      <c r="F71" s="695"/>
      <c r="G71" s="657"/>
      <c r="H71" s="658">
        <f>ROUND(G71/2080,2)</f>
        <v>0</v>
      </c>
    </row>
    <row r="72" spans="1:8" ht="19.5" customHeight="1">
      <c r="A72" s="715">
        <f>A71+1</f>
        <v>2</v>
      </c>
      <c r="B72" s="714"/>
      <c r="C72" s="540"/>
      <c r="D72" s="541"/>
      <c r="E72" s="661"/>
      <c r="F72" s="695"/>
      <c r="G72" s="657"/>
      <c r="H72" s="658">
        <f aca="true" t="shared" si="2" ref="H72:H80">ROUND(G72/2080,2)</f>
        <v>0</v>
      </c>
    </row>
    <row r="73" spans="1:8" ht="19.5" customHeight="1">
      <c r="A73" s="474">
        <f aca="true" t="shared" si="3" ref="A73:A79">+A72+1</f>
        <v>3</v>
      </c>
      <c r="B73" s="714"/>
      <c r="C73" s="540"/>
      <c r="D73" s="541"/>
      <c r="E73" s="661"/>
      <c r="F73" s="695"/>
      <c r="G73" s="657"/>
      <c r="H73" s="658">
        <f t="shared" si="2"/>
        <v>0</v>
      </c>
    </row>
    <row r="74" spans="1:8" ht="19.5" customHeight="1">
      <c r="A74" s="474">
        <f t="shared" si="3"/>
        <v>4</v>
      </c>
      <c r="B74" s="714"/>
      <c r="C74" s="540"/>
      <c r="D74" s="541"/>
      <c r="E74" s="661"/>
      <c r="F74" s="695"/>
      <c r="G74" s="657"/>
      <c r="H74" s="658">
        <f t="shared" si="2"/>
        <v>0</v>
      </c>
    </row>
    <row r="75" spans="1:8" ht="19.5" customHeight="1">
      <c r="A75" s="474">
        <f t="shared" si="3"/>
        <v>5</v>
      </c>
      <c r="B75" s="714"/>
      <c r="C75" s="540"/>
      <c r="D75" s="541"/>
      <c r="E75" s="661"/>
      <c r="F75" s="695"/>
      <c r="G75" s="657"/>
      <c r="H75" s="658">
        <f t="shared" si="2"/>
        <v>0</v>
      </c>
    </row>
    <row r="76" spans="1:8" ht="19.5" customHeight="1">
      <c r="A76" s="474">
        <f t="shared" si="3"/>
        <v>6</v>
      </c>
      <c r="B76" s="714"/>
      <c r="C76" s="540"/>
      <c r="D76" s="541"/>
      <c r="E76" s="661"/>
      <c r="F76" s="695"/>
      <c r="G76" s="657"/>
      <c r="H76" s="658">
        <f t="shared" si="2"/>
        <v>0</v>
      </c>
    </row>
    <row r="77" spans="1:8" ht="19.5" customHeight="1">
      <c r="A77" s="474">
        <f t="shared" si="3"/>
        <v>7</v>
      </c>
      <c r="B77" s="714"/>
      <c r="C77" s="540"/>
      <c r="D77" s="541"/>
      <c r="E77" s="661"/>
      <c r="F77" s="695"/>
      <c r="G77" s="657"/>
      <c r="H77" s="658">
        <f t="shared" si="2"/>
        <v>0</v>
      </c>
    </row>
    <row r="78" spans="1:8" ht="19.5" customHeight="1">
      <c r="A78" s="474">
        <f t="shared" si="3"/>
        <v>8</v>
      </c>
      <c r="B78" s="714"/>
      <c r="C78" s="540"/>
      <c r="D78" s="541"/>
      <c r="E78" s="661"/>
      <c r="F78" s="695"/>
      <c r="G78" s="657"/>
      <c r="H78" s="658">
        <f t="shared" si="2"/>
        <v>0</v>
      </c>
    </row>
    <row r="79" spans="1:8" ht="19.5" customHeight="1">
      <c r="A79" s="474">
        <f t="shared" si="3"/>
        <v>9</v>
      </c>
      <c r="B79" s="714"/>
      <c r="C79" s="540"/>
      <c r="D79" s="541"/>
      <c r="E79" s="661"/>
      <c r="F79" s="695"/>
      <c r="G79" s="657"/>
      <c r="H79" s="658">
        <f t="shared" si="2"/>
        <v>0</v>
      </c>
    </row>
    <row r="80" spans="1:8" ht="24.75" customHeight="1" thickBot="1">
      <c r="A80" s="293"/>
      <c r="B80" s="1158" t="s">
        <v>347</v>
      </c>
      <c r="C80" s="1159"/>
      <c r="D80" s="1160"/>
      <c r="E80" s="776">
        <f>SUM(E71:E79)</f>
        <v>0</v>
      </c>
      <c r="F80" s="776">
        <f>SUM(F71:F79)</f>
        <v>0</v>
      </c>
      <c r="G80" s="776">
        <f>SUM(G71:G79)</f>
        <v>0</v>
      </c>
      <c r="H80" s="777">
        <f t="shared" si="2"/>
        <v>0</v>
      </c>
    </row>
    <row r="81" spans="1:8" ht="14.25" customHeight="1" thickBot="1" thickTop="1">
      <c r="A81" s="301"/>
      <c r="B81" s="309"/>
      <c r="C81" s="309"/>
      <c r="D81" s="309"/>
      <c r="E81" s="310"/>
      <c r="F81" s="311"/>
      <c r="G81" s="312"/>
      <c r="H81" s="313"/>
    </row>
    <row r="83" spans="4:8" ht="13.5" thickBot="1">
      <c r="D83" s="870" t="s">
        <v>759</v>
      </c>
      <c r="E83" s="877">
        <f>+E80+E68+E39</f>
        <v>4487835.939652946</v>
      </c>
      <c r="F83" s="877">
        <f>+F80+F68+F39</f>
        <v>28560</v>
      </c>
      <c r="G83" s="877">
        <f>+G80+G68+G39</f>
        <v>77493.87</v>
      </c>
      <c r="H83" s="879">
        <f>ROUND(G83/2080,2)</f>
        <v>37.26</v>
      </c>
    </row>
    <row r="84" spans="5:8" ht="13.5" thickTop="1">
      <c r="E84" s="545"/>
      <c r="F84" s="545"/>
      <c r="G84" s="545"/>
      <c r="H84" s="737"/>
    </row>
    <row r="86" spans="4:6" ht="12.75">
      <c r="D86" s="149"/>
      <c r="F86" s="880"/>
    </row>
    <row r="88" spans="4:6" ht="12.75">
      <c r="D88" s="149"/>
      <c r="F88" s="932"/>
    </row>
  </sheetData>
  <sheetProtection/>
  <mergeCells count="16">
    <mergeCell ref="A13:D15"/>
    <mergeCell ref="G13:H13"/>
    <mergeCell ref="B17:D17"/>
    <mergeCell ref="B18:D18"/>
    <mergeCell ref="A1:H1"/>
    <mergeCell ref="A2:H2"/>
    <mergeCell ref="A3:H3"/>
    <mergeCell ref="A4:H4"/>
    <mergeCell ref="C8:G8"/>
    <mergeCell ref="A12:H12"/>
    <mergeCell ref="B80:D80"/>
    <mergeCell ref="B70:D70"/>
    <mergeCell ref="B68:D68"/>
    <mergeCell ref="B39:D39"/>
    <mergeCell ref="B40:D40"/>
    <mergeCell ref="B41:D41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41"/>
  <sheetViews>
    <sheetView zoomScalePageLayoutView="0" workbookViewId="0" topLeftCell="A1">
      <selection activeCell="A1" sqref="A1:H40"/>
    </sheetView>
  </sheetViews>
  <sheetFormatPr defaultColWidth="9.140625" defaultRowHeight="12.75"/>
  <cols>
    <col min="1" max="1" width="3.57421875" style="155" customWidth="1"/>
    <col min="2" max="2" width="16.421875" style="14" customWidth="1"/>
    <col min="3" max="3" width="28.421875" style="14" customWidth="1"/>
    <col min="4" max="4" width="15.421875" style="14" customWidth="1"/>
    <col min="5" max="5" width="16.421875" style="14" customWidth="1"/>
    <col min="6" max="6" width="17.421875" style="14" customWidth="1"/>
    <col min="7" max="7" width="17.7109375" style="14" customWidth="1"/>
    <col min="8" max="8" width="16.57421875" style="14" customWidth="1"/>
    <col min="9" max="16384" width="9.140625" style="14" customWidth="1"/>
  </cols>
  <sheetData>
    <row r="1" spans="1:17" ht="12.75">
      <c r="A1" s="1107" t="s">
        <v>45</v>
      </c>
      <c r="B1" s="1107"/>
      <c r="C1" s="1107"/>
      <c r="D1" s="1107"/>
      <c r="E1" s="1107"/>
      <c r="F1" s="1107"/>
      <c r="G1" s="1107"/>
      <c r="H1" s="1107"/>
      <c r="I1" s="75"/>
      <c r="J1" s="75"/>
      <c r="K1" s="75"/>
      <c r="L1" s="75"/>
      <c r="M1" s="75"/>
      <c r="N1" s="75"/>
      <c r="O1" s="75"/>
      <c r="P1" s="75"/>
      <c r="Q1" s="75"/>
    </row>
    <row r="2" spans="1:17" ht="12.75">
      <c r="A2" s="1107" t="s">
        <v>46</v>
      </c>
      <c r="B2" s="1107"/>
      <c r="C2" s="1107"/>
      <c r="D2" s="1107"/>
      <c r="E2" s="1107"/>
      <c r="F2" s="1107"/>
      <c r="G2" s="1107"/>
      <c r="H2" s="1107"/>
      <c r="I2" s="75"/>
      <c r="J2" s="75"/>
      <c r="K2" s="75"/>
      <c r="L2" s="75"/>
      <c r="M2" s="75"/>
      <c r="N2" s="75"/>
      <c r="O2" s="75"/>
      <c r="P2" s="75"/>
      <c r="Q2" s="75"/>
    </row>
    <row r="3" spans="1:17" ht="12.75">
      <c r="A3" s="1107" t="s">
        <v>47</v>
      </c>
      <c r="B3" s="1107"/>
      <c r="C3" s="1107"/>
      <c r="D3" s="1107"/>
      <c r="E3" s="1107"/>
      <c r="F3" s="1107"/>
      <c r="G3" s="1107"/>
      <c r="H3" s="1107"/>
      <c r="I3" s="75"/>
      <c r="J3" s="75"/>
      <c r="K3" s="75"/>
      <c r="L3" s="75"/>
      <c r="M3" s="75"/>
      <c r="N3" s="75"/>
      <c r="O3" s="75"/>
      <c r="P3" s="75"/>
      <c r="Q3" s="75"/>
    </row>
    <row r="4" spans="1:17" ht="12.75">
      <c r="A4" s="1107" t="s">
        <v>48</v>
      </c>
      <c r="B4" s="1107"/>
      <c r="C4" s="1107"/>
      <c r="D4" s="1107"/>
      <c r="E4" s="1107"/>
      <c r="F4" s="1107"/>
      <c r="G4" s="1107"/>
      <c r="H4" s="1107"/>
      <c r="I4" s="75"/>
      <c r="J4" s="75"/>
      <c r="K4" s="75"/>
      <c r="L4" s="75"/>
      <c r="M4" s="75"/>
      <c r="N4" s="75"/>
      <c r="O4" s="75"/>
      <c r="P4" s="75"/>
      <c r="Q4" s="75"/>
    </row>
    <row r="5" spans="1:17" ht="13.5" thickBot="1">
      <c r="A5" s="151"/>
      <c r="B5" s="12"/>
      <c r="C5" s="12"/>
      <c r="D5" s="12"/>
      <c r="E5" s="440"/>
      <c r="F5" s="440"/>
      <c r="G5" s="440"/>
      <c r="H5" s="440"/>
      <c r="I5" s="85"/>
      <c r="J5" s="85"/>
      <c r="K5" s="85"/>
      <c r="L5" s="85"/>
      <c r="M5" s="85"/>
      <c r="N5" s="85"/>
      <c r="O5" s="85"/>
      <c r="P5" s="85"/>
      <c r="Q5" s="85"/>
    </row>
    <row r="6" spans="1:18" ht="21.75" customHeight="1">
      <c r="A6" s="152"/>
      <c r="B6" s="77" t="s">
        <v>54</v>
      </c>
      <c r="C6" s="77"/>
      <c r="D6" s="78" t="s">
        <v>6</v>
      </c>
      <c r="E6" s="94">
        <f>'P1 Info &amp; Certification'!L20</f>
        <v>44013</v>
      </c>
      <c r="F6" s="148"/>
      <c r="G6" s="95" t="str">
        <f>'P1 Info &amp; Certification'!M20</f>
        <v>To</v>
      </c>
      <c r="H6" s="443">
        <f>'P1 Info &amp; Certification'!N20</f>
        <v>44377</v>
      </c>
      <c r="I6" s="147"/>
      <c r="J6" s="89"/>
      <c r="K6" s="13"/>
      <c r="L6" s="88"/>
      <c r="M6" s="32"/>
      <c r="N6" s="147"/>
      <c r="O6" s="147"/>
      <c r="P6" s="32"/>
      <c r="Q6" s="146"/>
      <c r="R6" s="146"/>
    </row>
    <row r="7" spans="1:18" ht="12.75">
      <c r="A7" s="153"/>
      <c r="B7" s="458"/>
      <c r="C7" s="458"/>
      <c r="D7" s="458"/>
      <c r="E7" s="13"/>
      <c r="F7" s="13"/>
      <c r="G7" s="13"/>
      <c r="H7" s="81"/>
      <c r="I7" s="13"/>
      <c r="J7" s="13"/>
      <c r="K7" s="13"/>
      <c r="L7" s="13"/>
      <c r="M7" s="13"/>
      <c r="N7" s="13"/>
      <c r="O7" s="13"/>
      <c r="P7" s="13"/>
      <c r="Q7" s="146"/>
      <c r="R7" s="146"/>
    </row>
    <row r="8" spans="1:18" ht="22.5" customHeight="1" thickBot="1">
      <c r="A8" s="154"/>
      <c r="B8" s="84" t="s">
        <v>59</v>
      </c>
      <c r="C8" s="1115" t="str">
        <f>'P1 Info &amp; Certification'!E12</f>
        <v>COMMUNITY HEALTH CENTER, INC.</v>
      </c>
      <c r="D8" s="1115"/>
      <c r="E8" s="1115"/>
      <c r="F8" s="1115"/>
      <c r="G8" s="1115"/>
      <c r="H8" s="464"/>
      <c r="I8" s="145"/>
      <c r="J8" s="145"/>
      <c r="K8" s="145"/>
      <c r="L8" s="145"/>
      <c r="M8" s="145"/>
      <c r="N8" s="145"/>
      <c r="O8" s="145"/>
      <c r="P8" s="145"/>
      <c r="Q8" s="146"/>
      <c r="R8" s="146"/>
    </row>
    <row r="9" spans="1:18" ht="12.75">
      <c r="A9" s="471"/>
      <c r="B9" s="472"/>
      <c r="C9" s="472"/>
      <c r="D9" s="472"/>
      <c r="E9" s="472"/>
      <c r="F9" s="472"/>
      <c r="G9" s="472"/>
      <c r="H9" s="472"/>
      <c r="I9" s="43"/>
      <c r="J9" s="43"/>
      <c r="K9" s="43"/>
      <c r="L9" s="43"/>
      <c r="M9" s="43"/>
      <c r="N9" s="43"/>
      <c r="O9" s="43"/>
      <c r="P9" s="43"/>
      <c r="Q9" s="146"/>
      <c r="R9" s="146"/>
    </row>
    <row r="10" spans="1:8" ht="12.75">
      <c r="A10" s="156"/>
      <c r="B10" s="146"/>
      <c r="C10" s="146"/>
      <c r="D10" s="146"/>
      <c r="E10" s="146"/>
      <c r="F10" s="146"/>
      <c r="G10" s="146"/>
      <c r="H10" s="146"/>
    </row>
    <row r="11" spans="1:8" ht="13.5" thickBot="1">
      <c r="A11" s="156"/>
      <c r="B11" s="146"/>
      <c r="C11" s="146"/>
      <c r="D11" s="146"/>
      <c r="E11" s="146"/>
      <c r="F11" s="146"/>
      <c r="G11" s="146"/>
      <c r="H11" s="296" t="s">
        <v>286</v>
      </c>
    </row>
    <row r="12" spans="1:8" ht="28.5" customHeight="1">
      <c r="A12" s="1176" t="s">
        <v>283</v>
      </c>
      <c r="B12" s="1177"/>
      <c r="C12" s="1177"/>
      <c r="D12" s="1177"/>
      <c r="E12" s="1177"/>
      <c r="F12" s="1177"/>
      <c r="G12" s="1177"/>
      <c r="H12" s="1179"/>
    </row>
    <row r="13" spans="1:8" ht="12.75">
      <c r="A13" s="1161" t="s">
        <v>282</v>
      </c>
      <c r="B13" s="1162"/>
      <c r="C13" s="1162"/>
      <c r="D13" s="1190"/>
      <c r="E13" s="366"/>
      <c r="F13" s="413"/>
      <c r="G13" s="1180" t="s">
        <v>271</v>
      </c>
      <c r="H13" s="1181"/>
    </row>
    <row r="14" spans="1:8" ht="12.75">
      <c r="A14" s="1163"/>
      <c r="B14" s="1164"/>
      <c r="C14" s="1164"/>
      <c r="D14" s="1164"/>
      <c r="E14" s="364"/>
      <c r="F14" s="414"/>
      <c r="G14" s="169" t="s">
        <v>272</v>
      </c>
      <c r="H14" s="204" t="s">
        <v>203</v>
      </c>
    </row>
    <row r="15" spans="1:8" ht="12.75" customHeight="1">
      <c r="A15" s="1165"/>
      <c r="B15" s="1166"/>
      <c r="C15" s="1166"/>
      <c r="D15" s="1166"/>
      <c r="E15" s="367" t="s">
        <v>266</v>
      </c>
      <c r="F15" s="415" t="s">
        <v>254</v>
      </c>
      <c r="G15" s="170" t="s">
        <v>205</v>
      </c>
      <c r="H15" s="205" t="s">
        <v>204</v>
      </c>
    </row>
    <row r="16" spans="1:8" ht="12.75" customHeight="1">
      <c r="A16" s="452"/>
      <c r="B16" s="447"/>
      <c r="C16" s="447"/>
      <c r="D16" s="447"/>
      <c r="E16" s="417" t="s">
        <v>61</v>
      </c>
      <c r="F16" s="418" t="s">
        <v>62</v>
      </c>
      <c r="G16" s="419" t="s">
        <v>63</v>
      </c>
      <c r="H16" s="420" t="s">
        <v>64</v>
      </c>
    </row>
    <row r="17" spans="1:8" ht="12.75" customHeight="1">
      <c r="A17" s="298"/>
      <c r="B17" s="1182" t="s">
        <v>280</v>
      </c>
      <c r="C17" s="1183"/>
      <c r="D17" s="1183"/>
      <c r="E17" s="365">
        <v>125000</v>
      </c>
      <c r="F17" s="365">
        <v>1500</v>
      </c>
      <c r="G17" s="337">
        <v>1040</v>
      </c>
      <c r="H17" s="341">
        <f>G17/2080</f>
        <v>0.5</v>
      </c>
    </row>
    <row r="18" spans="1:8" ht="19.5" customHeight="1">
      <c r="A18" s="207" t="s">
        <v>83</v>
      </c>
      <c r="B18" s="1175" t="s">
        <v>210</v>
      </c>
      <c r="C18" s="1166"/>
      <c r="D18" s="1196"/>
      <c r="E18" s="102"/>
      <c r="F18" s="102"/>
      <c r="G18" s="292"/>
      <c r="H18" s="299"/>
    </row>
    <row r="19" spans="1:8" ht="19.5" customHeight="1">
      <c r="A19" s="474" t="s">
        <v>49</v>
      </c>
      <c r="B19" s="1155" t="s">
        <v>477</v>
      </c>
      <c r="C19" s="1156"/>
      <c r="D19" s="1157"/>
      <c r="E19" s="340">
        <f>+'P5 Form A-3 - Mental Health'!D19</f>
        <v>2252012.599549003</v>
      </c>
      <c r="F19" s="476">
        <f>+'Form B-3 Detail'!F68</f>
        <v>43005</v>
      </c>
      <c r="G19" s="394">
        <f>+'Form B-3 Detail'!G68</f>
        <v>58642.5</v>
      </c>
      <c r="H19" s="343">
        <f>ROUND(G19/2080,2)</f>
        <v>28.19</v>
      </c>
    </row>
    <row r="20" spans="1:8" ht="19.5" customHeight="1">
      <c r="A20" s="474" t="s">
        <v>50</v>
      </c>
      <c r="B20" s="1155"/>
      <c r="C20" s="1156"/>
      <c r="D20" s="1157"/>
      <c r="E20" s="340"/>
      <c r="F20" s="477"/>
      <c r="G20" s="394"/>
      <c r="H20" s="343">
        <f>ROUND(G20/2080,2)</f>
        <v>0</v>
      </c>
    </row>
    <row r="21" spans="1:8" ht="19.5" customHeight="1">
      <c r="A21" s="474" t="s">
        <v>82</v>
      </c>
      <c r="B21" s="1155"/>
      <c r="C21" s="1156"/>
      <c r="D21" s="1157"/>
      <c r="E21" s="340"/>
      <c r="F21" s="476"/>
      <c r="G21" s="394"/>
      <c r="H21" s="343">
        <f>ROUND(G21/2080,2)</f>
        <v>0</v>
      </c>
    </row>
    <row r="22" spans="1:8" ht="19.5" customHeight="1">
      <c r="A22" s="474" t="s">
        <v>51</v>
      </c>
      <c r="B22" s="1155"/>
      <c r="C22" s="1156"/>
      <c r="D22" s="1157"/>
      <c r="E22" s="340"/>
      <c r="F22" s="477"/>
      <c r="G22" s="394"/>
      <c r="H22" s="343">
        <f>ROUND(G22/2080,2)</f>
        <v>0</v>
      </c>
    </row>
    <row r="23" spans="1:8" ht="19.5" customHeight="1">
      <c r="A23" s="474" t="s">
        <v>156</v>
      </c>
      <c r="B23" s="1155"/>
      <c r="C23" s="1156"/>
      <c r="D23" s="1157"/>
      <c r="E23" s="340"/>
      <c r="F23" s="477"/>
      <c r="G23" s="394"/>
      <c r="H23" s="343">
        <f>ROUND(G23/2080,2)</f>
        <v>0</v>
      </c>
    </row>
    <row r="24" spans="1:8" ht="24.75" customHeight="1" thickBot="1">
      <c r="A24" s="253"/>
      <c r="B24" s="1158" t="s">
        <v>259</v>
      </c>
      <c r="C24" s="1159"/>
      <c r="D24" s="1160"/>
      <c r="E24" s="352">
        <f>SUM(E19:E23)</f>
        <v>2252012.599549003</v>
      </c>
      <c r="F24" s="352">
        <f>SUM(F19:F23)</f>
        <v>43005</v>
      </c>
      <c r="G24" s="352">
        <f>SUM(G19:G23)</f>
        <v>58642.5</v>
      </c>
      <c r="H24" s="344">
        <f>SUM(H19:H23)</f>
        <v>28.19</v>
      </c>
    </row>
    <row r="25" spans="1:9" ht="19.5" customHeight="1" thickTop="1">
      <c r="A25" s="253"/>
      <c r="B25" s="1194"/>
      <c r="C25" s="1194"/>
      <c r="D25" s="1194"/>
      <c r="E25" s="487"/>
      <c r="F25" s="294"/>
      <c r="G25" s="295"/>
      <c r="H25" s="300"/>
      <c r="I25" s="146"/>
    </row>
    <row r="26" spans="1:8" ht="19.5" customHeight="1">
      <c r="A26" s="207" t="s">
        <v>84</v>
      </c>
      <c r="B26" s="1184" t="s">
        <v>211</v>
      </c>
      <c r="C26" s="1185"/>
      <c r="D26" s="1186"/>
      <c r="E26" s="338"/>
      <c r="F26" s="338"/>
      <c r="G26" s="390"/>
      <c r="H26" s="391"/>
    </row>
    <row r="27" spans="1:8" ht="19.5" customHeight="1">
      <c r="A27" s="474" t="s">
        <v>49</v>
      </c>
      <c r="B27" s="1155" t="s">
        <v>477</v>
      </c>
      <c r="C27" s="1156"/>
      <c r="D27" s="1157"/>
      <c r="E27" s="392">
        <f>+'P5 Form A-3 - Mental Health'!D20</f>
        <v>10692256</v>
      </c>
      <c r="F27" s="480">
        <f>+'Form B-3 Detail'!F248</f>
        <v>144375</v>
      </c>
      <c r="G27" s="392">
        <f>+'Form B-3 Detail'!G248</f>
        <v>303645.966453</v>
      </c>
      <c r="H27" s="393">
        <f>ROUND(G27/2080,2)</f>
        <v>145.98</v>
      </c>
    </row>
    <row r="28" spans="1:8" ht="19.5" customHeight="1">
      <c r="A28" s="474" t="s">
        <v>50</v>
      </c>
      <c r="B28" s="1167"/>
      <c r="C28" s="1168"/>
      <c r="D28" s="1169"/>
      <c r="E28" s="394"/>
      <c r="F28" s="477"/>
      <c r="G28" s="394"/>
      <c r="H28" s="393">
        <f>ROUND(G28/2080,2)</f>
        <v>0</v>
      </c>
    </row>
    <row r="29" spans="1:8" ht="19.5" customHeight="1">
      <c r="A29" s="474" t="s">
        <v>82</v>
      </c>
      <c r="B29" s="1167"/>
      <c r="C29" s="1168"/>
      <c r="D29" s="1169"/>
      <c r="E29" s="394"/>
      <c r="F29" s="477"/>
      <c r="G29" s="394"/>
      <c r="H29" s="393">
        <f>ROUND(G29/2080,2)</f>
        <v>0</v>
      </c>
    </row>
    <row r="30" spans="1:8" ht="19.5" customHeight="1">
      <c r="A30" s="474" t="s">
        <v>51</v>
      </c>
      <c r="B30" s="1167"/>
      <c r="C30" s="1168"/>
      <c r="D30" s="1169"/>
      <c r="E30" s="394"/>
      <c r="F30" s="477"/>
      <c r="G30" s="394"/>
      <c r="H30" s="393">
        <f>ROUND(G30/2080,2)</f>
        <v>0</v>
      </c>
    </row>
    <row r="31" spans="1:8" ht="19.5" customHeight="1">
      <c r="A31" s="474" t="s">
        <v>156</v>
      </c>
      <c r="B31" s="1167"/>
      <c r="C31" s="1168"/>
      <c r="D31" s="1169"/>
      <c r="E31" s="394"/>
      <c r="F31" s="477"/>
      <c r="G31" s="394"/>
      <c r="H31" s="393">
        <f>ROUND(G31/2080,2)</f>
        <v>0</v>
      </c>
    </row>
    <row r="32" spans="1:8" ht="24.75" customHeight="1" thickBot="1">
      <c r="A32" s="293"/>
      <c r="B32" s="1170" t="s">
        <v>260</v>
      </c>
      <c r="C32" s="1171"/>
      <c r="D32" s="1172"/>
      <c r="E32" s="473">
        <f>SUM(E27:E31)</f>
        <v>10692256</v>
      </c>
      <c r="F32" s="473">
        <f>SUM(F27:F31)</f>
        <v>144375</v>
      </c>
      <c r="G32" s="473">
        <f>SUM(G27:G31)</f>
        <v>303645.966453</v>
      </c>
      <c r="H32" s="395">
        <f>SUM(H27:H31)</f>
        <v>145.98</v>
      </c>
    </row>
    <row r="33" spans="1:8" s="146" customFormat="1" ht="19.5" customHeight="1" thickTop="1">
      <c r="A33" s="293"/>
      <c r="B33" s="375"/>
      <c r="C33" s="375"/>
      <c r="D33" s="375"/>
      <c r="E33" s="295"/>
      <c r="F33" s="294"/>
      <c r="G33" s="295"/>
      <c r="H33" s="396"/>
    </row>
    <row r="34" spans="1:8" ht="19.5" customHeight="1">
      <c r="A34" s="207" t="s">
        <v>91</v>
      </c>
      <c r="B34" s="1184" t="s">
        <v>304</v>
      </c>
      <c r="C34" s="1185"/>
      <c r="D34" s="1186"/>
      <c r="E34" s="338"/>
      <c r="F34" s="338"/>
      <c r="G34" s="390"/>
      <c r="H34" s="391"/>
    </row>
    <row r="35" spans="1:8" ht="19.5" customHeight="1">
      <c r="A35" s="474" t="s">
        <v>49</v>
      </c>
      <c r="B35" s="1155" t="s">
        <v>477</v>
      </c>
      <c r="C35" s="1156"/>
      <c r="D35" s="1157"/>
      <c r="E35" s="345">
        <f>+'Form B-3 Detail'!E337</f>
        <v>17777146.771077976</v>
      </c>
      <c r="F35" s="345">
        <f>+'Form B-3 Detail'!F337</f>
        <v>222463</v>
      </c>
      <c r="G35" s="345">
        <f>+'Form B-3 Detail'!G337</f>
        <v>450932.546453</v>
      </c>
      <c r="H35" s="346">
        <f>ROUND(G35/2080,2)</f>
        <v>216.79</v>
      </c>
    </row>
    <row r="36" spans="1:8" ht="19.5" customHeight="1">
      <c r="A36" s="474" t="s">
        <v>50</v>
      </c>
      <c r="B36" s="1155"/>
      <c r="C36" s="1156"/>
      <c r="D36" s="1157"/>
      <c r="E36" s="340"/>
      <c r="F36" s="477"/>
      <c r="G36" s="394"/>
      <c r="H36" s="346">
        <f>ROUND(G36/2080,2)</f>
        <v>0</v>
      </c>
    </row>
    <row r="37" spans="1:8" ht="19.5" customHeight="1">
      <c r="A37" s="474" t="s">
        <v>82</v>
      </c>
      <c r="B37" s="1155"/>
      <c r="C37" s="1156"/>
      <c r="D37" s="1157"/>
      <c r="E37" s="340"/>
      <c r="F37" s="477"/>
      <c r="G37" s="394"/>
      <c r="H37" s="346">
        <f>ROUND(G37/2080,2)</f>
        <v>0</v>
      </c>
    </row>
    <row r="38" spans="1:8" ht="19.5" customHeight="1">
      <c r="A38" s="474" t="s">
        <v>51</v>
      </c>
      <c r="B38" s="1155"/>
      <c r="C38" s="1156"/>
      <c r="D38" s="1157"/>
      <c r="E38" s="340"/>
      <c r="F38" s="477"/>
      <c r="G38" s="394"/>
      <c r="H38" s="346">
        <f>ROUND(G38/2080,2)</f>
        <v>0</v>
      </c>
    </row>
    <row r="39" spans="1:8" ht="19.5" customHeight="1">
      <c r="A39" s="488" t="s">
        <v>156</v>
      </c>
      <c r="B39" s="1167"/>
      <c r="C39" s="1168"/>
      <c r="D39" s="1169"/>
      <c r="E39" s="394"/>
      <c r="F39" s="477"/>
      <c r="G39" s="394"/>
      <c r="H39" s="393">
        <f>ROUND(G39/2080,2)</f>
        <v>0</v>
      </c>
    </row>
    <row r="40" spans="1:8" ht="24.75" customHeight="1" thickBot="1">
      <c r="A40" s="399"/>
      <c r="B40" s="1170" t="s">
        <v>348</v>
      </c>
      <c r="C40" s="1171"/>
      <c r="D40" s="1172"/>
      <c r="E40" s="473">
        <f>SUM(E35:E39)</f>
        <v>17777146.771077976</v>
      </c>
      <c r="F40" s="473">
        <f>SUM(F35:F39)</f>
        <v>222463</v>
      </c>
      <c r="G40" s="473">
        <f>SUM(G35:G39)</f>
        <v>450932.546453</v>
      </c>
      <c r="H40" s="395">
        <f>SUM(H35:H39)</f>
        <v>216.79</v>
      </c>
    </row>
    <row r="41" spans="1:8" ht="19.5" customHeight="1" thickBot="1" thickTop="1">
      <c r="A41" s="400"/>
      <c r="B41" s="401"/>
      <c r="C41" s="401"/>
      <c r="D41" s="401"/>
      <c r="E41" s="312"/>
      <c r="F41" s="311"/>
      <c r="G41" s="312"/>
      <c r="H41" s="402"/>
    </row>
  </sheetData>
  <sheetProtection password="E1AE" sheet="1" formatColumns="0" formatRows="0"/>
  <mergeCells count="31">
    <mergeCell ref="B40:D40"/>
    <mergeCell ref="B39:D39"/>
    <mergeCell ref="B30:D30"/>
    <mergeCell ref="B26:D26"/>
    <mergeCell ref="B35:D35"/>
    <mergeCell ref="B37:D37"/>
    <mergeCell ref="B38:D38"/>
    <mergeCell ref="B32:D32"/>
    <mergeCell ref="B36:D36"/>
    <mergeCell ref="B27:D27"/>
    <mergeCell ref="B18:D18"/>
    <mergeCell ref="B17:D17"/>
    <mergeCell ref="B22:D22"/>
    <mergeCell ref="A12:H12"/>
    <mergeCell ref="B23:D23"/>
    <mergeCell ref="B20:D20"/>
    <mergeCell ref="A1:H1"/>
    <mergeCell ref="A2:H2"/>
    <mergeCell ref="A3:H3"/>
    <mergeCell ref="A4:H4"/>
    <mergeCell ref="C8:G8"/>
    <mergeCell ref="A13:D15"/>
    <mergeCell ref="G13:H13"/>
    <mergeCell ref="B25:D25"/>
    <mergeCell ref="B28:D28"/>
    <mergeCell ref="B19:D19"/>
    <mergeCell ref="B31:D31"/>
    <mergeCell ref="B29:D29"/>
    <mergeCell ref="B34:D34"/>
    <mergeCell ref="B21:D21"/>
    <mergeCell ref="B24:D24"/>
  </mergeCells>
  <printOptions horizontalCentered="1" verticalCentered="1"/>
  <pageMargins left="0.25" right="0.25" top="0.25" bottom="0.25" header="0.5" footer="0.25"/>
  <pageSetup fitToHeight="1" fitToWidth="1" horizontalDpi="600" verticalDpi="600" orientation="landscape" scale="82" r:id="rId1"/>
  <headerFooter alignWithMargins="0">
    <oddFooter>&amp;LDSS-16 10-24-2016&amp;RPage 11</oddFooter>
  </headerFooter>
  <rowBreaks count="1" manualBreakCount="1">
    <brk id="32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I345"/>
  <sheetViews>
    <sheetView zoomScalePageLayoutView="0" workbookViewId="0" topLeftCell="A13">
      <selection activeCell="G248" sqref="G248"/>
    </sheetView>
  </sheetViews>
  <sheetFormatPr defaultColWidth="9.140625" defaultRowHeight="12.75"/>
  <cols>
    <col min="1" max="1" width="6.00390625" style="155" customWidth="1"/>
    <col min="2" max="2" width="18.28125" style="14" customWidth="1"/>
    <col min="3" max="3" width="28.421875" style="14" customWidth="1"/>
    <col min="4" max="4" width="15.421875" style="14" customWidth="1"/>
    <col min="5" max="5" width="16.421875" style="14" customWidth="1"/>
    <col min="6" max="6" width="17.421875" style="14" customWidth="1"/>
    <col min="7" max="7" width="17.7109375" style="14" customWidth="1"/>
    <col min="8" max="8" width="16.57421875" style="14" customWidth="1"/>
    <col min="9" max="9" width="7.140625" style="14" customWidth="1"/>
    <col min="10" max="16384" width="9.140625" style="14" customWidth="1"/>
  </cols>
  <sheetData>
    <row r="1" spans="1:9" ht="12.75">
      <c r="A1" s="1107" t="s">
        <v>45</v>
      </c>
      <c r="B1" s="1107"/>
      <c r="C1" s="1107"/>
      <c r="D1" s="1107"/>
      <c r="E1" s="1107"/>
      <c r="F1" s="1107"/>
      <c r="G1" s="1107"/>
      <c r="H1" s="1107"/>
      <c r="I1" s="75"/>
    </row>
    <row r="2" spans="1:9" ht="12.75">
      <c r="A2" s="1107" t="s">
        <v>46</v>
      </c>
      <c r="B2" s="1107"/>
      <c r="C2" s="1107"/>
      <c r="D2" s="1107"/>
      <c r="E2" s="1107"/>
      <c r="F2" s="1107"/>
      <c r="G2" s="1107"/>
      <c r="H2" s="1107"/>
      <c r="I2" s="75"/>
    </row>
    <row r="3" spans="1:9" ht="12.75">
      <c r="A3" s="1107" t="s">
        <v>47</v>
      </c>
      <c r="B3" s="1107"/>
      <c r="C3" s="1107"/>
      <c r="D3" s="1107"/>
      <c r="E3" s="1107"/>
      <c r="F3" s="1107"/>
      <c r="G3" s="1107"/>
      <c r="H3" s="1107"/>
      <c r="I3" s="75"/>
    </row>
    <row r="4" spans="1:9" ht="12.75">
      <c r="A4" s="1107" t="s">
        <v>48</v>
      </c>
      <c r="B4" s="1107"/>
      <c r="C4" s="1107"/>
      <c r="D4" s="1107"/>
      <c r="E4" s="1107"/>
      <c r="F4" s="1107"/>
      <c r="G4" s="1107"/>
      <c r="H4" s="1107"/>
      <c r="I4" s="75"/>
    </row>
    <row r="5" spans="1:9" ht="13.5" thickBot="1">
      <c r="A5" s="151"/>
      <c r="B5" s="12"/>
      <c r="C5" s="12"/>
      <c r="D5" s="12"/>
      <c r="E5" s="514"/>
      <c r="F5" s="514"/>
      <c r="G5" s="514"/>
      <c r="H5" s="514"/>
      <c r="I5" s="514"/>
    </row>
    <row r="6" spans="1:9" ht="21.75" customHeight="1">
      <c r="A6" s="152"/>
      <c r="B6" s="77" t="s">
        <v>54</v>
      </c>
      <c r="C6" s="77"/>
      <c r="D6" s="78" t="s">
        <v>6</v>
      </c>
      <c r="E6" s="94">
        <f>'P1 Info &amp; Certification'!L20</f>
        <v>44013</v>
      </c>
      <c r="F6" s="148"/>
      <c r="G6" s="95" t="str">
        <f>'P1 Info &amp; Certification'!M20</f>
        <v>To</v>
      </c>
      <c r="H6" s="516">
        <f>'P1 Info &amp; Certification'!N20</f>
        <v>44377</v>
      </c>
      <c r="I6" s="147"/>
    </row>
    <row r="7" spans="1:9" ht="12.75">
      <c r="A7" s="153"/>
      <c r="B7" s="526"/>
      <c r="C7" s="526"/>
      <c r="D7" s="526"/>
      <c r="E7" s="13"/>
      <c r="F7" s="13"/>
      <c r="G7" s="13"/>
      <c r="H7" s="81"/>
      <c r="I7" s="13"/>
    </row>
    <row r="8" spans="1:9" ht="22.5" customHeight="1" thickBot="1">
      <c r="A8" s="154"/>
      <c r="B8" s="84" t="s">
        <v>59</v>
      </c>
      <c r="C8" s="1115" t="str">
        <f>'P1 Info &amp; Certification'!E12</f>
        <v>COMMUNITY HEALTH CENTER, INC.</v>
      </c>
      <c r="D8" s="1115"/>
      <c r="E8" s="1115"/>
      <c r="F8" s="1115"/>
      <c r="G8" s="1115"/>
      <c r="H8" s="464"/>
      <c r="I8" s="525"/>
    </row>
    <row r="9" spans="1:9" ht="12.75">
      <c r="A9" s="471"/>
      <c r="B9" s="515"/>
      <c r="C9" s="515"/>
      <c r="D9" s="515"/>
      <c r="E9" s="515"/>
      <c r="F9" s="515"/>
      <c r="G9" s="515"/>
      <c r="H9" s="515"/>
      <c r="I9" s="527"/>
    </row>
    <row r="10" spans="1:8" ht="12.75">
      <c r="A10" s="156"/>
      <c r="B10" s="146"/>
      <c r="C10" s="146"/>
      <c r="D10" s="146"/>
      <c r="E10" s="146"/>
      <c r="F10" s="146"/>
      <c r="G10" s="146"/>
      <c r="H10" s="146"/>
    </row>
    <row r="11" spans="1:8" ht="13.5" thickBot="1">
      <c r="A11" s="156"/>
      <c r="B11" s="146"/>
      <c r="C11" s="146"/>
      <c r="D11" s="146"/>
      <c r="E11" s="146"/>
      <c r="F11" s="146"/>
      <c r="G11" s="146"/>
      <c r="H11" s="296" t="s">
        <v>286</v>
      </c>
    </row>
    <row r="12" spans="1:8" ht="28.5" customHeight="1">
      <c r="A12" s="1176" t="s">
        <v>283</v>
      </c>
      <c r="B12" s="1177"/>
      <c r="C12" s="1177"/>
      <c r="D12" s="1177"/>
      <c r="E12" s="1177"/>
      <c r="F12" s="1177"/>
      <c r="G12" s="1177"/>
      <c r="H12" s="1179"/>
    </row>
    <row r="13" spans="1:8" ht="12.75">
      <c r="A13" s="1161" t="s">
        <v>282</v>
      </c>
      <c r="B13" s="1162"/>
      <c r="C13" s="1162"/>
      <c r="D13" s="1190"/>
      <c r="E13" s="366"/>
      <c r="F13" s="413"/>
      <c r="G13" s="1180" t="s">
        <v>271</v>
      </c>
      <c r="H13" s="1181"/>
    </row>
    <row r="14" spans="1:8" ht="12.75">
      <c r="A14" s="1163"/>
      <c r="B14" s="1164"/>
      <c r="C14" s="1164"/>
      <c r="D14" s="1164"/>
      <c r="E14" s="364"/>
      <c r="F14" s="414"/>
      <c r="G14" s="169" t="s">
        <v>272</v>
      </c>
      <c r="H14" s="204" t="s">
        <v>203</v>
      </c>
    </row>
    <row r="15" spans="1:8" ht="12.75" customHeight="1">
      <c r="A15" s="1165"/>
      <c r="B15" s="1166"/>
      <c r="C15" s="1166"/>
      <c r="D15" s="1166"/>
      <c r="E15" s="367" t="s">
        <v>266</v>
      </c>
      <c r="F15" s="415" t="s">
        <v>254</v>
      </c>
      <c r="G15" s="170" t="s">
        <v>205</v>
      </c>
      <c r="H15" s="205" t="s">
        <v>204</v>
      </c>
    </row>
    <row r="16" spans="1:8" ht="12.75" customHeight="1">
      <c r="A16" s="519"/>
      <c r="B16" s="520"/>
      <c r="C16" s="520"/>
      <c r="D16" s="520"/>
      <c r="E16" s="417" t="s">
        <v>61</v>
      </c>
      <c r="F16" s="418" t="s">
        <v>62</v>
      </c>
      <c r="G16" s="419" t="s">
        <v>63</v>
      </c>
      <c r="H16" s="420" t="s">
        <v>64</v>
      </c>
    </row>
    <row r="17" spans="1:8" ht="12.75" customHeight="1">
      <c r="A17" s="298"/>
      <c r="B17" s="1182" t="s">
        <v>280</v>
      </c>
      <c r="C17" s="1183"/>
      <c r="D17" s="1183"/>
      <c r="E17" s="365">
        <v>125000</v>
      </c>
      <c r="F17" s="365">
        <v>1500</v>
      </c>
      <c r="G17" s="337">
        <v>1040</v>
      </c>
      <c r="H17" s="341">
        <f>G17/2080</f>
        <v>0.5</v>
      </c>
    </row>
    <row r="18" spans="1:8" ht="19.5" customHeight="1">
      <c r="A18" s="207" t="s">
        <v>83</v>
      </c>
      <c r="B18" s="1175" t="s">
        <v>210</v>
      </c>
      <c r="C18" s="1166"/>
      <c r="D18" s="1196"/>
      <c r="E18" s="102"/>
      <c r="F18" s="102"/>
      <c r="G18" s="292"/>
      <c r="H18" s="299"/>
    </row>
    <row r="19" spans="1:9" ht="19.5" customHeight="1">
      <c r="A19" s="474">
        <v>1</v>
      </c>
      <c r="B19" s="539" t="s">
        <v>210</v>
      </c>
      <c r="C19" s="540"/>
      <c r="D19" s="541"/>
      <c r="E19" s="701">
        <v>41367.33011949365</v>
      </c>
      <c r="F19" s="702">
        <v>712</v>
      </c>
      <c r="G19" s="650">
        <v>1680</v>
      </c>
      <c r="H19" s="343">
        <f aca="true" t="shared" si="0" ref="H19:H47">ROUND(G19/2080,2)</f>
        <v>0.81</v>
      </c>
      <c r="I19" s="544"/>
    </row>
    <row r="20" spans="1:9" ht="19.5" customHeight="1">
      <c r="A20" s="474">
        <v>2</v>
      </c>
      <c r="B20" s="539" t="s">
        <v>210</v>
      </c>
      <c r="C20" s="540"/>
      <c r="D20" s="541"/>
      <c r="E20" s="701">
        <v>22378.55456550125</v>
      </c>
      <c r="F20" s="702">
        <v>532</v>
      </c>
      <c r="G20" s="650">
        <v>880</v>
      </c>
      <c r="H20" s="343">
        <f t="shared" si="0"/>
        <v>0.42</v>
      </c>
      <c r="I20" s="544"/>
    </row>
    <row r="21" spans="1:9" ht="19.5" customHeight="1">
      <c r="A21" s="474">
        <v>3</v>
      </c>
      <c r="B21" s="539" t="s">
        <v>210</v>
      </c>
      <c r="C21" s="540"/>
      <c r="D21" s="541"/>
      <c r="E21" s="701">
        <v>41653.92398891215</v>
      </c>
      <c r="F21" s="702">
        <v>533</v>
      </c>
      <c r="G21" s="650">
        <v>1692</v>
      </c>
      <c r="H21" s="343">
        <f t="shared" si="0"/>
        <v>0.81</v>
      </c>
      <c r="I21" s="544"/>
    </row>
    <row r="22" spans="1:9" ht="19.5" customHeight="1">
      <c r="A22" s="474">
        <v>4</v>
      </c>
      <c r="B22" s="539" t="s">
        <v>210</v>
      </c>
      <c r="C22" s="540"/>
      <c r="D22" s="541"/>
      <c r="E22" s="701">
        <v>10279.366551341196</v>
      </c>
      <c r="F22" s="702">
        <v>84</v>
      </c>
      <c r="G22" s="650">
        <v>368</v>
      </c>
      <c r="H22" s="343">
        <f t="shared" si="0"/>
        <v>0.18</v>
      </c>
      <c r="I22" s="544"/>
    </row>
    <row r="23" spans="1:9" ht="19.5" customHeight="1">
      <c r="A23" s="474">
        <v>5</v>
      </c>
      <c r="B23" s="539" t="s">
        <v>210</v>
      </c>
      <c r="C23" s="540"/>
      <c r="D23" s="541"/>
      <c r="E23" s="701">
        <v>9058.198261572486</v>
      </c>
      <c r="F23" s="702">
        <v>1584</v>
      </c>
      <c r="G23" s="650">
        <v>376</v>
      </c>
      <c r="H23" s="343">
        <f t="shared" si="0"/>
        <v>0.18</v>
      </c>
      <c r="I23" s="649"/>
    </row>
    <row r="24" spans="1:9" ht="19.5" customHeight="1">
      <c r="A24" s="474">
        <v>6</v>
      </c>
      <c r="B24" s="539" t="s">
        <v>210</v>
      </c>
      <c r="C24" s="540"/>
      <c r="D24" s="541"/>
      <c r="E24" s="701">
        <v>8903.060551372164</v>
      </c>
      <c r="F24" s="702">
        <v>1153</v>
      </c>
      <c r="G24" s="650">
        <v>368</v>
      </c>
      <c r="H24" s="343">
        <f t="shared" si="0"/>
        <v>0.18</v>
      </c>
      <c r="I24" s="649"/>
    </row>
    <row r="25" spans="1:9" ht="19.5" customHeight="1">
      <c r="A25" s="474">
        <v>7</v>
      </c>
      <c r="B25" s="539" t="s">
        <v>210</v>
      </c>
      <c r="C25" s="540"/>
      <c r="D25" s="541"/>
      <c r="E25" s="701">
        <v>41463.69990123048</v>
      </c>
      <c r="F25" s="702">
        <v>649</v>
      </c>
      <c r="G25" s="650">
        <v>1684</v>
      </c>
      <c r="H25" s="343">
        <f t="shared" si="0"/>
        <v>0.81</v>
      </c>
      <c r="I25" s="649"/>
    </row>
    <row r="26" spans="1:9" ht="19.5" customHeight="1">
      <c r="A26" s="474">
        <v>8</v>
      </c>
      <c r="B26" s="539" t="s">
        <v>210</v>
      </c>
      <c r="C26" s="540"/>
      <c r="D26" s="541"/>
      <c r="E26" s="701">
        <v>9798</v>
      </c>
      <c r="F26" s="702">
        <v>103</v>
      </c>
      <c r="G26" s="650">
        <v>368</v>
      </c>
      <c r="H26" s="343">
        <f t="shared" si="0"/>
        <v>0.18</v>
      </c>
      <c r="I26" s="649"/>
    </row>
    <row r="27" spans="1:9" ht="19.5" customHeight="1">
      <c r="A27" s="474">
        <v>9</v>
      </c>
      <c r="B27" s="539" t="s">
        <v>210</v>
      </c>
      <c r="C27" s="540"/>
      <c r="D27" s="541"/>
      <c r="E27" s="701">
        <v>9058</v>
      </c>
      <c r="F27" s="702">
        <v>1227</v>
      </c>
      <c r="G27" s="650">
        <v>376</v>
      </c>
      <c r="H27" s="343">
        <f t="shared" si="0"/>
        <v>0.18</v>
      </c>
      <c r="I27" s="649"/>
    </row>
    <row r="28" spans="1:9" ht="19.5" customHeight="1">
      <c r="A28" s="474">
        <v>10</v>
      </c>
      <c r="B28" s="651" t="s">
        <v>210</v>
      </c>
      <c r="C28" s="640"/>
      <c r="D28" s="641"/>
      <c r="E28" s="701">
        <v>9154.568043309326</v>
      </c>
      <c r="F28" s="702">
        <v>1232</v>
      </c>
      <c r="G28" s="650">
        <v>380</v>
      </c>
      <c r="H28" s="652">
        <f t="shared" si="0"/>
        <v>0.18</v>
      </c>
      <c r="I28" s="649"/>
    </row>
    <row r="29" spans="1:9" ht="19.5" customHeight="1">
      <c r="A29" s="474">
        <v>11</v>
      </c>
      <c r="B29" s="651" t="s">
        <v>210</v>
      </c>
      <c r="C29" s="640"/>
      <c r="D29" s="641"/>
      <c r="E29" s="701">
        <v>41143.1420977119</v>
      </c>
      <c r="F29" s="702">
        <v>706</v>
      </c>
      <c r="G29" s="650">
        <v>1672</v>
      </c>
      <c r="H29" s="652">
        <f t="shared" si="0"/>
        <v>0.8</v>
      </c>
      <c r="I29" s="649"/>
    </row>
    <row r="30" spans="1:9" ht="19.5" customHeight="1">
      <c r="A30" s="474">
        <v>12</v>
      </c>
      <c r="B30" s="539" t="s">
        <v>210</v>
      </c>
      <c r="C30" s="540"/>
      <c r="D30" s="541"/>
      <c r="E30" s="701">
        <v>71274.31287965405</v>
      </c>
      <c r="F30" s="702">
        <v>1584</v>
      </c>
      <c r="G30" s="650">
        <v>1700</v>
      </c>
      <c r="H30" s="343">
        <f t="shared" si="0"/>
        <v>0.82</v>
      </c>
      <c r="I30" s="544"/>
    </row>
    <row r="31" spans="1:9" ht="19.5" customHeight="1">
      <c r="A31" s="474">
        <v>13</v>
      </c>
      <c r="B31" s="539" t="s">
        <v>210</v>
      </c>
      <c r="C31" s="632"/>
      <c r="D31" s="633"/>
      <c r="E31" s="701">
        <v>30111.618219112643</v>
      </c>
      <c r="F31" s="702">
        <v>1153</v>
      </c>
      <c r="G31" s="650">
        <v>568</v>
      </c>
      <c r="H31" s="393">
        <f t="shared" si="0"/>
        <v>0.27</v>
      </c>
      <c r="I31" s="544"/>
    </row>
    <row r="32" spans="1:9" ht="19.5" customHeight="1">
      <c r="A32" s="474">
        <v>14</v>
      </c>
      <c r="B32" s="539" t="s">
        <v>210</v>
      </c>
      <c r="C32" s="542"/>
      <c r="D32" s="543"/>
      <c r="E32" s="701">
        <v>69420</v>
      </c>
      <c r="F32" s="703">
        <v>1227</v>
      </c>
      <c r="G32" s="650">
        <v>1680</v>
      </c>
      <c r="H32" s="393">
        <f t="shared" si="0"/>
        <v>0.81</v>
      </c>
      <c r="I32" s="544"/>
    </row>
    <row r="33" spans="1:9" ht="19.5" customHeight="1">
      <c r="A33" s="474">
        <v>15</v>
      </c>
      <c r="B33" s="539" t="s">
        <v>210</v>
      </c>
      <c r="C33" s="632"/>
      <c r="D33" s="633"/>
      <c r="E33" s="701">
        <v>48027</v>
      </c>
      <c r="F33" s="702">
        <v>1232</v>
      </c>
      <c r="G33" s="650">
        <v>1304</v>
      </c>
      <c r="H33" s="393">
        <f t="shared" si="0"/>
        <v>0.63</v>
      </c>
      <c r="I33" s="544"/>
    </row>
    <row r="34" spans="1:9" ht="19.5" customHeight="1">
      <c r="A34" s="474">
        <v>16</v>
      </c>
      <c r="B34" s="539" t="s">
        <v>210</v>
      </c>
      <c r="C34" s="647"/>
      <c r="D34" s="648"/>
      <c r="E34" s="701">
        <v>4509.8171569861515</v>
      </c>
      <c r="F34" s="702">
        <v>7</v>
      </c>
      <c r="G34" s="650">
        <v>120</v>
      </c>
      <c r="H34" s="393">
        <f t="shared" si="0"/>
        <v>0.06</v>
      </c>
      <c r="I34" s="544"/>
    </row>
    <row r="35" spans="1:9" ht="19.5" customHeight="1">
      <c r="A35" s="474">
        <f>1+A34</f>
        <v>17</v>
      </c>
      <c r="B35" s="539" t="s">
        <v>210</v>
      </c>
      <c r="C35" s="647"/>
      <c r="D35" s="648"/>
      <c r="E35" s="701">
        <v>73282</v>
      </c>
      <c r="F35" s="702">
        <v>139</v>
      </c>
      <c r="G35" s="650">
        <v>2088</v>
      </c>
      <c r="H35" s="393">
        <f t="shared" si="0"/>
        <v>1</v>
      </c>
      <c r="I35" s="544"/>
    </row>
    <row r="36" spans="1:9" ht="19.5" customHeight="1">
      <c r="A36" s="474">
        <f aca="true" t="shared" si="1" ref="A36:A67">1+A35</f>
        <v>18</v>
      </c>
      <c r="B36" s="539" t="s">
        <v>210</v>
      </c>
      <c r="C36" s="647"/>
      <c r="D36" s="648"/>
      <c r="E36" s="701">
        <v>5966.87894951295</v>
      </c>
      <c r="F36" s="702">
        <v>1007</v>
      </c>
      <c r="G36" s="650">
        <v>172</v>
      </c>
      <c r="H36" s="393">
        <f t="shared" si="0"/>
        <v>0.08</v>
      </c>
      <c r="I36" s="544"/>
    </row>
    <row r="37" spans="1:9" ht="19.5" customHeight="1">
      <c r="A37" s="474">
        <f t="shared" si="1"/>
        <v>19</v>
      </c>
      <c r="B37" s="539" t="s">
        <v>210</v>
      </c>
      <c r="C37" s="647"/>
      <c r="D37" s="648"/>
      <c r="E37" s="701">
        <v>43629</v>
      </c>
      <c r="F37" s="702">
        <v>0</v>
      </c>
      <c r="G37" s="650">
        <v>1360</v>
      </c>
      <c r="H37" s="393">
        <f t="shared" si="0"/>
        <v>0.65</v>
      </c>
      <c r="I37" s="544"/>
    </row>
    <row r="38" spans="1:9" ht="19.5" customHeight="1">
      <c r="A38" s="474">
        <f t="shared" si="1"/>
        <v>20</v>
      </c>
      <c r="B38" s="539" t="s">
        <v>210</v>
      </c>
      <c r="C38" s="647"/>
      <c r="D38" s="648"/>
      <c r="E38" s="701">
        <v>55080.37123600504</v>
      </c>
      <c r="F38" s="702">
        <v>1051</v>
      </c>
      <c r="G38" s="650">
        <v>1692</v>
      </c>
      <c r="H38" s="393">
        <f t="shared" si="0"/>
        <v>0.81</v>
      </c>
      <c r="I38" s="544"/>
    </row>
    <row r="39" spans="1:9" ht="19.5" customHeight="1">
      <c r="A39" s="474">
        <f t="shared" si="1"/>
        <v>21</v>
      </c>
      <c r="B39" s="539" t="s">
        <v>210</v>
      </c>
      <c r="C39" s="647"/>
      <c r="D39" s="648"/>
      <c r="E39" s="701">
        <v>3538.4726940826654</v>
      </c>
      <c r="F39" s="702">
        <v>12</v>
      </c>
      <c r="G39" s="650">
        <v>90</v>
      </c>
      <c r="H39" s="393">
        <f t="shared" si="0"/>
        <v>0.04</v>
      </c>
      <c r="I39" s="544"/>
    </row>
    <row r="40" spans="1:9" ht="19.5" customHeight="1">
      <c r="A40" s="474">
        <f t="shared" si="1"/>
        <v>22</v>
      </c>
      <c r="B40" s="539" t="s">
        <v>210</v>
      </c>
      <c r="C40" s="647"/>
      <c r="D40" s="648"/>
      <c r="E40" s="701">
        <v>4162.922021270776</v>
      </c>
      <c r="F40" s="702">
        <v>83</v>
      </c>
      <c r="G40" s="650">
        <v>120</v>
      </c>
      <c r="H40" s="393">
        <f t="shared" si="0"/>
        <v>0.06</v>
      </c>
      <c r="I40" s="544"/>
    </row>
    <row r="41" spans="1:9" ht="19.5" customHeight="1">
      <c r="A41" s="474">
        <f t="shared" si="1"/>
        <v>23</v>
      </c>
      <c r="B41" s="539" t="s">
        <v>210</v>
      </c>
      <c r="C41" s="647"/>
      <c r="D41" s="648"/>
      <c r="E41" s="701">
        <v>65529</v>
      </c>
      <c r="F41" s="702">
        <v>0</v>
      </c>
      <c r="G41" s="650">
        <v>2082</v>
      </c>
      <c r="H41" s="393">
        <f t="shared" si="0"/>
        <v>1</v>
      </c>
      <c r="I41" s="544"/>
    </row>
    <row r="42" spans="1:9" ht="19.5" customHeight="1">
      <c r="A42" s="474">
        <f t="shared" si="1"/>
        <v>24</v>
      </c>
      <c r="B42" s="539" t="s">
        <v>210</v>
      </c>
      <c r="C42" s="647"/>
      <c r="D42" s="648"/>
      <c r="E42" s="701">
        <v>13832.641467514683</v>
      </c>
      <c r="F42" s="702">
        <v>136</v>
      </c>
      <c r="G42" s="650">
        <v>410</v>
      </c>
      <c r="H42" s="393">
        <f t="shared" si="0"/>
        <v>0.2</v>
      </c>
      <c r="I42" s="544"/>
    </row>
    <row r="43" spans="1:9" ht="19.5" customHeight="1">
      <c r="A43" s="474">
        <f t="shared" si="1"/>
        <v>25</v>
      </c>
      <c r="B43" s="539" t="s">
        <v>210</v>
      </c>
      <c r="C43" s="647"/>
      <c r="D43" s="648"/>
      <c r="E43" s="701">
        <v>832.5924217068789</v>
      </c>
      <c r="F43" s="702">
        <v>1584</v>
      </c>
      <c r="G43" s="650">
        <v>24</v>
      </c>
      <c r="H43" s="393">
        <f t="shared" si="0"/>
        <v>0.01</v>
      </c>
      <c r="I43" s="544"/>
    </row>
    <row r="44" spans="1:9" ht="19.5" customHeight="1">
      <c r="A44" s="474">
        <f t="shared" si="1"/>
        <v>26</v>
      </c>
      <c r="B44" s="539" t="s">
        <v>210</v>
      </c>
      <c r="C44" s="647"/>
      <c r="D44" s="648"/>
      <c r="E44" s="701">
        <v>66008.65036715704</v>
      </c>
      <c r="F44" s="702">
        <v>1676</v>
      </c>
      <c r="G44" s="650">
        <v>2125.999999999999</v>
      </c>
      <c r="H44" s="393">
        <f t="shared" si="0"/>
        <v>1.02</v>
      </c>
      <c r="I44" s="544"/>
    </row>
    <row r="45" spans="1:9" ht="19.5" customHeight="1">
      <c r="A45" s="474">
        <f t="shared" si="1"/>
        <v>27</v>
      </c>
      <c r="B45" s="539" t="s">
        <v>210</v>
      </c>
      <c r="C45" s="647"/>
      <c r="D45" s="648"/>
      <c r="E45" s="701">
        <v>68649.34874889051</v>
      </c>
      <c r="F45" s="702">
        <v>1520</v>
      </c>
      <c r="G45" s="650">
        <v>2132</v>
      </c>
      <c r="H45" s="393">
        <f t="shared" si="0"/>
        <v>1.03</v>
      </c>
      <c r="I45" s="544"/>
    </row>
    <row r="46" spans="1:9" ht="19.5" customHeight="1">
      <c r="A46" s="474">
        <f t="shared" si="1"/>
        <v>28</v>
      </c>
      <c r="B46" s="539" t="s">
        <v>210</v>
      </c>
      <c r="C46" s="647"/>
      <c r="D46" s="648"/>
      <c r="E46" s="701">
        <v>10504.606863792895</v>
      </c>
      <c r="F46" s="702">
        <v>103</v>
      </c>
      <c r="G46" s="650">
        <v>320</v>
      </c>
      <c r="H46" s="393">
        <f t="shared" si="0"/>
        <v>0.15</v>
      </c>
      <c r="I46" s="544"/>
    </row>
    <row r="47" spans="1:9" ht="19.5" customHeight="1">
      <c r="A47" s="474">
        <f t="shared" si="1"/>
        <v>29</v>
      </c>
      <c r="B47" s="539" t="s">
        <v>210</v>
      </c>
      <c r="C47" s="647"/>
      <c r="D47" s="648"/>
      <c r="E47" s="701">
        <v>1122.633795796515</v>
      </c>
      <c r="F47" s="702">
        <v>1153</v>
      </c>
      <c r="G47" s="650">
        <v>32</v>
      </c>
      <c r="H47" s="393">
        <f t="shared" si="0"/>
        <v>0.02</v>
      </c>
      <c r="I47" s="544"/>
    </row>
    <row r="48" spans="1:9" ht="19.5" customHeight="1">
      <c r="A48" s="474">
        <f t="shared" si="1"/>
        <v>30</v>
      </c>
      <c r="B48" s="539" t="s">
        <v>210</v>
      </c>
      <c r="C48" s="646"/>
      <c r="D48" s="479"/>
      <c r="E48" s="696">
        <v>93195.12100372124</v>
      </c>
      <c r="F48" s="696">
        <v>1874</v>
      </c>
      <c r="G48" s="696">
        <v>2082.5</v>
      </c>
      <c r="H48" s="393">
        <f>ROUND(G48/2080,2)</f>
        <v>1</v>
      </c>
      <c r="I48" s="544"/>
    </row>
    <row r="49" spans="1:9" ht="19.5" customHeight="1">
      <c r="A49" s="474">
        <f t="shared" si="1"/>
        <v>31</v>
      </c>
      <c r="B49" s="539" t="s">
        <v>210</v>
      </c>
      <c r="C49" s="647"/>
      <c r="D49" s="648"/>
      <c r="E49" s="696">
        <v>42752.37514293132</v>
      </c>
      <c r="F49" s="696">
        <v>1213</v>
      </c>
      <c r="G49" s="696">
        <v>1356.0000000000005</v>
      </c>
      <c r="H49" s="393">
        <f>ROUND(G49/2080,2)</f>
        <v>0.65</v>
      </c>
      <c r="I49" s="544"/>
    </row>
    <row r="50" spans="1:9" ht="19.5" customHeight="1">
      <c r="A50" s="474">
        <f t="shared" si="1"/>
        <v>32</v>
      </c>
      <c r="B50" s="539" t="s">
        <v>210</v>
      </c>
      <c r="C50" s="712"/>
      <c r="D50" s="713"/>
      <c r="E50" s="696">
        <v>833</v>
      </c>
      <c r="F50" s="696">
        <v>1227</v>
      </c>
      <c r="G50" s="696">
        <v>24</v>
      </c>
      <c r="H50" s="393">
        <f>ROUND(G50/2080,2)</f>
        <v>0.01</v>
      </c>
      <c r="I50" s="544"/>
    </row>
    <row r="51" spans="1:9" ht="19.5" customHeight="1">
      <c r="A51" s="474">
        <f t="shared" si="1"/>
        <v>33</v>
      </c>
      <c r="B51" s="539" t="s">
        <v>210</v>
      </c>
      <c r="C51" s="647"/>
      <c r="D51" s="648"/>
      <c r="E51" s="696">
        <v>69064.71293086484</v>
      </c>
      <c r="F51" s="696">
        <v>1608</v>
      </c>
      <c r="G51" s="696">
        <v>2080</v>
      </c>
      <c r="H51" s="393">
        <f>ROUND(G51/2080,2)</f>
        <v>1</v>
      </c>
      <c r="I51" s="544"/>
    </row>
    <row r="52" spans="1:9" ht="19.5" customHeight="1">
      <c r="A52" s="474">
        <f t="shared" si="1"/>
        <v>34</v>
      </c>
      <c r="B52" s="539" t="s">
        <v>210</v>
      </c>
      <c r="C52" s="146"/>
      <c r="D52" s="901"/>
      <c r="E52" s="902">
        <v>32069.810894123744</v>
      </c>
      <c r="F52" s="902">
        <v>650</v>
      </c>
      <c r="G52" s="902">
        <v>1000</v>
      </c>
      <c r="H52" s="393">
        <f aca="true" t="shared" si="2" ref="H52:H67">ROUND(G52/2080,2)</f>
        <v>0.48</v>
      </c>
      <c r="I52" s="544"/>
    </row>
    <row r="53" spans="1:9" ht="19.5" customHeight="1">
      <c r="A53" s="474">
        <f t="shared" si="1"/>
        <v>35</v>
      </c>
      <c r="B53" s="539" t="s">
        <v>210</v>
      </c>
      <c r="C53" s="146"/>
      <c r="D53" s="901"/>
      <c r="E53" s="902">
        <v>387.38327196920596</v>
      </c>
      <c r="F53" s="902">
        <v>259</v>
      </c>
      <c r="G53" s="902">
        <v>12</v>
      </c>
      <c r="H53" s="393">
        <f t="shared" si="2"/>
        <v>0.01</v>
      </c>
      <c r="I53" s="544"/>
    </row>
    <row r="54" spans="1:9" ht="19.5" customHeight="1">
      <c r="A54" s="474">
        <f t="shared" si="1"/>
        <v>36</v>
      </c>
      <c r="B54" s="539" t="s">
        <v>210</v>
      </c>
      <c r="C54" s="146"/>
      <c r="D54" s="901"/>
      <c r="E54" s="902">
        <v>47464.65302481841</v>
      </c>
      <c r="F54" s="902">
        <v>1222</v>
      </c>
      <c r="G54" s="902">
        <v>1440</v>
      </c>
      <c r="H54" s="393">
        <f t="shared" si="2"/>
        <v>0.69</v>
      </c>
      <c r="I54" s="544"/>
    </row>
    <row r="55" spans="1:9" ht="19.5" customHeight="1">
      <c r="A55" s="474">
        <f t="shared" si="1"/>
        <v>37</v>
      </c>
      <c r="B55" s="539" t="s">
        <v>210</v>
      </c>
      <c r="C55" s="146"/>
      <c r="D55" s="901"/>
      <c r="E55" s="902">
        <v>74798.38422428207</v>
      </c>
      <c r="F55" s="902">
        <v>1204</v>
      </c>
      <c r="G55" s="902">
        <v>2092</v>
      </c>
      <c r="H55" s="393">
        <f t="shared" si="2"/>
        <v>1.01</v>
      </c>
      <c r="I55" s="544"/>
    </row>
    <row r="56" spans="1:9" ht="19.5" customHeight="1">
      <c r="A56" s="474">
        <f t="shared" si="1"/>
        <v>38</v>
      </c>
      <c r="B56" s="539" t="s">
        <v>210</v>
      </c>
      <c r="C56" s="146"/>
      <c r="D56" s="901"/>
      <c r="E56" s="902">
        <v>25088.90456777041</v>
      </c>
      <c r="F56" s="902">
        <v>944</v>
      </c>
      <c r="G56" s="902">
        <v>791.9999999999998</v>
      </c>
      <c r="H56" s="393">
        <f t="shared" si="2"/>
        <v>0.38</v>
      </c>
      <c r="I56" s="544"/>
    </row>
    <row r="57" spans="1:9" ht="19.5" customHeight="1">
      <c r="A57" s="474">
        <f t="shared" si="1"/>
        <v>39</v>
      </c>
      <c r="B57" s="539" t="s">
        <v>210</v>
      </c>
      <c r="C57" s="146"/>
      <c r="D57" s="901"/>
      <c r="E57" s="902">
        <v>57139</v>
      </c>
      <c r="F57" s="902">
        <v>999</v>
      </c>
      <c r="G57" s="902">
        <v>1519</v>
      </c>
      <c r="H57" s="393">
        <f t="shared" si="2"/>
        <v>0.73</v>
      </c>
      <c r="I57" s="544"/>
    </row>
    <row r="58" spans="1:9" ht="19.5" customHeight="1">
      <c r="A58" s="474">
        <f t="shared" si="1"/>
        <v>40</v>
      </c>
      <c r="B58" s="539" t="s">
        <v>210</v>
      </c>
      <c r="C58" s="146"/>
      <c r="D58" s="901"/>
      <c r="E58" s="902">
        <v>33598.90949937145</v>
      </c>
      <c r="F58" s="902">
        <v>749</v>
      </c>
      <c r="G58" s="902">
        <v>1880</v>
      </c>
      <c r="H58" s="393">
        <f t="shared" si="2"/>
        <v>0.9</v>
      </c>
      <c r="I58" s="544"/>
    </row>
    <row r="59" spans="1:9" ht="19.5" customHeight="1">
      <c r="A59" s="474">
        <f t="shared" si="1"/>
        <v>41</v>
      </c>
      <c r="B59" s="539" t="s">
        <v>210</v>
      </c>
      <c r="C59" s="146"/>
      <c r="D59" s="901"/>
      <c r="E59" s="902">
        <v>229618</v>
      </c>
      <c r="F59" s="902">
        <v>1262</v>
      </c>
      <c r="G59" s="902">
        <v>2080</v>
      </c>
      <c r="H59" s="393">
        <f t="shared" si="2"/>
        <v>1</v>
      </c>
      <c r="I59" s="544"/>
    </row>
    <row r="60" spans="1:9" ht="19.5" customHeight="1">
      <c r="A60" s="474">
        <f t="shared" si="1"/>
        <v>42</v>
      </c>
      <c r="B60" s="539" t="s">
        <v>210</v>
      </c>
      <c r="C60" s="146"/>
      <c r="D60" s="901"/>
      <c r="E60" s="902">
        <v>91745</v>
      </c>
      <c r="F60" s="902">
        <v>796</v>
      </c>
      <c r="G60" s="902">
        <v>2112</v>
      </c>
      <c r="H60" s="393">
        <f t="shared" si="2"/>
        <v>1.02</v>
      </c>
      <c r="I60" s="544"/>
    </row>
    <row r="61" spans="1:9" ht="19.5" customHeight="1">
      <c r="A61" s="474">
        <f t="shared" si="1"/>
        <v>43</v>
      </c>
      <c r="B61" s="539" t="s">
        <v>210</v>
      </c>
      <c r="C61" s="146"/>
      <c r="D61" s="901"/>
      <c r="E61" s="902">
        <v>95387</v>
      </c>
      <c r="F61" s="902">
        <v>973</v>
      </c>
      <c r="G61" s="902">
        <v>2108</v>
      </c>
      <c r="H61" s="393">
        <f t="shared" si="2"/>
        <v>1.01</v>
      </c>
      <c r="I61" s="544"/>
    </row>
    <row r="62" spans="1:9" ht="19.5" customHeight="1">
      <c r="A62" s="474">
        <f t="shared" si="1"/>
        <v>44</v>
      </c>
      <c r="B62" s="539" t="s">
        <v>210</v>
      </c>
      <c r="C62" s="146"/>
      <c r="D62" s="901"/>
      <c r="E62" s="902">
        <v>83397.86392827777</v>
      </c>
      <c r="F62" s="902">
        <v>1873</v>
      </c>
      <c r="G62" s="902">
        <v>2080</v>
      </c>
      <c r="H62" s="393">
        <f t="shared" si="2"/>
        <v>1</v>
      </c>
      <c r="I62" s="544"/>
    </row>
    <row r="63" spans="1:9" ht="19.5" customHeight="1">
      <c r="A63" s="474">
        <f t="shared" si="1"/>
        <v>45</v>
      </c>
      <c r="B63" s="539" t="s">
        <v>210</v>
      </c>
      <c r="C63" s="146"/>
      <c r="D63" s="901"/>
      <c r="E63" s="902">
        <v>79500.85074839879</v>
      </c>
      <c r="F63" s="902">
        <v>670</v>
      </c>
      <c r="G63" s="902">
        <v>1560</v>
      </c>
      <c r="H63" s="393">
        <f t="shared" si="2"/>
        <v>0.75</v>
      </c>
      <c r="I63" s="544"/>
    </row>
    <row r="64" spans="1:9" ht="19.5" customHeight="1">
      <c r="A64" s="474">
        <f t="shared" si="1"/>
        <v>46</v>
      </c>
      <c r="B64" s="539" t="s">
        <v>210</v>
      </c>
      <c r="C64" s="146"/>
      <c r="D64" s="901"/>
      <c r="E64" s="902">
        <v>93619</v>
      </c>
      <c r="F64" s="902">
        <v>1197</v>
      </c>
      <c r="G64" s="902">
        <v>2088</v>
      </c>
      <c r="H64" s="393">
        <f t="shared" si="2"/>
        <v>1</v>
      </c>
      <c r="I64" s="544"/>
    </row>
    <row r="65" spans="1:9" ht="19.5" customHeight="1">
      <c r="A65" s="474">
        <f t="shared" si="1"/>
        <v>47</v>
      </c>
      <c r="B65" s="539" t="s">
        <v>210</v>
      </c>
      <c r="C65" s="146"/>
      <c r="D65" s="901"/>
      <c r="E65" s="902">
        <v>155483</v>
      </c>
      <c r="F65" s="902">
        <v>1400</v>
      </c>
      <c r="G65" s="902">
        <v>2072</v>
      </c>
      <c r="H65" s="393">
        <f t="shared" si="2"/>
        <v>1</v>
      </c>
      <c r="I65" s="544"/>
    </row>
    <row r="66" spans="1:9" ht="19.5" customHeight="1">
      <c r="A66" s="474">
        <f t="shared" si="1"/>
        <v>48</v>
      </c>
      <c r="B66" s="539" t="s">
        <v>210</v>
      </c>
      <c r="C66" s="146"/>
      <c r="D66" s="901"/>
      <c r="E66" s="902">
        <v>35045.919410546136</v>
      </c>
      <c r="F66" s="902">
        <v>588</v>
      </c>
      <c r="G66" s="902">
        <v>1672</v>
      </c>
      <c r="H66" s="393">
        <f t="shared" si="2"/>
        <v>0.8</v>
      </c>
      <c r="I66" s="544"/>
    </row>
    <row r="67" spans="1:9" ht="19.5" customHeight="1">
      <c r="A67" s="474">
        <f t="shared" si="1"/>
        <v>49</v>
      </c>
      <c r="B67" s="539" t="s">
        <v>210</v>
      </c>
      <c r="C67" s="146"/>
      <c r="D67" s="901"/>
      <c r="E67" s="902">
        <v>32084</v>
      </c>
      <c r="F67" s="902">
        <v>115</v>
      </c>
      <c r="G67" s="902">
        <v>729</v>
      </c>
      <c r="H67" s="393">
        <f t="shared" si="2"/>
        <v>0.35</v>
      </c>
      <c r="I67" s="544"/>
    </row>
    <row r="68" spans="1:9" ht="24.75" customHeight="1" thickBot="1">
      <c r="A68" s="253"/>
      <c r="B68" s="1158" t="s">
        <v>259</v>
      </c>
      <c r="C68" s="1159"/>
      <c r="D68" s="1160"/>
      <c r="E68" s="750">
        <f>SUM(E19:E67)</f>
        <v>2252012.599549003</v>
      </c>
      <c r="F68" s="751">
        <f>SUM(F19:F67)</f>
        <v>43005</v>
      </c>
      <c r="G68" s="752">
        <f>SUM(G19:G67)</f>
        <v>58642.5</v>
      </c>
      <c r="H68" s="395">
        <f>ROUND(G68/2080,2)</f>
        <v>28.19</v>
      </c>
      <c r="I68" s="544"/>
    </row>
    <row r="69" spans="1:9" ht="19.5" customHeight="1" thickTop="1">
      <c r="A69" s="253"/>
      <c r="B69" s="1194"/>
      <c r="C69" s="1194"/>
      <c r="D69" s="1194"/>
      <c r="E69" s="487"/>
      <c r="F69" s="903"/>
      <c r="G69" s="295"/>
      <c r="H69" s="300"/>
      <c r="I69" s="544"/>
    </row>
    <row r="70" spans="1:9" ht="19.5" customHeight="1">
      <c r="A70" s="207" t="s">
        <v>84</v>
      </c>
      <c r="B70" s="1184" t="s">
        <v>211</v>
      </c>
      <c r="C70" s="1185"/>
      <c r="D70" s="1186"/>
      <c r="E70" s="338"/>
      <c r="F70" s="338"/>
      <c r="G70" s="390"/>
      <c r="H70" s="391"/>
      <c r="I70" s="544"/>
    </row>
    <row r="71" spans="1:9" ht="19.5" customHeight="1">
      <c r="A71" s="474">
        <v>1</v>
      </c>
      <c r="B71" t="s">
        <v>552</v>
      </c>
      <c r="C71" s="632"/>
      <c r="D71" s="633"/>
      <c r="E71" s="696">
        <v>72935</v>
      </c>
      <c r="F71" s="904">
        <v>1787</v>
      </c>
      <c r="G71" s="905">
        <v>2080</v>
      </c>
      <c r="H71" s="393">
        <f aca="true" t="shared" si="3" ref="H71:H102">ROUND(G71/2080,2)</f>
        <v>1</v>
      </c>
      <c r="I71" s="544"/>
    </row>
    <row r="72" spans="1:9" ht="19.5" customHeight="1">
      <c r="A72" s="474">
        <v>2</v>
      </c>
      <c r="B72" t="s">
        <v>683</v>
      </c>
      <c r="C72" s="588"/>
      <c r="D72" s="589"/>
      <c r="E72" s="696">
        <v>388.27521358469954</v>
      </c>
      <c r="F72" s="904">
        <v>0</v>
      </c>
      <c r="G72" s="905">
        <v>15.666453000000004</v>
      </c>
      <c r="H72" s="393">
        <f t="shared" si="3"/>
        <v>0.01</v>
      </c>
      <c r="I72" s="544"/>
    </row>
    <row r="73" spans="1:9" ht="19.5" customHeight="1">
      <c r="A73" s="474">
        <v>3</v>
      </c>
      <c r="B73" t="s">
        <v>683</v>
      </c>
      <c r="C73" s="653"/>
      <c r="D73" s="654"/>
      <c r="E73" s="696">
        <v>58955</v>
      </c>
      <c r="F73" s="904">
        <v>73</v>
      </c>
      <c r="G73" s="905">
        <v>2112</v>
      </c>
      <c r="H73" s="393">
        <f t="shared" si="3"/>
        <v>1.02</v>
      </c>
      <c r="I73" s="544"/>
    </row>
    <row r="74" spans="1:9" ht="19.5" customHeight="1">
      <c r="A74" s="474">
        <v>4</v>
      </c>
      <c r="B74" t="s">
        <v>683</v>
      </c>
      <c r="C74" s="588"/>
      <c r="D74" s="589"/>
      <c r="E74" s="696">
        <v>645.4049442442404</v>
      </c>
      <c r="F74" s="904">
        <v>0</v>
      </c>
      <c r="G74" s="905">
        <v>28</v>
      </c>
      <c r="H74" s="393">
        <f t="shared" si="3"/>
        <v>0.01</v>
      </c>
      <c r="I74" s="544"/>
    </row>
    <row r="75" spans="1:9" ht="19.5" customHeight="1">
      <c r="A75" s="474">
        <v>5</v>
      </c>
      <c r="B75" t="s">
        <v>683</v>
      </c>
      <c r="C75" s="632"/>
      <c r="D75" s="633"/>
      <c r="E75" s="696">
        <v>26220</v>
      </c>
      <c r="F75" s="904">
        <v>0</v>
      </c>
      <c r="G75" s="905">
        <v>999</v>
      </c>
      <c r="H75" s="393">
        <f t="shared" si="3"/>
        <v>0.48</v>
      </c>
      <c r="I75" s="544"/>
    </row>
    <row r="76" spans="1:9" ht="19.5" customHeight="1">
      <c r="A76" s="474">
        <v>6</v>
      </c>
      <c r="B76" t="s">
        <v>478</v>
      </c>
      <c r="C76" s="668"/>
      <c r="D76" s="669"/>
      <c r="E76" s="696">
        <v>33033</v>
      </c>
      <c r="F76" s="904">
        <v>0</v>
      </c>
      <c r="G76" s="905">
        <v>991</v>
      </c>
      <c r="H76" s="393">
        <f t="shared" si="3"/>
        <v>0.48</v>
      </c>
      <c r="I76" s="544"/>
    </row>
    <row r="77" spans="1:9" ht="19.5" customHeight="1">
      <c r="A77" s="474">
        <v>7</v>
      </c>
      <c r="B77" t="s">
        <v>478</v>
      </c>
      <c r="C77" s="588"/>
      <c r="D77" s="589"/>
      <c r="E77" s="696">
        <v>75620.92476463683</v>
      </c>
      <c r="F77" s="904">
        <v>863</v>
      </c>
      <c r="G77" s="905">
        <v>1564</v>
      </c>
      <c r="H77" s="393">
        <f t="shared" si="3"/>
        <v>0.75</v>
      </c>
      <c r="I77" s="544"/>
    </row>
    <row r="78" spans="1:9" ht="19.5" customHeight="1">
      <c r="A78" s="474">
        <v>8</v>
      </c>
      <c r="B78" t="s">
        <v>478</v>
      </c>
      <c r="C78" s="588"/>
      <c r="D78" s="589"/>
      <c r="E78" s="696">
        <v>70269.50557344576</v>
      </c>
      <c r="F78" s="904">
        <v>651</v>
      </c>
      <c r="G78" s="905">
        <v>2080</v>
      </c>
      <c r="H78" s="393">
        <f t="shared" si="3"/>
        <v>1</v>
      </c>
      <c r="I78" s="544"/>
    </row>
    <row r="79" spans="1:9" ht="19.5" customHeight="1">
      <c r="A79" s="474">
        <v>9</v>
      </c>
      <c r="B79" t="s">
        <v>478</v>
      </c>
      <c r="C79" s="588"/>
      <c r="D79" s="589"/>
      <c r="E79" s="696">
        <v>80174</v>
      </c>
      <c r="F79" s="904">
        <v>828</v>
      </c>
      <c r="G79" s="905">
        <v>1800</v>
      </c>
      <c r="H79" s="393">
        <f t="shared" si="3"/>
        <v>0.87</v>
      </c>
      <c r="I79" s="544"/>
    </row>
    <row r="80" spans="1:9" ht="19.5" customHeight="1">
      <c r="A80" s="474">
        <v>10</v>
      </c>
      <c r="B80" t="s">
        <v>478</v>
      </c>
      <c r="C80" s="588"/>
      <c r="D80" s="589"/>
      <c r="E80" s="696">
        <v>77318.26961528783</v>
      </c>
      <c r="F80" s="904">
        <v>676</v>
      </c>
      <c r="G80" s="905">
        <v>2017</v>
      </c>
      <c r="H80" s="393">
        <f t="shared" si="3"/>
        <v>0.97</v>
      </c>
      <c r="I80" s="544"/>
    </row>
    <row r="81" spans="1:9" ht="19.5" customHeight="1">
      <c r="A81" s="474">
        <v>11</v>
      </c>
      <c r="B81" t="s">
        <v>478</v>
      </c>
      <c r="C81" s="668"/>
      <c r="D81" s="669"/>
      <c r="E81" s="696">
        <v>86699</v>
      </c>
      <c r="F81" s="904">
        <v>1116</v>
      </c>
      <c r="G81" s="905">
        <v>2102</v>
      </c>
      <c r="H81" s="393">
        <f t="shared" si="3"/>
        <v>1.01</v>
      </c>
      <c r="I81" s="544"/>
    </row>
    <row r="82" spans="1:9" ht="19.5" customHeight="1">
      <c r="A82" s="474">
        <v>12</v>
      </c>
      <c r="B82" t="s">
        <v>478</v>
      </c>
      <c r="C82" s="588"/>
      <c r="D82" s="589"/>
      <c r="E82" s="696">
        <v>79653.61328822975</v>
      </c>
      <c r="F82" s="904">
        <v>1715</v>
      </c>
      <c r="G82" s="905">
        <v>2096</v>
      </c>
      <c r="H82" s="393">
        <f t="shared" si="3"/>
        <v>1.01</v>
      </c>
      <c r="I82" s="544"/>
    </row>
    <row r="83" spans="1:9" ht="19.5" customHeight="1">
      <c r="A83" s="474">
        <v>13</v>
      </c>
      <c r="B83" t="s">
        <v>478</v>
      </c>
      <c r="C83" s="588"/>
      <c r="D83" s="589"/>
      <c r="E83" s="696">
        <v>75426.86232146378</v>
      </c>
      <c r="F83" s="904">
        <v>1650</v>
      </c>
      <c r="G83" s="905">
        <v>2112</v>
      </c>
      <c r="H83" s="393">
        <f t="shared" si="3"/>
        <v>1.02</v>
      </c>
      <c r="I83" s="544"/>
    </row>
    <row r="84" spans="1:9" ht="19.5" customHeight="1">
      <c r="A84" s="474">
        <v>14</v>
      </c>
      <c r="B84" t="s">
        <v>478</v>
      </c>
      <c r="C84" s="588"/>
      <c r="D84" s="589"/>
      <c r="E84" s="696">
        <v>41297.3177135854</v>
      </c>
      <c r="F84" s="904">
        <v>522</v>
      </c>
      <c r="G84" s="905">
        <v>1192</v>
      </c>
      <c r="H84" s="393">
        <f t="shared" si="3"/>
        <v>0.57</v>
      </c>
      <c r="I84" s="544"/>
    </row>
    <row r="85" spans="1:9" ht="19.5" customHeight="1">
      <c r="A85" s="474">
        <v>15</v>
      </c>
      <c r="B85" t="s">
        <v>478</v>
      </c>
      <c r="C85" s="588"/>
      <c r="D85" s="589"/>
      <c r="E85" s="696">
        <v>74289</v>
      </c>
      <c r="F85" s="904">
        <v>0</v>
      </c>
      <c r="G85" s="905">
        <v>2080</v>
      </c>
      <c r="H85" s="393">
        <f t="shared" si="3"/>
        <v>1</v>
      </c>
      <c r="I85" s="544"/>
    </row>
    <row r="86" spans="1:9" ht="19.5" customHeight="1">
      <c r="A86" s="474">
        <f>+A85+1</f>
        <v>16</v>
      </c>
      <c r="B86" t="s">
        <v>478</v>
      </c>
      <c r="C86" s="588"/>
      <c r="D86" s="589"/>
      <c r="E86" s="696">
        <v>11439.902854888205</v>
      </c>
      <c r="F86" s="904">
        <v>0</v>
      </c>
      <c r="G86" s="905">
        <v>186.00000000000003</v>
      </c>
      <c r="H86" s="393">
        <f t="shared" si="3"/>
        <v>0.09</v>
      </c>
      <c r="I86" s="544"/>
    </row>
    <row r="87" spans="1:9" ht="19.5" customHeight="1">
      <c r="A87" s="474">
        <f aca="true" t="shared" si="4" ref="A87:A150">+A86+1</f>
        <v>17</v>
      </c>
      <c r="B87" t="s">
        <v>478</v>
      </c>
      <c r="C87" s="588"/>
      <c r="D87" s="589"/>
      <c r="E87" s="696">
        <v>38020</v>
      </c>
      <c r="F87" s="904">
        <v>1251</v>
      </c>
      <c r="G87" s="905">
        <v>1012</v>
      </c>
      <c r="H87" s="393">
        <f t="shared" si="3"/>
        <v>0.49</v>
      </c>
      <c r="I87" s="544"/>
    </row>
    <row r="88" spans="1:9" ht="19.5" customHeight="1">
      <c r="A88" s="474">
        <f t="shared" si="4"/>
        <v>18</v>
      </c>
      <c r="B88" t="s">
        <v>478</v>
      </c>
      <c r="C88" s="588"/>
      <c r="D88" s="589"/>
      <c r="E88" s="696">
        <v>923.1495502191608</v>
      </c>
      <c r="F88" s="904">
        <v>0</v>
      </c>
      <c r="G88" s="905">
        <v>7</v>
      </c>
      <c r="H88" s="393">
        <f t="shared" si="3"/>
        <v>0</v>
      </c>
      <c r="I88" s="544"/>
    </row>
    <row r="89" spans="1:9" ht="19.5" customHeight="1">
      <c r="A89" s="474">
        <f t="shared" si="4"/>
        <v>19</v>
      </c>
      <c r="B89" t="s">
        <v>478</v>
      </c>
      <c r="C89" s="588"/>
      <c r="D89" s="589"/>
      <c r="E89" s="696">
        <v>58445</v>
      </c>
      <c r="F89" s="904">
        <v>1169</v>
      </c>
      <c r="G89" s="905">
        <v>1440</v>
      </c>
      <c r="H89" s="393">
        <f t="shared" si="3"/>
        <v>0.69</v>
      </c>
      <c r="I89" s="544"/>
    </row>
    <row r="90" spans="1:9" ht="19.5" customHeight="1">
      <c r="A90" s="474">
        <f t="shared" si="4"/>
        <v>20</v>
      </c>
      <c r="B90" t="s">
        <v>478</v>
      </c>
      <c r="C90" s="588"/>
      <c r="D90" s="589"/>
      <c r="E90" s="696">
        <v>75617.48728178168</v>
      </c>
      <c r="F90" s="904">
        <v>1484</v>
      </c>
      <c r="G90" s="905">
        <v>2052</v>
      </c>
      <c r="H90" s="393">
        <f t="shared" si="3"/>
        <v>0.99</v>
      </c>
      <c r="I90" s="544"/>
    </row>
    <row r="91" spans="1:9" ht="19.5" customHeight="1">
      <c r="A91" s="474">
        <f t="shared" si="4"/>
        <v>21</v>
      </c>
      <c r="B91" t="s">
        <v>478</v>
      </c>
      <c r="C91" s="632"/>
      <c r="D91" s="633"/>
      <c r="E91" s="696">
        <v>69522.32908869219</v>
      </c>
      <c r="F91" s="904">
        <v>1266</v>
      </c>
      <c r="G91" s="905">
        <v>1892</v>
      </c>
      <c r="H91" s="373">
        <f t="shared" si="3"/>
        <v>0.91</v>
      </c>
      <c r="I91" s="544"/>
    </row>
    <row r="92" spans="1:9" ht="19.5" customHeight="1">
      <c r="A92" s="474">
        <f t="shared" si="4"/>
        <v>22</v>
      </c>
      <c r="B92" t="s">
        <v>478</v>
      </c>
      <c r="C92" s="588"/>
      <c r="D92" s="589"/>
      <c r="E92" s="696">
        <v>81598.08609726767</v>
      </c>
      <c r="F92" s="904">
        <v>1926</v>
      </c>
      <c r="G92" s="905">
        <v>2196</v>
      </c>
      <c r="H92" s="393">
        <f t="shared" si="3"/>
        <v>1.06</v>
      </c>
      <c r="I92" s="544"/>
    </row>
    <row r="93" spans="1:9" ht="19.5" customHeight="1">
      <c r="A93" s="474">
        <f t="shared" si="4"/>
        <v>23</v>
      </c>
      <c r="B93" t="s">
        <v>478</v>
      </c>
      <c r="C93" s="588"/>
      <c r="D93" s="589"/>
      <c r="E93" s="696">
        <v>79812.05819767849</v>
      </c>
      <c r="F93" s="904">
        <v>1756</v>
      </c>
      <c r="G93" s="905">
        <v>2080</v>
      </c>
      <c r="H93" s="393">
        <f t="shared" si="3"/>
        <v>1</v>
      </c>
      <c r="I93" s="544"/>
    </row>
    <row r="94" spans="1:9" ht="19.5" customHeight="1">
      <c r="A94" s="474">
        <f t="shared" si="4"/>
        <v>24</v>
      </c>
      <c r="B94" t="s">
        <v>478</v>
      </c>
      <c r="C94" s="588"/>
      <c r="D94" s="589"/>
      <c r="E94" s="696">
        <v>4147.167726669038</v>
      </c>
      <c r="F94" s="904">
        <v>59</v>
      </c>
      <c r="G94" s="905">
        <v>112.5</v>
      </c>
      <c r="H94" s="393">
        <f t="shared" si="3"/>
        <v>0.05</v>
      </c>
      <c r="I94" s="544"/>
    </row>
    <row r="95" spans="1:9" ht="19.5" customHeight="1">
      <c r="A95" s="474">
        <f t="shared" si="4"/>
        <v>25</v>
      </c>
      <c r="B95" t="s">
        <v>478</v>
      </c>
      <c r="C95" s="588"/>
      <c r="D95" s="589"/>
      <c r="E95" s="696">
        <v>68510</v>
      </c>
      <c r="F95" s="904">
        <v>136</v>
      </c>
      <c r="G95" s="905">
        <v>1810</v>
      </c>
      <c r="H95" s="393">
        <f t="shared" si="3"/>
        <v>0.87</v>
      </c>
      <c r="I95" s="544"/>
    </row>
    <row r="96" spans="1:9" ht="19.5" customHeight="1">
      <c r="A96" s="474">
        <f t="shared" si="4"/>
        <v>26</v>
      </c>
      <c r="B96" t="s">
        <v>478</v>
      </c>
      <c r="C96" s="588"/>
      <c r="D96" s="589"/>
      <c r="E96" s="696">
        <v>76546</v>
      </c>
      <c r="F96" s="904">
        <v>1383</v>
      </c>
      <c r="G96" s="905">
        <v>2100</v>
      </c>
      <c r="H96" s="393">
        <f t="shared" si="3"/>
        <v>1.01</v>
      </c>
      <c r="I96" s="544"/>
    </row>
    <row r="97" spans="1:9" ht="19.5" customHeight="1">
      <c r="A97" s="474">
        <f t="shared" si="4"/>
        <v>27</v>
      </c>
      <c r="B97" t="s">
        <v>478</v>
      </c>
      <c r="C97" s="588"/>
      <c r="D97" s="589"/>
      <c r="E97" s="696">
        <v>24483</v>
      </c>
      <c r="F97" s="904">
        <v>0</v>
      </c>
      <c r="G97" s="905">
        <v>463</v>
      </c>
      <c r="H97" s="393">
        <f t="shared" si="3"/>
        <v>0.22</v>
      </c>
      <c r="I97" s="544"/>
    </row>
    <row r="98" spans="1:9" ht="19.5" customHeight="1">
      <c r="A98" s="474">
        <f t="shared" si="4"/>
        <v>28</v>
      </c>
      <c r="B98" t="s">
        <v>478</v>
      </c>
      <c r="C98" s="588"/>
      <c r="D98" s="589"/>
      <c r="E98" s="696">
        <v>47107.49554961693</v>
      </c>
      <c r="F98" s="904">
        <v>0</v>
      </c>
      <c r="G98" s="905">
        <v>1241</v>
      </c>
      <c r="H98" s="393">
        <f t="shared" si="3"/>
        <v>0.6</v>
      </c>
      <c r="I98" s="544"/>
    </row>
    <row r="99" spans="1:9" ht="19.5" customHeight="1">
      <c r="A99" s="474">
        <f t="shared" si="4"/>
        <v>29</v>
      </c>
      <c r="B99" t="s">
        <v>478</v>
      </c>
      <c r="C99" s="588"/>
      <c r="D99" s="589"/>
      <c r="E99" s="696">
        <v>50698</v>
      </c>
      <c r="F99" s="904">
        <v>0</v>
      </c>
      <c r="G99" s="905">
        <v>1184</v>
      </c>
      <c r="H99" s="393">
        <f t="shared" si="3"/>
        <v>0.57</v>
      </c>
      <c r="I99" s="544"/>
    </row>
    <row r="100" spans="1:9" ht="19.5" customHeight="1">
      <c r="A100" s="474">
        <f t="shared" si="4"/>
        <v>30</v>
      </c>
      <c r="B100" t="s">
        <v>478</v>
      </c>
      <c r="C100" s="588"/>
      <c r="D100" s="589"/>
      <c r="E100" s="696">
        <v>43400.78663194688</v>
      </c>
      <c r="F100" s="904">
        <v>0</v>
      </c>
      <c r="G100" s="905">
        <v>992</v>
      </c>
      <c r="H100" s="393">
        <f t="shared" si="3"/>
        <v>0.48</v>
      </c>
      <c r="I100" s="544"/>
    </row>
    <row r="101" spans="1:9" ht="19.5" customHeight="1">
      <c r="A101" s="474">
        <f t="shared" si="4"/>
        <v>31</v>
      </c>
      <c r="B101" t="s">
        <v>478</v>
      </c>
      <c r="C101" s="588"/>
      <c r="D101" s="589"/>
      <c r="E101" s="696">
        <v>39679.80664842893</v>
      </c>
      <c r="F101" s="904">
        <v>59</v>
      </c>
      <c r="G101" s="905">
        <v>1060</v>
      </c>
      <c r="H101" s="393">
        <f t="shared" si="3"/>
        <v>0.51</v>
      </c>
      <c r="I101" s="544"/>
    </row>
    <row r="102" spans="1:9" ht="19.5" customHeight="1">
      <c r="A102" s="474">
        <f t="shared" si="4"/>
        <v>32</v>
      </c>
      <c r="B102" t="s">
        <v>478</v>
      </c>
      <c r="C102" s="632"/>
      <c r="D102" s="633"/>
      <c r="E102" s="696">
        <v>82472.00848776438</v>
      </c>
      <c r="F102" s="904">
        <v>1091</v>
      </c>
      <c r="G102" s="905">
        <v>2112</v>
      </c>
      <c r="H102" s="393">
        <f t="shared" si="3"/>
        <v>1.02</v>
      </c>
      <c r="I102" s="544"/>
    </row>
    <row r="103" spans="1:9" ht="19.5" customHeight="1">
      <c r="A103" s="474">
        <f t="shared" si="4"/>
        <v>33</v>
      </c>
      <c r="B103" t="s">
        <v>478</v>
      </c>
      <c r="C103" s="588"/>
      <c r="D103" s="589"/>
      <c r="E103" s="696">
        <v>65954.26197224374</v>
      </c>
      <c r="F103" s="904">
        <v>1278</v>
      </c>
      <c r="G103" s="905">
        <v>1684</v>
      </c>
      <c r="H103" s="393">
        <f aca="true" t="shared" si="5" ref="H103:H134">ROUND(G103/2080,2)</f>
        <v>0.81</v>
      </c>
      <c r="I103" s="544"/>
    </row>
    <row r="104" spans="1:9" ht="19.5" customHeight="1">
      <c r="A104" s="474">
        <f t="shared" si="4"/>
        <v>34</v>
      </c>
      <c r="B104" t="s">
        <v>478</v>
      </c>
      <c r="C104" s="588"/>
      <c r="D104" s="589"/>
      <c r="E104" s="696">
        <v>82301.02628661918</v>
      </c>
      <c r="F104" s="904">
        <v>2227</v>
      </c>
      <c r="G104" s="905">
        <v>2112.5</v>
      </c>
      <c r="H104" s="393">
        <f t="shared" si="5"/>
        <v>1.02</v>
      </c>
      <c r="I104" s="544"/>
    </row>
    <row r="105" spans="1:9" ht="19.5" customHeight="1">
      <c r="A105" s="474">
        <f t="shared" si="4"/>
        <v>35</v>
      </c>
      <c r="B105" t="s">
        <v>478</v>
      </c>
      <c r="C105" s="588"/>
      <c r="D105" s="589"/>
      <c r="E105" s="696">
        <v>62176.317987125134</v>
      </c>
      <c r="F105" s="904">
        <v>908</v>
      </c>
      <c r="G105" s="905">
        <v>1664</v>
      </c>
      <c r="H105" s="393">
        <f t="shared" si="5"/>
        <v>0.8</v>
      </c>
      <c r="I105" s="544"/>
    </row>
    <row r="106" spans="1:9" ht="19.5" customHeight="1">
      <c r="A106" s="474">
        <f t="shared" si="4"/>
        <v>36</v>
      </c>
      <c r="B106" t="s">
        <v>478</v>
      </c>
      <c r="C106" s="668"/>
      <c r="D106" s="669"/>
      <c r="E106" s="696">
        <v>25651.07833092849</v>
      </c>
      <c r="F106" s="904">
        <v>1213</v>
      </c>
      <c r="G106" s="905">
        <v>723.9999999999999</v>
      </c>
      <c r="H106" s="393">
        <f t="shared" si="5"/>
        <v>0.35</v>
      </c>
      <c r="I106" s="544"/>
    </row>
    <row r="107" spans="1:9" ht="19.5" customHeight="1">
      <c r="A107" s="474">
        <f t="shared" si="4"/>
        <v>37</v>
      </c>
      <c r="B107" t="s">
        <v>478</v>
      </c>
      <c r="C107" s="588"/>
      <c r="D107" s="589"/>
      <c r="E107" s="696">
        <v>69434.51793773772</v>
      </c>
      <c r="F107" s="904">
        <v>0</v>
      </c>
      <c r="G107" s="905">
        <v>1894.4</v>
      </c>
      <c r="H107" s="393">
        <f t="shared" si="5"/>
        <v>0.91</v>
      </c>
      <c r="I107" s="544"/>
    </row>
    <row r="108" spans="1:9" ht="19.5" customHeight="1">
      <c r="A108" s="474">
        <f t="shared" si="4"/>
        <v>38</v>
      </c>
      <c r="B108" t="s">
        <v>478</v>
      </c>
      <c r="C108" s="588"/>
      <c r="D108" s="589"/>
      <c r="E108" s="696">
        <v>43365</v>
      </c>
      <c r="F108" s="904">
        <v>526</v>
      </c>
      <c r="G108" s="905">
        <v>955</v>
      </c>
      <c r="H108" s="393">
        <f t="shared" si="5"/>
        <v>0.46</v>
      </c>
      <c r="I108" s="544"/>
    </row>
    <row r="109" spans="1:9" ht="19.5" customHeight="1">
      <c r="A109" s="474">
        <f t="shared" si="4"/>
        <v>39</v>
      </c>
      <c r="B109" t="s">
        <v>478</v>
      </c>
      <c r="C109" s="644"/>
      <c r="D109" s="645"/>
      <c r="E109" s="696">
        <v>31806.627986657946</v>
      </c>
      <c r="F109" s="904">
        <v>944</v>
      </c>
      <c r="G109" s="905">
        <v>847.9999999999999</v>
      </c>
      <c r="H109" s="393">
        <f t="shared" si="5"/>
        <v>0.41</v>
      </c>
      <c r="I109" s="544"/>
    </row>
    <row r="110" spans="1:9" ht="19.5" customHeight="1">
      <c r="A110" s="474">
        <f t="shared" si="4"/>
        <v>40</v>
      </c>
      <c r="B110" t="s">
        <v>478</v>
      </c>
      <c r="C110" s="644"/>
      <c r="D110" s="645"/>
      <c r="E110" s="696">
        <v>78849</v>
      </c>
      <c r="F110" s="904">
        <v>1002</v>
      </c>
      <c r="G110" s="905">
        <v>2092</v>
      </c>
      <c r="H110" s="393">
        <f t="shared" si="5"/>
        <v>1.01</v>
      </c>
      <c r="I110" s="544"/>
    </row>
    <row r="111" spans="1:9" ht="19.5" customHeight="1">
      <c r="A111" s="474">
        <f t="shared" si="4"/>
        <v>41</v>
      </c>
      <c r="B111" t="s">
        <v>478</v>
      </c>
      <c r="C111" s="644"/>
      <c r="D111" s="645"/>
      <c r="E111" s="696">
        <v>67482</v>
      </c>
      <c r="F111" s="904">
        <v>1085</v>
      </c>
      <c r="G111" s="905">
        <v>1003</v>
      </c>
      <c r="H111" s="393">
        <f t="shared" si="5"/>
        <v>0.48</v>
      </c>
      <c r="I111" s="544"/>
    </row>
    <row r="112" spans="1:9" ht="19.5" customHeight="1">
      <c r="A112" s="474">
        <f t="shared" si="4"/>
        <v>42</v>
      </c>
      <c r="B112" t="s">
        <v>478</v>
      </c>
      <c r="C112" s="644"/>
      <c r="D112" s="645"/>
      <c r="E112" s="696">
        <v>66680.86366894553</v>
      </c>
      <c r="F112" s="904">
        <v>934</v>
      </c>
      <c r="G112" s="905">
        <v>2080</v>
      </c>
      <c r="H112" s="393">
        <f t="shared" si="5"/>
        <v>1</v>
      </c>
      <c r="I112" s="544"/>
    </row>
    <row r="113" spans="1:9" ht="19.5" customHeight="1">
      <c r="A113" s="474">
        <f t="shared" si="4"/>
        <v>43</v>
      </c>
      <c r="B113" t="s">
        <v>478</v>
      </c>
      <c r="C113" s="644"/>
      <c r="D113" s="645"/>
      <c r="E113" s="696">
        <v>70661.81957883987</v>
      </c>
      <c r="F113" s="904">
        <v>1114</v>
      </c>
      <c r="G113" s="905">
        <v>2088</v>
      </c>
      <c r="H113" s="393">
        <f t="shared" si="5"/>
        <v>1</v>
      </c>
      <c r="I113" s="544"/>
    </row>
    <row r="114" spans="1:9" ht="19.5" customHeight="1">
      <c r="A114" s="474">
        <f t="shared" si="4"/>
        <v>44</v>
      </c>
      <c r="B114" t="s">
        <v>478</v>
      </c>
      <c r="C114" s="644"/>
      <c r="D114" s="645"/>
      <c r="E114" s="696">
        <v>46655.99269949129</v>
      </c>
      <c r="F114" s="904">
        <v>0</v>
      </c>
      <c r="G114" s="905">
        <v>1384</v>
      </c>
      <c r="H114" s="393">
        <f t="shared" si="5"/>
        <v>0.67</v>
      </c>
      <c r="I114" s="544"/>
    </row>
    <row r="115" spans="1:9" ht="19.5" customHeight="1">
      <c r="A115" s="474">
        <f t="shared" si="4"/>
        <v>45</v>
      </c>
      <c r="B115" t="s">
        <v>478</v>
      </c>
      <c r="C115" s="588"/>
      <c r="D115" s="589"/>
      <c r="E115" s="696">
        <v>69741.81687881473</v>
      </c>
      <c r="F115" s="904">
        <v>1214</v>
      </c>
      <c r="G115" s="905">
        <v>2086</v>
      </c>
      <c r="H115" s="393">
        <f t="shared" si="5"/>
        <v>1</v>
      </c>
      <c r="I115" s="544"/>
    </row>
    <row r="116" spans="1:9" ht="19.5" customHeight="1">
      <c r="A116" s="474">
        <f t="shared" si="4"/>
        <v>46</v>
      </c>
      <c r="B116" t="s">
        <v>478</v>
      </c>
      <c r="C116" s="542"/>
      <c r="D116" s="543"/>
      <c r="E116" s="696">
        <v>88645</v>
      </c>
      <c r="F116" s="904">
        <v>1643</v>
      </c>
      <c r="G116" s="905">
        <v>3303</v>
      </c>
      <c r="H116" s="393">
        <f t="shared" si="5"/>
        <v>1.59</v>
      </c>
      <c r="I116" s="544"/>
    </row>
    <row r="117" spans="1:9" ht="19.5" customHeight="1">
      <c r="A117" s="474">
        <f t="shared" si="4"/>
        <v>47</v>
      </c>
      <c r="B117" t="s">
        <v>478</v>
      </c>
      <c r="C117" s="588"/>
      <c r="D117" s="589"/>
      <c r="E117" s="696">
        <v>41891.45104766265</v>
      </c>
      <c r="F117" s="904">
        <v>0</v>
      </c>
      <c r="G117" s="905">
        <v>1240</v>
      </c>
      <c r="H117" s="393">
        <f t="shared" si="5"/>
        <v>0.6</v>
      </c>
      <c r="I117" s="544"/>
    </row>
    <row r="118" spans="1:9" ht="19.5" customHeight="1">
      <c r="A118" s="474">
        <f t="shared" si="4"/>
        <v>48</v>
      </c>
      <c r="B118" t="s">
        <v>478</v>
      </c>
      <c r="C118" s="632"/>
      <c r="D118" s="633"/>
      <c r="E118" s="696">
        <v>63527.74984001944</v>
      </c>
      <c r="F118" s="904">
        <v>1199</v>
      </c>
      <c r="G118" s="905">
        <v>2080</v>
      </c>
      <c r="H118" s="393">
        <f t="shared" si="5"/>
        <v>1</v>
      </c>
      <c r="I118" s="544"/>
    </row>
    <row r="119" spans="1:9" ht="19.5" customHeight="1">
      <c r="A119" s="474">
        <f t="shared" si="4"/>
        <v>49</v>
      </c>
      <c r="B119" t="s">
        <v>478</v>
      </c>
      <c r="C119" s="632"/>
      <c r="D119" s="633"/>
      <c r="E119" s="696">
        <v>79927</v>
      </c>
      <c r="F119" s="904">
        <v>1607</v>
      </c>
      <c r="G119" s="905">
        <v>2374</v>
      </c>
      <c r="H119" s="393">
        <f t="shared" si="5"/>
        <v>1.14</v>
      </c>
      <c r="I119" s="544"/>
    </row>
    <row r="120" spans="1:9" ht="19.5" customHeight="1">
      <c r="A120" s="474">
        <f t="shared" si="4"/>
        <v>50</v>
      </c>
      <c r="B120" t="s">
        <v>478</v>
      </c>
      <c r="C120" s="588"/>
      <c r="D120" s="589"/>
      <c r="E120" s="696">
        <v>79091</v>
      </c>
      <c r="F120" s="904">
        <v>1114</v>
      </c>
      <c r="G120" s="905">
        <v>2165</v>
      </c>
      <c r="H120" s="393">
        <f t="shared" si="5"/>
        <v>1.04</v>
      </c>
      <c r="I120" s="544"/>
    </row>
    <row r="121" spans="1:9" ht="19.5" customHeight="1">
      <c r="A121" s="474">
        <f t="shared" si="4"/>
        <v>51</v>
      </c>
      <c r="B121" t="s">
        <v>478</v>
      </c>
      <c r="C121" s="588"/>
      <c r="D121" s="589"/>
      <c r="E121" s="696">
        <v>63770</v>
      </c>
      <c r="F121" s="904">
        <v>1151</v>
      </c>
      <c r="G121" s="905">
        <v>2149</v>
      </c>
      <c r="H121" s="393">
        <f t="shared" si="5"/>
        <v>1.03</v>
      </c>
      <c r="I121" s="544"/>
    </row>
    <row r="122" spans="1:9" ht="19.5" customHeight="1">
      <c r="A122" s="474">
        <f t="shared" si="4"/>
        <v>52</v>
      </c>
      <c r="B122" t="s">
        <v>478</v>
      </c>
      <c r="C122" s="588"/>
      <c r="D122" s="589"/>
      <c r="E122" s="696">
        <v>45001</v>
      </c>
      <c r="F122" s="904">
        <v>670</v>
      </c>
      <c r="G122" s="905">
        <v>1360</v>
      </c>
      <c r="H122" s="393">
        <f t="shared" si="5"/>
        <v>0.65</v>
      </c>
      <c r="I122" s="544"/>
    </row>
    <row r="123" spans="1:9" ht="19.5" customHeight="1">
      <c r="A123" s="474">
        <f t="shared" si="4"/>
        <v>53</v>
      </c>
      <c r="B123" t="s">
        <v>478</v>
      </c>
      <c r="C123" s="588"/>
      <c r="D123" s="589"/>
      <c r="E123" s="696">
        <v>41947</v>
      </c>
      <c r="F123" s="904">
        <v>1251</v>
      </c>
      <c r="G123" s="905">
        <v>1251</v>
      </c>
      <c r="H123" s="393">
        <f t="shared" si="5"/>
        <v>0.6</v>
      </c>
      <c r="I123" s="544"/>
    </row>
    <row r="124" spans="1:9" ht="19.5" customHeight="1">
      <c r="A124" s="474">
        <f t="shared" si="4"/>
        <v>54</v>
      </c>
      <c r="B124" t="s">
        <v>478</v>
      </c>
      <c r="C124" s="588"/>
      <c r="D124" s="589"/>
      <c r="E124" s="696">
        <v>80667</v>
      </c>
      <c r="F124" s="904">
        <v>1108</v>
      </c>
      <c r="G124" s="905">
        <v>2156</v>
      </c>
      <c r="H124" s="393">
        <f t="shared" si="5"/>
        <v>1.04</v>
      </c>
      <c r="I124" s="544"/>
    </row>
    <row r="125" spans="1:9" ht="19.5" customHeight="1">
      <c r="A125" s="474">
        <f t="shared" si="4"/>
        <v>55</v>
      </c>
      <c r="B125" t="s">
        <v>478</v>
      </c>
      <c r="C125" s="588"/>
      <c r="D125" s="589"/>
      <c r="E125" s="696">
        <v>78160.13221670632</v>
      </c>
      <c r="F125" s="904">
        <v>1210</v>
      </c>
      <c r="G125" s="905">
        <v>2125</v>
      </c>
      <c r="H125" s="393">
        <f t="shared" si="5"/>
        <v>1.02</v>
      </c>
      <c r="I125" s="544"/>
    </row>
    <row r="126" spans="1:9" ht="19.5" customHeight="1">
      <c r="A126" s="474">
        <f t="shared" si="4"/>
        <v>56</v>
      </c>
      <c r="B126" t="s">
        <v>478</v>
      </c>
      <c r="C126" s="588"/>
      <c r="D126" s="589"/>
      <c r="E126" s="696">
        <v>68784.21232551617</v>
      </c>
      <c r="F126" s="904">
        <v>1105</v>
      </c>
      <c r="G126" s="905">
        <v>2080</v>
      </c>
      <c r="H126" s="393">
        <f t="shared" si="5"/>
        <v>1</v>
      </c>
      <c r="I126" s="544"/>
    </row>
    <row r="127" spans="1:9" ht="19.5" customHeight="1">
      <c r="A127" s="474">
        <f t="shared" si="4"/>
        <v>57</v>
      </c>
      <c r="B127" t="s">
        <v>478</v>
      </c>
      <c r="C127" s="668"/>
      <c r="D127" s="669"/>
      <c r="E127" s="696">
        <v>818.1008759090967</v>
      </c>
      <c r="F127" s="904">
        <v>0</v>
      </c>
      <c r="G127" s="905">
        <v>16</v>
      </c>
      <c r="H127" s="393">
        <f t="shared" si="5"/>
        <v>0.01</v>
      </c>
      <c r="I127" s="544"/>
    </row>
    <row r="128" spans="1:9" ht="19.5" customHeight="1">
      <c r="A128" s="474">
        <f t="shared" si="4"/>
        <v>58</v>
      </c>
      <c r="B128" t="s">
        <v>478</v>
      </c>
      <c r="C128" s="588"/>
      <c r="D128" s="589"/>
      <c r="E128" s="696">
        <v>56156.523849636884</v>
      </c>
      <c r="F128" s="904">
        <v>554</v>
      </c>
      <c r="G128" s="905">
        <v>1760</v>
      </c>
      <c r="H128" s="393">
        <f t="shared" si="5"/>
        <v>0.85</v>
      </c>
      <c r="I128" s="544"/>
    </row>
    <row r="129" spans="1:9" ht="19.5" customHeight="1">
      <c r="A129" s="474">
        <f t="shared" si="4"/>
        <v>59</v>
      </c>
      <c r="B129" t="s">
        <v>478</v>
      </c>
      <c r="C129" s="668"/>
      <c r="D129" s="669"/>
      <c r="E129" s="696">
        <v>72575</v>
      </c>
      <c r="F129" s="904">
        <v>1530</v>
      </c>
      <c r="G129" s="905">
        <v>2109</v>
      </c>
      <c r="H129" s="393">
        <f t="shared" si="5"/>
        <v>1.01</v>
      </c>
      <c r="I129" s="544"/>
    </row>
    <row r="130" spans="1:9" ht="19.5" customHeight="1">
      <c r="A130" s="474">
        <f t="shared" si="4"/>
        <v>60</v>
      </c>
      <c r="B130" t="s">
        <v>478</v>
      </c>
      <c r="C130" s="588"/>
      <c r="D130" s="589"/>
      <c r="E130" s="696">
        <v>75711</v>
      </c>
      <c r="F130" s="904">
        <v>953</v>
      </c>
      <c r="G130" s="905">
        <v>2264</v>
      </c>
      <c r="H130" s="393">
        <f t="shared" si="5"/>
        <v>1.09</v>
      </c>
      <c r="I130" s="544"/>
    </row>
    <row r="131" spans="1:9" ht="19.5" customHeight="1">
      <c r="A131" s="474">
        <f t="shared" si="4"/>
        <v>61</v>
      </c>
      <c r="B131" t="s">
        <v>478</v>
      </c>
      <c r="C131" s="588"/>
      <c r="D131" s="589"/>
      <c r="E131" s="696">
        <v>77026.51451067858</v>
      </c>
      <c r="F131" s="904">
        <v>1285</v>
      </c>
      <c r="G131" s="905">
        <v>2136</v>
      </c>
      <c r="H131" s="393">
        <f t="shared" si="5"/>
        <v>1.03</v>
      </c>
      <c r="I131" s="544"/>
    </row>
    <row r="132" spans="1:9" ht="19.5" customHeight="1">
      <c r="A132" s="474">
        <f t="shared" si="4"/>
        <v>62</v>
      </c>
      <c r="B132" t="s">
        <v>478</v>
      </c>
      <c r="C132" s="588"/>
      <c r="D132" s="589"/>
      <c r="E132" s="696">
        <v>72259</v>
      </c>
      <c r="F132" s="904">
        <v>1044</v>
      </c>
      <c r="G132" s="905">
        <v>2142</v>
      </c>
      <c r="H132" s="393">
        <f t="shared" si="5"/>
        <v>1.03</v>
      </c>
      <c r="I132" s="544"/>
    </row>
    <row r="133" spans="1:9" ht="19.5" customHeight="1">
      <c r="A133" s="474">
        <f t="shared" si="4"/>
        <v>63</v>
      </c>
      <c r="B133" t="s">
        <v>478</v>
      </c>
      <c r="C133" s="588"/>
      <c r="D133" s="589"/>
      <c r="E133" s="696">
        <v>76734.17814074681</v>
      </c>
      <c r="F133" s="904">
        <v>0</v>
      </c>
      <c r="G133" s="905">
        <v>2080</v>
      </c>
      <c r="H133" s="393">
        <f t="shared" si="5"/>
        <v>1</v>
      </c>
      <c r="I133" s="544"/>
    </row>
    <row r="134" spans="1:9" ht="19.5" customHeight="1">
      <c r="A134" s="474">
        <f t="shared" si="4"/>
        <v>64</v>
      </c>
      <c r="B134" t="s">
        <v>478</v>
      </c>
      <c r="C134" s="588"/>
      <c r="D134" s="589"/>
      <c r="E134" s="696">
        <v>68705.32059071666</v>
      </c>
      <c r="F134" s="904">
        <v>968</v>
      </c>
      <c r="G134" s="905">
        <v>2085</v>
      </c>
      <c r="H134" s="393">
        <f t="shared" si="5"/>
        <v>1</v>
      </c>
      <c r="I134" s="544"/>
    </row>
    <row r="135" spans="1:9" ht="19.5" customHeight="1">
      <c r="A135" s="474">
        <f t="shared" si="4"/>
        <v>65</v>
      </c>
      <c r="B135" t="s">
        <v>478</v>
      </c>
      <c r="C135" s="588"/>
      <c r="D135" s="589"/>
      <c r="E135" s="696">
        <v>71421</v>
      </c>
      <c r="F135" s="904">
        <v>914</v>
      </c>
      <c r="G135" s="905">
        <v>2091</v>
      </c>
      <c r="H135" s="393">
        <f aca="true" t="shared" si="6" ref="H135:H166">ROUND(G135/2080,2)</f>
        <v>1.01</v>
      </c>
      <c r="I135" s="544"/>
    </row>
    <row r="136" spans="1:9" ht="19.5" customHeight="1">
      <c r="A136" s="474">
        <f t="shared" si="4"/>
        <v>66</v>
      </c>
      <c r="B136" t="s">
        <v>478</v>
      </c>
      <c r="C136" s="588"/>
      <c r="D136" s="589"/>
      <c r="E136" s="696">
        <v>70391.22052760479</v>
      </c>
      <c r="F136" s="904">
        <v>1154</v>
      </c>
      <c r="G136" s="905">
        <v>2156</v>
      </c>
      <c r="H136" s="393">
        <f t="shared" si="6"/>
        <v>1.04</v>
      </c>
      <c r="I136" s="544"/>
    </row>
    <row r="137" spans="1:9" ht="19.5" customHeight="1">
      <c r="A137" s="474">
        <f t="shared" si="4"/>
        <v>67</v>
      </c>
      <c r="B137" t="s">
        <v>478</v>
      </c>
      <c r="C137" s="588"/>
      <c r="D137" s="589"/>
      <c r="E137" s="696">
        <v>75539.86831760197</v>
      </c>
      <c r="F137" s="904">
        <v>1521</v>
      </c>
      <c r="G137" s="905">
        <v>2089.5</v>
      </c>
      <c r="H137" s="393">
        <f t="shared" si="6"/>
        <v>1</v>
      </c>
      <c r="I137" s="544"/>
    </row>
    <row r="138" spans="1:9" ht="19.5" customHeight="1">
      <c r="A138" s="474">
        <f t="shared" si="4"/>
        <v>68</v>
      </c>
      <c r="B138" t="s">
        <v>478</v>
      </c>
      <c r="C138" s="588"/>
      <c r="D138" s="589"/>
      <c r="E138" s="696">
        <v>73171</v>
      </c>
      <c r="F138" s="904">
        <v>1557</v>
      </c>
      <c r="G138" s="905">
        <v>2080</v>
      </c>
      <c r="H138" s="393">
        <f t="shared" si="6"/>
        <v>1</v>
      </c>
      <c r="I138" s="544"/>
    </row>
    <row r="139" spans="1:9" ht="19.5" customHeight="1">
      <c r="A139" s="474">
        <f t="shared" si="4"/>
        <v>69</v>
      </c>
      <c r="B139" t="s">
        <v>478</v>
      </c>
      <c r="C139" s="588"/>
      <c r="D139" s="589"/>
      <c r="E139" s="696">
        <v>79222.18413536064</v>
      </c>
      <c r="F139" s="904">
        <v>1011</v>
      </c>
      <c r="G139" s="905">
        <v>2085.5</v>
      </c>
      <c r="H139" s="393">
        <f t="shared" si="6"/>
        <v>1</v>
      </c>
      <c r="I139" s="544"/>
    </row>
    <row r="140" spans="1:9" ht="19.5" customHeight="1">
      <c r="A140" s="474">
        <f t="shared" si="4"/>
        <v>70</v>
      </c>
      <c r="B140" t="s">
        <v>478</v>
      </c>
      <c r="C140" s="588"/>
      <c r="D140" s="589"/>
      <c r="E140" s="696">
        <v>64164</v>
      </c>
      <c r="F140" s="904">
        <v>1004</v>
      </c>
      <c r="G140" s="905">
        <v>2080</v>
      </c>
      <c r="H140" s="393">
        <f t="shared" si="6"/>
        <v>1</v>
      </c>
      <c r="I140" s="544"/>
    </row>
    <row r="141" spans="1:9" ht="19.5" customHeight="1">
      <c r="A141" s="474">
        <f t="shared" si="4"/>
        <v>71</v>
      </c>
      <c r="B141" t="s">
        <v>478</v>
      </c>
      <c r="C141" s="653"/>
      <c r="D141" s="654"/>
      <c r="E141" s="696">
        <v>71259.82133385623</v>
      </c>
      <c r="F141" s="904">
        <v>897</v>
      </c>
      <c r="G141" s="905">
        <v>2080</v>
      </c>
      <c r="H141" s="393">
        <f t="shared" si="6"/>
        <v>1</v>
      </c>
      <c r="I141" s="544"/>
    </row>
    <row r="142" spans="1:9" ht="19.5" customHeight="1">
      <c r="A142" s="474">
        <f t="shared" si="4"/>
        <v>72</v>
      </c>
      <c r="B142" t="s">
        <v>478</v>
      </c>
      <c r="C142" s="653"/>
      <c r="D142" s="654"/>
      <c r="E142" s="696">
        <v>15593</v>
      </c>
      <c r="F142" s="904">
        <v>0</v>
      </c>
      <c r="G142" s="905">
        <v>424</v>
      </c>
      <c r="H142" s="393">
        <f t="shared" si="6"/>
        <v>0.2</v>
      </c>
      <c r="I142" s="544"/>
    </row>
    <row r="143" spans="1:9" ht="19.5" customHeight="1">
      <c r="A143" s="474">
        <f t="shared" si="4"/>
        <v>73</v>
      </c>
      <c r="B143" t="s">
        <v>478</v>
      </c>
      <c r="C143" s="653"/>
      <c r="D143" s="654"/>
      <c r="E143" s="696">
        <v>21057.58903295639</v>
      </c>
      <c r="F143" s="904">
        <v>0</v>
      </c>
      <c r="G143" s="905">
        <v>616</v>
      </c>
      <c r="H143" s="393">
        <f t="shared" si="6"/>
        <v>0.3</v>
      </c>
      <c r="I143" s="544"/>
    </row>
    <row r="144" spans="1:9" ht="19.5" customHeight="1">
      <c r="A144" s="474">
        <f t="shared" si="4"/>
        <v>74</v>
      </c>
      <c r="B144" t="s">
        <v>478</v>
      </c>
      <c r="C144" s="653"/>
      <c r="D144" s="654"/>
      <c r="E144" s="696">
        <v>70511</v>
      </c>
      <c r="F144" s="904">
        <v>1401</v>
      </c>
      <c r="G144" s="905">
        <v>2098</v>
      </c>
      <c r="H144" s="393">
        <f t="shared" si="6"/>
        <v>1.01</v>
      </c>
      <c r="I144" s="544"/>
    </row>
    <row r="145" spans="1:9" ht="19.5" customHeight="1">
      <c r="A145" s="474">
        <f t="shared" si="4"/>
        <v>75</v>
      </c>
      <c r="B145" t="s">
        <v>478</v>
      </c>
      <c r="C145" s="653"/>
      <c r="D145" s="654"/>
      <c r="E145" s="696">
        <v>72687.09828951515</v>
      </c>
      <c r="F145" s="904">
        <v>1106</v>
      </c>
      <c r="G145" s="905">
        <v>2090</v>
      </c>
      <c r="H145" s="393">
        <f t="shared" si="6"/>
        <v>1</v>
      </c>
      <c r="I145" s="544"/>
    </row>
    <row r="146" spans="1:9" ht="19.5" customHeight="1">
      <c r="A146" s="474">
        <f t="shared" si="4"/>
        <v>76</v>
      </c>
      <c r="B146" t="s">
        <v>478</v>
      </c>
      <c r="C146" s="653"/>
      <c r="D146" s="654"/>
      <c r="E146" s="696">
        <v>62997</v>
      </c>
      <c r="F146" s="904">
        <v>0</v>
      </c>
      <c r="G146" s="905">
        <v>2092</v>
      </c>
      <c r="H146" s="393">
        <f t="shared" si="6"/>
        <v>1.01</v>
      </c>
      <c r="I146" s="544"/>
    </row>
    <row r="147" spans="1:9" ht="19.5" customHeight="1">
      <c r="A147" s="474">
        <f t="shared" si="4"/>
        <v>77</v>
      </c>
      <c r="B147" t="s">
        <v>478</v>
      </c>
      <c r="C147" s="653"/>
      <c r="D147" s="654"/>
      <c r="E147" s="696">
        <v>72150</v>
      </c>
      <c r="F147" s="904">
        <v>755</v>
      </c>
      <c r="G147" s="905">
        <v>2103</v>
      </c>
      <c r="H147" s="393">
        <f t="shared" si="6"/>
        <v>1.01</v>
      </c>
      <c r="I147" s="544"/>
    </row>
    <row r="148" spans="1:9" ht="19.5" customHeight="1">
      <c r="A148" s="474">
        <f t="shared" si="4"/>
        <v>78</v>
      </c>
      <c r="B148" t="s">
        <v>478</v>
      </c>
      <c r="C148" s="653"/>
      <c r="D148" s="654"/>
      <c r="E148" s="696">
        <v>24725.062541360665</v>
      </c>
      <c r="F148" s="904">
        <v>0</v>
      </c>
      <c r="G148" s="905">
        <v>720</v>
      </c>
      <c r="H148" s="393">
        <f t="shared" si="6"/>
        <v>0.35</v>
      </c>
      <c r="I148" s="544"/>
    </row>
    <row r="149" spans="1:9" ht="19.5" customHeight="1">
      <c r="A149" s="474">
        <f t="shared" si="4"/>
        <v>79</v>
      </c>
      <c r="B149" t="s">
        <v>478</v>
      </c>
      <c r="C149" s="653"/>
      <c r="D149" s="654"/>
      <c r="E149" s="696">
        <v>65439</v>
      </c>
      <c r="F149" s="904">
        <v>923</v>
      </c>
      <c r="G149" s="905">
        <v>1962</v>
      </c>
      <c r="H149" s="393">
        <f t="shared" si="6"/>
        <v>0.94</v>
      </c>
      <c r="I149" s="544"/>
    </row>
    <row r="150" spans="1:9" ht="19.5" customHeight="1">
      <c r="A150" s="474">
        <f t="shared" si="4"/>
        <v>80</v>
      </c>
      <c r="B150" t="s">
        <v>478</v>
      </c>
      <c r="C150" s="653"/>
      <c r="D150" s="654"/>
      <c r="E150" s="696">
        <v>68795</v>
      </c>
      <c r="F150" s="904">
        <v>688</v>
      </c>
      <c r="G150" s="905">
        <v>2125</v>
      </c>
      <c r="H150" s="393">
        <f t="shared" si="6"/>
        <v>1.02</v>
      </c>
      <c r="I150" s="544"/>
    </row>
    <row r="151" spans="1:9" ht="19.5" customHeight="1">
      <c r="A151" s="474">
        <f aca="true" t="shared" si="7" ref="A151:A214">+A150+1</f>
        <v>81</v>
      </c>
      <c r="B151" t="s">
        <v>478</v>
      </c>
      <c r="C151" s="653"/>
      <c r="D151" s="654"/>
      <c r="E151" s="696">
        <v>68776.60576724474</v>
      </c>
      <c r="F151" s="904">
        <v>944</v>
      </c>
      <c r="G151" s="905">
        <v>2084</v>
      </c>
      <c r="H151" s="393">
        <f t="shared" si="6"/>
        <v>1</v>
      </c>
      <c r="I151" s="544"/>
    </row>
    <row r="152" spans="1:9" ht="19.5" customHeight="1">
      <c r="A152" s="474">
        <f t="shared" si="7"/>
        <v>82</v>
      </c>
      <c r="B152" t="s">
        <v>478</v>
      </c>
      <c r="C152" s="653"/>
      <c r="D152" s="654"/>
      <c r="E152" s="696">
        <v>51512</v>
      </c>
      <c r="F152" s="904">
        <v>0</v>
      </c>
      <c r="G152" s="905">
        <v>1768</v>
      </c>
      <c r="H152" s="393">
        <f t="shared" si="6"/>
        <v>0.85</v>
      </c>
      <c r="I152" s="544"/>
    </row>
    <row r="153" spans="1:9" ht="19.5" customHeight="1">
      <c r="A153" s="474">
        <f t="shared" si="7"/>
        <v>83</v>
      </c>
      <c r="B153" t="s">
        <v>478</v>
      </c>
      <c r="C153" s="653"/>
      <c r="D153" s="654"/>
      <c r="E153" s="696">
        <v>58047</v>
      </c>
      <c r="F153" s="904">
        <v>743</v>
      </c>
      <c r="G153" s="905">
        <v>1750</v>
      </c>
      <c r="H153" s="393">
        <f t="shared" si="6"/>
        <v>0.84</v>
      </c>
      <c r="I153" s="544"/>
    </row>
    <row r="154" spans="1:9" ht="19.5" customHeight="1">
      <c r="A154" s="474">
        <f t="shared" si="7"/>
        <v>84</v>
      </c>
      <c r="B154" t="s">
        <v>478</v>
      </c>
      <c r="C154" s="653"/>
      <c r="D154" s="654"/>
      <c r="E154" s="696">
        <v>66190</v>
      </c>
      <c r="F154" s="904">
        <v>1020</v>
      </c>
      <c r="G154" s="905">
        <v>2080</v>
      </c>
      <c r="H154" s="393">
        <f t="shared" si="6"/>
        <v>1</v>
      </c>
      <c r="I154" s="544"/>
    </row>
    <row r="155" spans="1:9" ht="19.5" customHeight="1">
      <c r="A155" s="474">
        <f t="shared" si="7"/>
        <v>85</v>
      </c>
      <c r="B155" t="s">
        <v>478</v>
      </c>
      <c r="C155" s="653"/>
      <c r="D155" s="654"/>
      <c r="E155" s="696">
        <v>94087</v>
      </c>
      <c r="F155" s="904">
        <v>1601</v>
      </c>
      <c r="G155" s="905">
        <v>2100</v>
      </c>
      <c r="H155" s="393">
        <f t="shared" si="6"/>
        <v>1.01</v>
      </c>
      <c r="I155" s="544"/>
    </row>
    <row r="156" spans="1:9" ht="19.5" customHeight="1">
      <c r="A156" s="474">
        <f t="shared" si="7"/>
        <v>86</v>
      </c>
      <c r="B156" t="s">
        <v>478</v>
      </c>
      <c r="C156" s="653"/>
      <c r="D156" s="654"/>
      <c r="E156" s="696">
        <v>53034</v>
      </c>
      <c r="F156" s="904">
        <v>670</v>
      </c>
      <c r="G156" s="905">
        <v>1554</v>
      </c>
      <c r="H156" s="393">
        <f t="shared" si="6"/>
        <v>0.75</v>
      </c>
      <c r="I156" s="544"/>
    </row>
    <row r="157" spans="1:9" ht="19.5" customHeight="1">
      <c r="A157" s="474">
        <f t="shared" si="7"/>
        <v>87</v>
      </c>
      <c r="B157" t="s">
        <v>478</v>
      </c>
      <c r="C157" s="653"/>
      <c r="D157" s="654"/>
      <c r="E157" s="696">
        <v>56335.17273994894</v>
      </c>
      <c r="F157" s="904">
        <v>1154</v>
      </c>
      <c r="G157" s="905">
        <v>1672</v>
      </c>
      <c r="H157" s="393">
        <f t="shared" si="6"/>
        <v>0.8</v>
      </c>
      <c r="I157" s="544"/>
    </row>
    <row r="158" spans="1:9" ht="19.5" customHeight="1">
      <c r="A158" s="474">
        <f t="shared" si="7"/>
        <v>88</v>
      </c>
      <c r="B158" t="s">
        <v>478</v>
      </c>
      <c r="C158" s="647"/>
      <c r="D158" s="648"/>
      <c r="E158" s="696">
        <v>53413.25218212172</v>
      </c>
      <c r="F158" s="904">
        <v>0</v>
      </c>
      <c r="G158" s="905">
        <v>1672</v>
      </c>
      <c r="H158" s="393">
        <f t="shared" si="6"/>
        <v>0.8</v>
      </c>
      <c r="I158" s="544"/>
    </row>
    <row r="159" spans="1:9" ht="19.5" customHeight="1">
      <c r="A159" s="474">
        <f t="shared" si="7"/>
        <v>89</v>
      </c>
      <c r="B159" t="s">
        <v>478</v>
      </c>
      <c r="C159" s="653"/>
      <c r="D159" s="654"/>
      <c r="E159" s="696">
        <v>70891.01850857389</v>
      </c>
      <c r="F159" s="904">
        <v>630</v>
      </c>
      <c r="G159" s="905">
        <v>2080</v>
      </c>
      <c r="H159" s="393">
        <f t="shared" si="6"/>
        <v>1</v>
      </c>
      <c r="I159" s="544"/>
    </row>
    <row r="160" spans="1:9" ht="19.5" customHeight="1">
      <c r="A160" s="474">
        <f t="shared" si="7"/>
        <v>90</v>
      </c>
      <c r="B160" t="s">
        <v>478</v>
      </c>
      <c r="C160" s="653"/>
      <c r="D160" s="654"/>
      <c r="E160" s="696">
        <v>70614</v>
      </c>
      <c r="F160" s="904">
        <v>1100</v>
      </c>
      <c r="G160" s="905">
        <v>2092</v>
      </c>
      <c r="H160" s="393">
        <f t="shared" si="6"/>
        <v>1.01</v>
      </c>
      <c r="I160" s="544"/>
    </row>
    <row r="161" spans="1:9" ht="19.5" customHeight="1">
      <c r="A161" s="474">
        <f t="shared" si="7"/>
        <v>91</v>
      </c>
      <c r="B161" t="s">
        <v>478</v>
      </c>
      <c r="C161" s="653"/>
      <c r="D161" s="654"/>
      <c r="E161" s="696">
        <v>67864</v>
      </c>
      <c r="F161" s="904">
        <v>894</v>
      </c>
      <c r="G161" s="905">
        <v>2056</v>
      </c>
      <c r="H161" s="393">
        <f t="shared" si="6"/>
        <v>0.99</v>
      </c>
      <c r="I161" s="544"/>
    </row>
    <row r="162" spans="1:9" ht="19.5" customHeight="1">
      <c r="A162" s="474">
        <f t="shared" si="7"/>
        <v>92</v>
      </c>
      <c r="B162" t="s">
        <v>478</v>
      </c>
      <c r="C162" s="588"/>
      <c r="D162" s="589"/>
      <c r="E162" s="696">
        <v>69615.77250018489</v>
      </c>
      <c r="F162" s="904">
        <v>1288</v>
      </c>
      <c r="G162" s="905">
        <v>2114.5</v>
      </c>
      <c r="H162" s="393">
        <f t="shared" si="6"/>
        <v>1.02</v>
      </c>
      <c r="I162" s="544"/>
    </row>
    <row r="163" spans="1:9" ht="19.5" customHeight="1">
      <c r="A163" s="474">
        <f t="shared" si="7"/>
        <v>93</v>
      </c>
      <c r="B163" t="s">
        <v>482</v>
      </c>
      <c r="C163" s="588"/>
      <c r="D163" s="589"/>
      <c r="E163" s="696">
        <v>85045</v>
      </c>
      <c r="F163" s="904">
        <v>610</v>
      </c>
      <c r="G163" s="905">
        <v>2581</v>
      </c>
      <c r="H163" s="393">
        <f t="shared" si="6"/>
        <v>1.24</v>
      </c>
      <c r="I163" s="544"/>
    </row>
    <row r="164" spans="1:9" ht="19.5" customHeight="1">
      <c r="A164" s="474">
        <f t="shared" si="7"/>
        <v>94</v>
      </c>
      <c r="B164" t="s">
        <v>482</v>
      </c>
      <c r="C164" s="588"/>
      <c r="D164" s="589"/>
      <c r="E164" s="696">
        <v>75495</v>
      </c>
      <c r="F164" s="904">
        <v>1008</v>
      </c>
      <c r="G164" s="905">
        <v>2087</v>
      </c>
      <c r="H164" s="393">
        <f t="shared" si="6"/>
        <v>1</v>
      </c>
      <c r="I164" s="544"/>
    </row>
    <row r="165" spans="1:9" ht="19.5" customHeight="1">
      <c r="A165" s="474">
        <f t="shared" si="7"/>
        <v>95</v>
      </c>
      <c r="B165" t="s">
        <v>482</v>
      </c>
      <c r="C165" s="588"/>
      <c r="D165" s="589"/>
      <c r="E165" s="696">
        <v>73853</v>
      </c>
      <c r="F165" s="904">
        <v>875</v>
      </c>
      <c r="G165" s="905">
        <v>2083</v>
      </c>
      <c r="H165" s="393">
        <f t="shared" si="6"/>
        <v>1</v>
      </c>
      <c r="I165" s="544"/>
    </row>
    <row r="166" spans="1:9" ht="19.5" customHeight="1">
      <c r="A166" s="474">
        <f t="shared" si="7"/>
        <v>96</v>
      </c>
      <c r="B166" t="s">
        <v>482</v>
      </c>
      <c r="C166" s="588"/>
      <c r="D166" s="589"/>
      <c r="E166" s="696">
        <v>92189</v>
      </c>
      <c r="F166" s="904">
        <v>1575</v>
      </c>
      <c r="G166" s="905">
        <v>2129</v>
      </c>
      <c r="H166" s="393">
        <f t="shared" si="6"/>
        <v>1.02</v>
      </c>
      <c r="I166" s="544"/>
    </row>
    <row r="167" spans="1:9" ht="19.5" customHeight="1">
      <c r="A167" s="474">
        <f t="shared" si="7"/>
        <v>97</v>
      </c>
      <c r="B167" t="s">
        <v>482</v>
      </c>
      <c r="C167" s="588"/>
      <c r="D167" s="589"/>
      <c r="E167" s="696">
        <v>73454.37853697294</v>
      </c>
      <c r="F167" s="904">
        <v>1582</v>
      </c>
      <c r="G167" s="905">
        <v>2144.25</v>
      </c>
      <c r="H167" s="393">
        <f aca="true" t="shared" si="8" ref="H167:H198">ROUND(G167/2080,2)</f>
        <v>1.03</v>
      </c>
      <c r="I167" s="544"/>
    </row>
    <row r="168" spans="1:9" ht="19.5" customHeight="1">
      <c r="A168" s="474">
        <f t="shared" si="7"/>
        <v>98</v>
      </c>
      <c r="B168" t="s">
        <v>482</v>
      </c>
      <c r="C168" s="588"/>
      <c r="D168" s="589"/>
      <c r="E168" s="696">
        <v>54543</v>
      </c>
      <c r="F168" s="904">
        <v>1177</v>
      </c>
      <c r="G168" s="905">
        <v>1664</v>
      </c>
      <c r="H168" s="393">
        <f t="shared" si="8"/>
        <v>0.8</v>
      </c>
      <c r="I168" s="544"/>
    </row>
    <row r="169" spans="1:9" ht="19.5" customHeight="1">
      <c r="A169" s="474">
        <f t="shared" si="7"/>
        <v>99</v>
      </c>
      <c r="B169" t="s">
        <v>482</v>
      </c>
      <c r="C169" s="588"/>
      <c r="D169" s="589"/>
      <c r="E169" s="696">
        <v>46208</v>
      </c>
      <c r="F169" s="904">
        <v>0</v>
      </c>
      <c r="G169" s="905">
        <v>1252</v>
      </c>
      <c r="H169" s="393">
        <f t="shared" si="8"/>
        <v>0.6</v>
      </c>
      <c r="I169" s="544"/>
    </row>
    <row r="170" spans="1:9" ht="19.5" customHeight="1">
      <c r="A170" s="474">
        <f t="shared" si="7"/>
        <v>100</v>
      </c>
      <c r="B170" t="s">
        <v>482</v>
      </c>
      <c r="C170" s="588"/>
      <c r="D170" s="589"/>
      <c r="E170" s="696">
        <v>58392.90209052272</v>
      </c>
      <c r="F170" s="904">
        <v>1054</v>
      </c>
      <c r="G170" s="905">
        <v>2080</v>
      </c>
      <c r="H170" s="393">
        <f t="shared" si="8"/>
        <v>1</v>
      </c>
      <c r="I170" s="544"/>
    </row>
    <row r="171" spans="1:9" ht="19.5" customHeight="1">
      <c r="A171" s="474">
        <f t="shared" si="7"/>
        <v>101</v>
      </c>
      <c r="B171" t="s">
        <v>482</v>
      </c>
      <c r="C171" s="588"/>
      <c r="D171" s="589"/>
      <c r="E171" s="696">
        <v>74213.97205163211</v>
      </c>
      <c r="F171" s="904">
        <v>1586</v>
      </c>
      <c r="G171" s="905">
        <v>2085</v>
      </c>
      <c r="H171" s="393">
        <f t="shared" si="8"/>
        <v>1</v>
      </c>
      <c r="I171" s="544"/>
    </row>
    <row r="172" spans="1:9" ht="19.5" customHeight="1">
      <c r="A172" s="474">
        <f t="shared" si="7"/>
        <v>102</v>
      </c>
      <c r="B172" t="s">
        <v>482</v>
      </c>
      <c r="C172" s="588"/>
      <c r="D172" s="589"/>
      <c r="E172" s="696">
        <v>63029</v>
      </c>
      <c r="F172" s="904">
        <v>1025</v>
      </c>
      <c r="G172" s="905">
        <v>2100.75</v>
      </c>
      <c r="H172" s="393">
        <f t="shared" si="8"/>
        <v>1.01</v>
      </c>
      <c r="I172" s="544"/>
    </row>
    <row r="173" spans="1:9" ht="19.5" customHeight="1">
      <c r="A173" s="474">
        <f t="shared" si="7"/>
        <v>103</v>
      </c>
      <c r="B173" t="s">
        <v>482</v>
      </c>
      <c r="C173" s="588"/>
      <c r="D173" s="589"/>
      <c r="E173" s="696">
        <v>71810.0090051927</v>
      </c>
      <c r="F173" s="904">
        <v>283</v>
      </c>
      <c r="G173" s="905">
        <v>2080</v>
      </c>
      <c r="H173" s="393">
        <f t="shared" si="8"/>
        <v>1</v>
      </c>
      <c r="I173" s="544"/>
    </row>
    <row r="174" spans="1:9" ht="19.5" customHeight="1">
      <c r="A174" s="474">
        <f t="shared" si="7"/>
        <v>104</v>
      </c>
      <c r="B174" t="s">
        <v>482</v>
      </c>
      <c r="C174" s="588"/>
      <c r="D174" s="589"/>
      <c r="E174" s="696">
        <v>61109.82640402518</v>
      </c>
      <c r="F174" s="904">
        <v>982</v>
      </c>
      <c r="G174" s="905">
        <v>2080</v>
      </c>
      <c r="H174" s="393">
        <f t="shared" si="8"/>
        <v>1</v>
      </c>
      <c r="I174" s="544"/>
    </row>
    <row r="175" spans="1:9" ht="19.5" customHeight="1">
      <c r="A175" s="474">
        <f t="shared" si="7"/>
        <v>105</v>
      </c>
      <c r="B175" t="s">
        <v>482</v>
      </c>
      <c r="C175" s="632"/>
      <c r="D175" s="633"/>
      <c r="E175" s="696">
        <v>66178.35979768237</v>
      </c>
      <c r="F175" s="904">
        <v>718</v>
      </c>
      <c r="G175" s="905">
        <v>2080</v>
      </c>
      <c r="H175" s="393">
        <f t="shared" si="8"/>
        <v>1</v>
      </c>
      <c r="I175" s="544"/>
    </row>
    <row r="176" spans="1:9" ht="19.5" customHeight="1">
      <c r="A176" s="474">
        <f t="shared" si="7"/>
        <v>106</v>
      </c>
      <c r="B176" t="s">
        <v>482</v>
      </c>
      <c r="C176" s="627"/>
      <c r="D176" s="625"/>
      <c r="E176" s="696">
        <v>71853.59388256096</v>
      </c>
      <c r="F176" s="904">
        <v>835</v>
      </c>
      <c r="G176" s="905">
        <v>2111</v>
      </c>
      <c r="H176" s="393">
        <f t="shared" si="8"/>
        <v>1.01</v>
      </c>
      <c r="I176" s="544"/>
    </row>
    <row r="177" spans="1:9" ht="19.5" customHeight="1">
      <c r="A177" s="474">
        <f t="shared" si="7"/>
        <v>107</v>
      </c>
      <c r="B177" t="s">
        <v>482</v>
      </c>
      <c r="C177" s="632"/>
      <c r="D177" s="633"/>
      <c r="E177" s="696">
        <v>66491.70189374975</v>
      </c>
      <c r="F177" s="904">
        <v>1049</v>
      </c>
      <c r="G177" s="905">
        <v>2080</v>
      </c>
      <c r="H177" s="393">
        <f t="shared" si="8"/>
        <v>1</v>
      </c>
      <c r="I177" s="544"/>
    </row>
    <row r="178" spans="1:9" ht="19.5" customHeight="1">
      <c r="A178" s="474">
        <f t="shared" si="7"/>
        <v>108</v>
      </c>
      <c r="B178" t="s">
        <v>482</v>
      </c>
      <c r="C178" s="644"/>
      <c r="D178" s="645"/>
      <c r="E178" s="696">
        <v>68576.35986365864</v>
      </c>
      <c r="F178" s="904">
        <v>879</v>
      </c>
      <c r="G178" s="905">
        <v>2056</v>
      </c>
      <c r="H178" s="393">
        <f t="shared" si="8"/>
        <v>0.99</v>
      </c>
      <c r="I178" s="544"/>
    </row>
    <row r="179" spans="1:9" ht="19.5" customHeight="1">
      <c r="A179" s="474">
        <f t="shared" si="7"/>
        <v>109</v>
      </c>
      <c r="B179" t="s">
        <v>482</v>
      </c>
      <c r="C179" s="653"/>
      <c r="D179" s="654"/>
      <c r="E179" s="696">
        <v>68929</v>
      </c>
      <c r="F179" s="904">
        <v>666</v>
      </c>
      <c r="G179" s="905">
        <v>2104</v>
      </c>
      <c r="H179" s="393">
        <f t="shared" si="8"/>
        <v>1.01</v>
      </c>
      <c r="I179" s="544"/>
    </row>
    <row r="180" spans="1:9" ht="19.5" customHeight="1">
      <c r="A180" s="474">
        <f t="shared" si="7"/>
        <v>110</v>
      </c>
      <c r="B180" t="s">
        <v>482</v>
      </c>
      <c r="C180" s="653"/>
      <c r="D180" s="654"/>
      <c r="E180" s="696">
        <v>74288.52434014504</v>
      </c>
      <c r="F180" s="904">
        <v>1141</v>
      </c>
      <c r="G180" s="905">
        <v>2080</v>
      </c>
      <c r="H180" s="393">
        <f t="shared" si="8"/>
        <v>1</v>
      </c>
      <c r="I180" s="544"/>
    </row>
    <row r="181" spans="1:9" ht="19.5" customHeight="1">
      <c r="A181" s="474">
        <f t="shared" si="7"/>
        <v>111</v>
      </c>
      <c r="B181" t="s">
        <v>482</v>
      </c>
      <c r="C181" s="653"/>
      <c r="D181" s="654"/>
      <c r="E181" s="696">
        <v>62011.79985723826</v>
      </c>
      <c r="F181" s="904">
        <v>964</v>
      </c>
      <c r="G181" s="905">
        <v>2080</v>
      </c>
      <c r="H181" s="393">
        <f t="shared" si="8"/>
        <v>1</v>
      </c>
      <c r="I181" s="544"/>
    </row>
    <row r="182" spans="1:9" ht="19.5" customHeight="1">
      <c r="A182" s="474">
        <f t="shared" si="7"/>
        <v>112</v>
      </c>
      <c r="B182" t="s">
        <v>482</v>
      </c>
      <c r="C182" s="653"/>
      <c r="D182" s="654"/>
      <c r="E182" s="696">
        <v>68498</v>
      </c>
      <c r="F182" s="904">
        <v>965</v>
      </c>
      <c r="G182" s="905">
        <v>2136</v>
      </c>
      <c r="H182" s="393">
        <f t="shared" si="8"/>
        <v>1.03</v>
      </c>
      <c r="I182" s="544"/>
    </row>
    <row r="183" spans="1:9" ht="19.5" customHeight="1">
      <c r="A183" s="474">
        <f t="shared" si="7"/>
        <v>113</v>
      </c>
      <c r="B183" t="s">
        <v>681</v>
      </c>
      <c r="C183" s="644"/>
      <c r="D183" s="645"/>
      <c r="E183" s="696">
        <v>22452.355217821343</v>
      </c>
      <c r="F183" s="904">
        <v>1222</v>
      </c>
      <c r="G183" s="905">
        <v>640</v>
      </c>
      <c r="H183" s="393">
        <f t="shared" si="8"/>
        <v>0.31</v>
      </c>
      <c r="I183" s="544"/>
    </row>
    <row r="184" spans="1:9" ht="19.5" customHeight="1">
      <c r="A184" s="474">
        <f t="shared" si="7"/>
        <v>114</v>
      </c>
      <c r="B184" t="s">
        <v>481</v>
      </c>
      <c r="C184" s="644"/>
      <c r="D184" s="645"/>
      <c r="E184" s="696">
        <v>97876</v>
      </c>
      <c r="F184" s="904">
        <v>707</v>
      </c>
      <c r="G184" s="905">
        <v>2089</v>
      </c>
      <c r="H184" s="393">
        <f t="shared" si="8"/>
        <v>1</v>
      </c>
      <c r="I184" s="544"/>
    </row>
    <row r="185" spans="1:9" ht="19.5" customHeight="1">
      <c r="A185" s="474">
        <f t="shared" si="7"/>
        <v>115</v>
      </c>
      <c r="B185" t="s">
        <v>481</v>
      </c>
      <c r="C185" s="668"/>
      <c r="D185" s="669"/>
      <c r="E185" s="696">
        <v>71254</v>
      </c>
      <c r="F185" s="904">
        <v>899</v>
      </c>
      <c r="G185" s="905">
        <v>2084</v>
      </c>
      <c r="H185" s="393">
        <f t="shared" si="8"/>
        <v>1</v>
      </c>
      <c r="I185" s="544"/>
    </row>
    <row r="186" spans="1:9" ht="19.5" customHeight="1">
      <c r="A186" s="474">
        <f t="shared" si="7"/>
        <v>116</v>
      </c>
      <c r="B186" t="s">
        <v>481</v>
      </c>
      <c r="C186" s="644"/>
      <c r="D186" s="645"/>
      <c r="E186" s="696">
        <v>40369</v>
      </c>
      <c r="F186" s="904">
        <v>784</v>
      </c>
      <c r="G186" s="905">
        <v>1216</v>
      </c>
      <c r="H186" s="393">
        <f t="shared" si="8"/>
        <v>0.58</v>
      </c>
      <c r="I186" s="544"/>
    </row>
    <row r="187" spans="1:9" ht="19.5" customHeight="1">
      <c r="A187" s="474">
        <f t="shared" si="7"/>
        <v>117</v>
      </c>
      <c r="B187" t="s">
        <v>481</v>
      </c>
      <c r="C187" s="653"/>
      <c r="D187" s="654"/>
      <c r="E187" s="696">
        <v>92690</v>
      </c>
      <c r="F187" s="904">
        <v>1444</v>
      </c>
      <c r="G187" s="905">
        <v>2089</v>
      </c>
      <c r="H187" s="393">
        <f t="shared" si="8"/>
        <v>1</v>
      </c>
      <c r="I187" s="544"/>
    </row>
    <row r="188" spans="1:9" ht="19.5" customHeight="1">
      <c r="A188" s="474">
        <f t="shared" si="7"/>
        <v>118</v>
      </c>
      <c r="B188" t="s">
        <v>481</v>
      </c>
      <c r="C188" s="542"/>
      <c r="D188" s="543"/>
      <c r="E188" s="696">
        <v>96349</v>
      </c>
      <c r="F188" s="904">
        <v>1282</v>
      </c>
      <c r="G188" s="905">
        <v>2094</v>
      </c>
      <c r="H188" s="393">
        <f t="shared" si="8"/>
        <v>1.01</v>
      </c>
      <c r="I188" s="544"/>
    </row>
    <row r="189" spans="1:9" ht="19.5" customHeight="1">
      <c r="A189" s="474">
        <f t="shared" si="7"/>
        <v>119</v>
      </c>
      <c r="B189" t="s">
        <v>481</v>
      </c>
      <c r="C189" s="640"/>
      <c r="D189" s="641"/>
      <c r="E189" s="696">
        <v>57114</v>
      </c>
      <c r="F189" s="904">
        <v>1061</v>
      </c>
      <c r="G189" s="905">
        <v>1664</v>
      </c>
      <c r="H189" s="346">
        <f t="shared" si="8"/>
        <v>0.8</v>
      </c>
      <c r="I189" s="649"/>
    </row>
    <row r="190" spans="1:9" ht="19.5" customHeight="1">
      <c r="A190" s="474">
        <f t="shared" si="7"/>
        <v>120</v>
      </c>
      <c r="B190" t="s">
        <v>481</v>
      </c>
      <c r="C190" s="644"/>
      <c r="D190" s="645"/>
      <c r="E190" s="696">
        <v>73959.39788402816</v>
      </c>
      <c r="F190" s="904">
        <v>195</v>
      </c>
      <c r="G190" s="905">
        <v>1964</v>
      </c>
      <c r="H190" s="393">
        <f t="shared" si="8"/>
        <v>0.94</v>
      </c>
      <c r="I190" s="544"/>
    </row>
    <row r="191" spans="1:9" ht="19.5" customHeight="1">
      <c r="A191" s="474">
        <f t="shared" si="7"/>
        <v>121</v>
      </c>
      <c r="B191" t="s">
        <v>481</v>
      </c>
      <c r="C191" s="644"/>
      <c r="D191" s="645"/>
      <c r="E191" s="696">
        <v>76460.46230476545</v>
      </c>
      <c r="F191" s="904">
        <v>844</v>
      </c>
      <c r="G191" s="905">
        <v>2084</v>
      </c>
      <c r="H191" s="393">
        <f t="shared" si="8"/>
        <v>1</v>
      </c>
      <c r="I191" s="544"/>
    </row>
    <row r="192" spans="1:9" ht="19.5" customHeight="1">
      <c r="A192" s="474">
        <f t="shared" si="7"/>
        <v>122</v>
      </c>
      <c r="B192" t="s">
        <v>481</v>
      </c>
      <c r="C192" s="644"/>
      <c r="D192" s="645"/>
      <c r="E192" s="696">
        <v>71861.14030993696</v>
      </c>
      <c r="F192" s="904">
        <v>1239</v>
      </c>
      <c r="G192" s="905">
        <v>2080</v>
      </c>
      <c r="H192" s="393">
        <f t="shared" si="8"/>
        <v>1</v>
      </c>
      <c r="I192" s="544"/>
    </row>
    <row r="193" spans="1:9" ht="19.5" customHeight="1">
      <c r="A193" s="474">
        <f t="shared" si="7"/>
        <v>123</v>
      </c>
      <c r="B193" t="s">
        <v>481</v>
      </c>
      <c r="C193" s="644"/>
      <c r="D193" s="645"/>
      <c r="E193" s="696">
        <v>65135.70009280306</v>
      </c>
      <c r="F193" s="904">
        <v>815</v>
      </c>
      <c r="G193" s="905">
        <v>1856</v>
      </c>
      <c r="H193" s="393">
        <f t="shared" si="8"/>
        <v>0.89</v>
      </c>
      <c r="I193" s="544"/>
    </row>
    <row r="194" spans="1:9" ht="19.5" customHeight="1">
      <c r="A194" s="474">
        <f t="shared" si="7"/>
        <v>124</v>
      </c>
      <c r="B194" t="s">
        <v>481</v>
      </c>
      <c r="C194" s="644"/>
      <c r="D194" s="645"/>
      <c r="E194" s="696">
        <v>63857.477605090535</v>
      </c>
      <c r="F194" s="904">
        <v>1082</v>
      </c>
      <c r="G194" s="905">
        <v>1668</v>
      </c>
      <c r="H194" s="393">
        <f t="shared" si="8"/>
        <v>0.8</v>
      </c>
      <c r="I194" s="544"/>
    </row>
    <row r="195" spans="1:9" ht="19.5" customHeight="1">
      <c r="A195" s="474">
        <f t="shared" si="7"/>
        <v>125</v>
      </c>
      <c r="B195" t="s">
        <v>481</v>
      </c>
      <c r="C195" s="644"/>
      <c r="D195" s="645"/>
      <c r="E195" s="696">
        <v>89908</v>
      </c>
      <c r="F195" s="904">
        <v>1611</v>
      </c>
      <c r="G195" s="905">
        <v>2305</v>
      </c>
      <c r="H195" s="393">
        <f t="shared" si="8"/>
        <v>1.11</v>
      </c>
      <c r="I195" s="544"/>
    </row>
    <row r="196" spans="1:9" ht="19.5" customHeight="1">
      <c r="A196" s="474">
        <f t="shared" si="7"/>
        <v>126</v>
      </c>
      <c r="B196" t="s">
        <v>481</v>
      </c>
      <c r="C196" s="644"/>
      <c r="D196" s="645"/>
      <c r="E196" s="696">
        <v>70450</v>
      </c>
      <c r="F196" s="904">
        <v>1097</v>
      </c>
      <c r="G196" s="905">
        <v>2137</v>
      </c>
      <c r="H196" s="393">
        <f t="shared" si="8"/>
        <v>1.03</v>
      </c>
      <c r="I196" s="544"/>
    </row>
    <row r="197" spans="1:9" ht="19.5" customHeight="1">
      <c r="A197" s="474">
        <f t="shared" si="7"/>
        <v>127</v>
      </c>
      <c r="B197" t="s">
        <v>481</v>
      </c>
      <c r="C197" s="644"/>
      <c r="D197" s="645"/>
      <c r="E197" s="696">
        <v>68899</v>
      </c>
      <c r="F197" s="904">
        <v>593</v>
      </c>
      <c r="G197" s="905">
        <v>2134</v>
      </c>
      <c r="H197" s="393">
        <f t="shared" si="8"/>
        <v>1.03</v>
      </c>
      <c r="I197" s="544"/>
    </row>
    <row r="198" spans="1:9" ht="19.5" customHeight="1">
      <c r="A198" s="474">
        <f t="shared" si="7"/>
        <v>128</v>
      </c>
      <c r="B198" t="s">
        <v>481</v>
      </c>
      <c r="C198" s="644"/>
      <c r="D198" s="645"/>
      <c r="E198" s="696">
        <v>61134</v>
      </c>
      <c r="F198" s="904">
        <v>996</v>
      </c>
      <c r="G198" s="905">
        <v>1683</v>
      </c>
      <c r="H198" s="393">
        <f t="shared" si="8"/>
        <v>0.81</v>
      </c>
      <c r="I198" s="544"/>
    </row>
    <row r="199" spans="1:9" ht="19.5" customHeight="1">
      <c r="A199" s="474">
        <f t="shared" si="7"/>
        <v>129</v>
      </c>
      <c r="B199" t="s">
        <v>481</v>
      </c>
      <c r="C199" s="542"/>
      <c r="D199" s="543"/>
      <c r="E199" s="696">
        <v>19992</v>
      </c>
      <c r="F199" s="904">
        <v>0</v>
      </c>
      <c r="G199" s="905">
        <v>650</v>
      </c>
      <c r="H199" s="393">
        <f aca="true" t="shared" si="9" ref="H199:H230">ROUND(G199/2080,2)</f>
        <v>0.31</v>
      </c>
      <c r="I199" s="544"/>
    </row>
    <row r="200" spans="1:9" ht="19.5" customHeight="1">
      <c r="A200" s="474">
        <f t="shared" si="7"/>
        <v>130</v>
      </c>
      <c r="B200" t="s">
        <v>481</v>
      </c>
      <c r="C200" s="644"/>
      <c r="D200" s="645"/>
      <c r="E200" s="696">
        <v>10115.489817672224</v>
      </c>
      <c r="F200" s="904">
        <v>0</v>
      </c>
      <c r="G200" s="905">
        <v>334.4</v>
      </c>
      <c r="H200" s="393">
        <f t="shared" si="9"/>
        <v>0.16</v>
      </c>
      <c r="I200" s="544"/>
    </row>
    <row r="201" spans="1:9" ht="19.5" customHeight="1">
      <c r="A201" s="474">
        <f t="shared" si="7"/>
        <v>131</v>
      </c>
      <c r="B201" t="s">
        <v>481</v>
      </c>
      <c r="C201" s="644"/>
      <c r="D201" s="645"/>
      <c r="E201" s="696">
        <v>62063.97343083666</v>
      </c>
      <c r="F201" s="904">
        <v>1193</v>
      </c>
      <c r="G201" s="905">
        <v>2090</v>
      </c>
      <c r="H201" s="393">
        <f t="shared" si="9"/>
        <v>1</v>
      </c>
      <c r="I201" s="544"/>
    </row>
    <row r="202" spans="1:9" ht="19.5" customHeight="1">
      <c r="A202" s="474">
        <f t="shared" si="7"/>
        <v>132</v>
      </c>
      <c r="B202" t="s">
        <v>481</v>
      </c>
      <c r="C202" s="644"/>
      <c r="D202" s="645"/>
      <c r="E202" s="696">
        <v>67461.30256068587</v>
      </c>
      <c r="F202" s="904">
        <v>948</v>
      </c>
      <c r="G202" s="905">
        <v>2080</v>
      </c>
      <c r="H202" s="393">
        <f t="shared" si="9"/>
        <v>1</v>
      </c>
      <c r="I202" s="544"/>
    </row>
    <row r="203" spans="1:9" ht="19.5" customHeight="1">
      <c r="A203" s="474">
        <f t="shared" si="7"/>
        <v>133</v>
      </c>
      <c r="B203" t="s">
        <v>481</v>
      </c>
      <c r="C203" s="668"/>
      <c r="D203" s="669"/>
      <c r="E203" s="696">
        <v>53883.37556619777</v>
      </c>
      <c r="F203" s="904">
        <v>757</v>
      </c>
      <c r="G203" s="905">
        <v>1720</v>
      </c>
      <c r="H203" s="393">
        <f t="shared" si="9"/>
        <v>0.83</v>
      </c>
      <c r="I203" s="544"/>
    </row>
    <row r="204" spans="1:9" ht="19.5" customHeight="1">
      <c r="A204" s="474">
        <f t="shared" si="7"/>
        <v>134</v>
      </c>
      <c r="B204" t="s">
        <v>481</v>
      </c>
      <c r="C204" s="646"/>
      <c r="D204" s="479"/>
      <c r="E204" s="696">
        <v>26089.081795030896</v>
      </c>
      <c r="F204" s="904">
        <v>303</v>
      </c>
      <c r="G204" s="905">
        <v>842</v>
      </c>
      <c r="H204" s="393">
        <f t="shared" si="9"/>
        <v>0.4</v>
      </c>
      <c r="I204" s="544"/>
    </row>
    <row r="205" spans="1:9" ht="19.5" customHeight="1">
      <c r="A205" s="474">
        <f t="shared" si="7"/>
        <v>135</v>
      </c>
      <c r="B205" t="s">
        <v>481</v>
      </c>
      <c r="C205" s="646"/>
      <c r="D205" s="479"/>
      <c r="E205" s="696">
        <v>65018.34462856234</v>
      </c>
      <c r="F205" s="904">
        <v>1365</v>
      </c>
      <c r="G205" s="905">
        <v>2080</v>
      </c>
      <c r="H205" s="393">
        <f t="shared" si="9"/>
        <v>1</v>
      </c>
      <c r="I205" s="544"/>
    </row>
    <row r="206" spans="1:9" ht="19.5" customHeight="1">
      <c r="A206" s="474">
        <f t="shared" si="7"/>
        <v>136</v>
      </c>
      <c r="B206" t="s">
        <v>481</v>
      </c>
      <c r="C206" s="646"/>
      <c r="D206" s="479"/>
      <c r="E206" s="696">
        <v>58232.07198888867</v>
      </c>
      <c r="F206" s="904">
        <v>944</v>
      </c>
      <c r="G206" s="905">
        <v>1984</v>
      </c>
      <c r="H206" s="393">
        <f t="shared" si="9"/>
        <v>0.95</v>
      </c>
      <c r="I206" s="544"/>
    </row>
    <row r="207" spans="1:9" ht="19.5" customHeight="1">
      <c r="A207" s="474">
        <f t="shared" si="7"/>
        <v>137</v>
      </c>
      <c r="B207" t="s">
        <v>481</v>
      </c>
      <c r="C207" s="646"/>
      <c r="D207" s="479"/>
      <c r="E207" s="696">
        <v>68665</v>
      </c>
      <c r="F207" s="904">
        <v>0</v>
      </c>
      <c r="G207" s="905">
        <v>2136</v>
      </c>
      <c r="H207" s="393">
        <f t="shared" si="9"/>
        <v>1.03</v>
      </c>
      <c r="I207" s="544"/>
    </row>
    <row r="208" spans="1:9" ht="19.5" customHeight="1">
      <c r="A208" s="474">
        <f t="shared" si="7"/>
        <v>138</v>
      </c>
      <c r="B208" t="s">
        <v>481</v>
      </c>
      <c r="C208" s="646"/>
      <c r="D208" s="479"/>
      <c r="E208" s="696">
        <v>73794.58912148008</v>
      </c>
      <c r="F208" s="904">
        <v>868</v>
      </c>
      <c r="G208" s="905">
        <v>2080</v>
      </c>
      <c r="H208" s="393">
        <f t="shared" si="9"/>
        <v>1</v>
      </c>
      <c r="I208" s="544"/>
    </row>
    <row r="209" spans="1:9" ht="19.5" customHeight="1">
      <c r="A209" s="474">
        <f t="shared" si="7"/>
        <v>139</v>
      </c>
      <c r="B209" t="s">
        <v>481</v>
      </c>
      <c r="C209" s="646"/>
      <c r="D209" s="479"/>
      <c r="E209" s="696">
        <v>74783.24126045048</v>
      </c>
      <c r="F209" s="904">
        <v>1593</v>
      </c>
      <c r="G209" s="905">
        <v>2144</v>
      </c>
      <c r="H209" s="393">
        <f t="shared" si="9"/>
        <v>1.03</v>
      </c>
      <c r="I209" s="544"/>
    </row>
    <row r="210" spans="1:9" ht="19.5" customHeight="1">
      <c r="A210" s="474">
        <f t="shared" si="7"/>
        <v>140</v>
      </c>
      <c r="B210" t="s">
        <v>481</v>
      </c>
      <c r="C210" s="646"/>
      <c r="D210" s="479"/>
      <c r="E210" s="696">
        <v>65654</v>
      </c>
      <c r="F210" s="904">
        <v>743</v>
      </c>
      <c r="G210" s="905">
        <v>2080</v>
      </c>
      <c r="H210" s="393">
        <f t="shared" si="9"/>
        <v>1</v>
      </c>
      <c r="I210" s="544"/>
    </row>
    <row r="211" spans="1:9" ht="19.5" customHeight="1">
      <c r="A211" s="474">
        <f t="shared" si="7"/>
        <v>141</v>
      </c>
      <c r="B211" t="s">
        <v>481</v>
      </c>
      <c r="C211" s="646"/>
      <c r="D211" s="479"/>
      <c r="E211" s="696">
        <v>65277.34843879608</v>
      </c>
      <c r="F211" s="904">
        <v>932</v>
      </c>
      <c r="G211" s="905">
        <v>2080</v>
      </c>
      <c r="H211" s="393">
        <f t="shared" si="9"/>
        <v>1</v>
      </c>
      <c r="I211" s="544"/>
    </row>
    <row r="212" spans="1:9" ht="19.5" customHeight="1">
      <c r="A212" s="474">
        <f t="shared" si="7"/>
        <v>142</v>
      </c>
      <c r="B212" t="s">
        <v>481</v>
      </c>
      <c r="C212" s="646"/>
      <c r="D212" s="479"/>
      <c r="E212" s="696">
        <v>62909</v>
      </c>
      <c r="F212" s="904">
        <v>1017</v>
      </c>
      <c r="G212" s="905">
        <v>2088</v>
      </c>
      <c r="H212" s="393">
        <f t="shared" si="9"/>
        <v>1</v>
      </c>
      <c r="I212" s="544"/>
    </row>
    <row r="213" spans="1:9" ht="19.5" customHeight="1">
      <c r="A213" s="474">
        <f t="shared" si="7"/>
        <v>143</v>
      </c>
      <c r="B213" t="s">
        <v>899</v>
      </c>
      <c r="C213" s="646"/>
      <c r="D213" s="479"/>
      <c r="E213" s="696">
        <v>81343.44177695246</v>
      </c>
      <c r="F213" s="904">
        <v>0</v>
      </c>
      <c r="G213" s="905">
        <v>2160</v>
      </c>
      <c r="H213" s="393">
        <f t="shared" si="9"/>
        <v>1.04</v>
      </c>
      <c r="I213" s="544"/>
    </row>
    <row r="214" spans="1:9" ht="19.5" customHeight="1">
      <c r="A214" s="474">
        <f t="shared" si="7"/>
        <v>144</v>
      </c>
      <c r="B214" t="s">
        <v>481</v>
      </c>
      <c r="C214" s="646"/>
      <c r="D214" s="479"/>
      <c r="E214" s="696">
        <v>21335</v>
      </c>
      <c r="F214" s="904">
        <v>784</v>
      </c>
      <c r="G214" s="905">
        <v>720</v>
      </c>
      <c r="H214" s="393">
        <f t="shared" si="9"/>
        <v>0.35</v>
      </c>
      <c r="I214" s="544"/>
    </row>
    <row r="215" spans="1:9" ht="19.5" customHeight="1">
      <c r="A215" s="474">
        <f aca="true" t="shared" si="10" ref="A215:A247">+A214+1</f>
        <v>145</v>
      </c>
      <c r="B215" t="s">
        <v>481</v>
      </c>
      <c r="C215" s="646"/>
      <c r="D215" s="479"/>
      <c r="E215" s="696">
        <v>53662.825463589346</v>
      </c>
      <c r="F215" s="904">
        <v>875</v>
      </c>
      <c r="G215" s="905">
        <v>1760</v>
      </c>
      <c r="H215" s="393">
        <f t="shared" si="9"/>
        <v>0.85</v>
      </c>
      <c r="I215" s="544"/>
    </row>
    <row r="216" spans="1:9" ht="19.5" customHeight="1">
      <c r="A216" s="474">
        <f t="shared" si="10"/>
        <v>146</v>
      </c>
      <c r="B216" t="s">
        <v>481</v>
      </c>
      <c r="C216" s="646"/>
      <c r="D216" s="479"/>
      <c r="E216" s="696">
        <v>69368</v>
      </c>
      <c r="F216" s="904">
        <v>724</v>
      </c>
      <c r="G216" s="905">
        <v>2080</v>
      </c>
      <c r="H216" s="393">
        <f t="shared" si="9"/>
        <v>1</v>
      </c>
      <c r="I216" s="544"/>
    </row>
    <row r="217" spans="1:9" ht="19.5" customHeight="1">
      <c r="A217" s="474">
        <f t="shared" si="10"/>
        <v>147</v>
      </c>
      <c r="B217" t="s">
        <v>481</v>
      </c>
      <c r="C217" s="646"/>
      <c r="D217" s="479"/>
      <c r="E217" s="696">
        <v>50421</v>
      </c>
      <c r="F217" s="904">
        <v>547</v>
      </c>
      <c r="G217" s="905">
        <v>1640</v>
      </c>
      <c r="H217" s="393">
        <f t="shared" si="9"/>
        <v>0.79</v>
      </c>
      <c r="I217" s="544"/>
    </row>
    <row r="218" spans="1:9" ht="19.5" customHeight="1">
      <c r="A218" s="474">
        <f t="shared" si="10"/>
        <v>148</v>
      </c>
      <c r="B218" t="s">
        <v>481</v>
      </c>
      <c r="C218" s="647"/>
      <c r="D218" s="648"/>
      <c r="E218" s="696">
        <v>55314.56103005939</v>
      </c>
      <c r="F218" s="904">
        <v>1042</v>
      </c>
      <c r="G218" s="905">
        <v>1760</v>
      </c>
      <c r="H218" s="393">
        <f t="shared" si="9"/>
        <v>0.85</v>
      </c>
      <c r="I218" s="544"/>
    </row>
    <row r="219" spans="1:9" ht="19.5" customHeight="1">
      <c r="A219" s="474">
        <f t="shared" si="10"/>
        <v>149</v>
      </c>
      <c r="B219" t="s">
        <v>481</v>
      </c>
      <c r="C219" s="647"/>
      <c r="D219" s="648"/>
      <c r="E219" s="696">
        <v>56504.48129783814</v>
      </c>
      <c r="F219" s="904">
        <v>1017</v>
      </c>
      <c r="G219" s="905">
        <v>1760</v>
      </c>
      <c r="H219" s="393">
        <f t="shared" si="9"/>
        <v>0.85</v>
      </c>
      <c r="I219" s="544"/>
    </row>
    <row r="220" spans="1:9" ht="19.5" customHeight="1">
      <c r="A220" s="474">
        <f t="shared" si="10"/>
        <v>150</v>
      </c>
      <c r="B220" t="s">
        <v>481</v>
      </c>
      <c r="C220" s="647"/>
      <c r="D220" s="648"/>
      <c r="E220" s="696">
        <v>57549.706587588946</v>
      </c>
      <c r="F220" s="904">
        <v>836</v>
      </c>
      <c r="G220" s="905">
        <v>1752</v>
      </c>
      <c r="H220" s="393">
        <f t="shared" si="9"/>
        <v>0.84</v>
      </c>
      <c r="I220" s="544"/>
    </row>
    <row r="221" spans="1:9" ht="19.5" customHeight="1">
      <c r="A221" s="474">
        <f t="shared" si="10"/>
        <v>151</v>
      </c>
      <c r="B221" t="s">
        <v>481</v>
      </c>
      <c r="C221" s="647"/>
      <c r="D221" s="648"/>
      <c r="E221" s="696">
        <v>75301</v>
      </c>
      <c r="F221" s="904">
        <v>1439</v>
      </c>
      <c r="G221" s="905">
        <v>2095</v>
      </c>
      <c r="H221" s="393">
        <f t="shared" si="9"/>
        <v>1.01</v>
      </c>
      <c r="I221" s="544"/>
    </row>
    <row r="222" spans="1:9" ht="19.5" customHeight="1">
      <c r="A222" s="474">
        <f t="shared" si="10"/>
        <v>152</v>
      </c>
      <c r="B222" t="s">
        <v>481</v>
      </c>
      <c r="C222" s="647"/>
      <c r="D222" s="648"/>
      <c r="E222" s="696">
        <v>70932.54891368173</v>
      </c>
      <c r="F222" s="904">
        <v>1003</v>
      </c>
      <c r="G222" s="905">
        <v>2080</v>
      </c>
      <c r="H222" s="393">
        <f t="shared" si="9"/>
        <v>1</v>
      </c>
      <c r="I222" s="544"/>
    </row>
    <row r="223" spans="1:9" ht="19.5" customHeight="1">
      <c r="A223" s="474">
        <f t="shared" si="10"/>
        <v>153</v>
      </c>
      <c r="B223" t="s">
        <v>481</v>
      </c>
      <c r="C223" s="647"/>
      <c r="D223" s="648"/>
      <c r="E223" s="696">
        <v>74761.94490165362</v>
      </c>
      <c r="F223" s="904">
        <v>862</v>
      </c>
      <c r="G223" s="905">
        <v>2080</v>
      </c>
      <c r="H223" s="393">
        <f t="shared" si="9"/>
        <v>1</v>
      </c>
      <c r="I223" s="544"/>
    </row>
    <row r="224" spans="1:9" ht="19.5" customHeight="1">
      <c r="A224" s="474">
        <f t="shared" si="10"/>
        <v>154</v>
      </c>
      <c r="B224" t="s">
        <v>481</v>
      </c>
      <c r="C224" s="647"/>
      <c r="D224" s="648"/>
      <c r="E224" s="696">
        <v>51903.35537614686</v>
      </c>
      <c r="F224" s="904">
        <v>677</v>
      </c>
      <c r="G224" s="905">
        <v>1752</v>
      </c>
      <c r="H224" s="393">
        <f t="shared" si="9"/>
        <v>0.84</v>
      </c>
      <c r="I224" s="544"/>
    </row>
    <row r="225" spans="1:9" ht="19.5" customHeight="1">
      <c r="A225" s="474">
        <f t="shared" si="10"/>
        <v>155</v>
      </c>
      <c r="B225" t="s">
        <v>481</v>
      </c>
      <c r="C225" s="647"/>
      <c r="D225" s="648"/>
      <c r="E225" s="696">
        <v>71752</v>
      </c>
      <c r="F225" s="904">
        <v>1223</v>
      </c>
      <c r="G225" s="905">
        <v>2131</v>
      </c>
      <c r="H225" s="393">
        <f t="shared" si="9"/>
        <v>1.02</v>
      </c>
      <c r="I225" s="544"/>
    </row>
    <row r="226" spans="1:9" ht="19.5" customHeight="1">
      <c r="A226" s="474">
        <f t="shared" si="10"/>
        <v>156</v>
      </c>
      <c r="B226" t="s">
        <v>684</v>
      </c>
      <c r="C226" s="647"/>
      <c r="D226" s="648"/>
      <c r="E226" s="696">
        <v>69692</v>
      </c>
      <c r="F226" s="904">
        <v>1208</v>
      </c>
      <c r="G226" s="905">
        <v>2080</v>
      </c>
      <c r="H226" s="393">
        <f t="shared" si="9"/>
        <v>1</v>
      </c>
      <c r="I226" s="544"/>
    </row>
    <row r="227" spans="1:9" ht="19.5" customHeight="1">
      <c r="A227" s="474">
        <f t="shared" si="10"/>
        <v>157</v>
      </c>
      <c r="B227" t="s">
        <v>900</v>
      </c>
      <c r="C227" s="647"/>
      <c r="D227" s="648"/>
      <c r="E227" s="696">
        <v>8395</v>
      </c>
      <c r="F227" s="904">
        <v>0</v>
      </c>
      <c r="G227" s="905">
        <v>304</v>
      </c>
      <c r="H227" s="393">
        <f t="shared" si="9"/>
        <v>0.15</v>
      </c>
      <c r="I227" s="544"/>
    </row>
    <row r="228" spans="1:9" ht="19.5" customHeight="1">
      <c r="A228" s="474">
        <f t="shared" si="10"/>
        <v>158</v>
      </c>
      <c r="B228" t="s">
        <v>900</v>
      </c>
      <c r="C228" s="647"/>
      <c r="D228" s="648"/>
      <c r="E228" s="696">
        <v>44410</v>
      </c>
      <c r="F228" s="904">
        <v>70</v>
      </c>
      <c r="G228" s="905">
        <v>1672</v>
      </c>
      <c r="H228" s="393">
        <f t="shared" si="9"/>
        <v>0.8</v>
      </c>
      <c r="I228" s="544"/>
    </row>
    <row r="229" spans="1:9" ht="19.5" customHeight="1">
      <c r="A229" s="474">
        <f t="shared" si="10"/>
        <v>159</v>
      </c>
      <c r="B229" t="s">
        <v>682</v>
      </c>
      <c r="C229" s="646"/>
      <c r="D229" s="479"/>
      <c r="E229" s="696">
        <v>21860</v>
      </c>
      <c r="F229" s="904">
        <v>64</v>
      </c>
      <c r="G229" s="905">
        <v>723</v>
      </c>
      <c r="H229" s="393">
        <f t="shared" si="9"/>
        <v>0.35</v>
      </c>
      <c r="I229" s="544"/>
    </row>
    <row r="230" spans="1:9" ht="19.5" customHeight="1">
      <c r="A230" s="474">
        <f t="shared" si="10"/>
        <v>160</v>
      </c>
      <c r="B230" t="s">
        <v>682</v>
      </c>
      <c r="C230" s="646"/>
      <c r="D230" s="479"/>
      <c r="E230" s="696">
        <v>51017</v>
      </c>
      <c r="F230" s="904">
        <v>0</v>
      </c>
      <c r="G230" s="905">
        <v>1587</v>
      </c>
      <c r="H230" s="393">
        <f t="shared" si="9"/>
        <v>0.76</v>
      </c>
      <c r="I230" s="544"/>
    </row>
    <row r="231" spans="1:9" ht="19.5" customHeight="1">
      <c r="A231" s="474">
        <f t="shared" si="10"/>
        <v>161</v>
      </c>
      <c r="B231" t="s">
        <v>682</v>
      </c>
      <c r="C231" s="646"/>
      <c r="D231" s="479"/>
      <c r="E231" s="696">
        <v>35545</v>
      </c>
      <c r="F231" s="904">
        <v>0</v>
      </c>
      <c r="G231" s="905">
        <v>1081</v>
      </c>
      <c r="H231" s="393">
        <f aca="true" t="shared" si="11" ref="H231:H248">ROUND(G231/2080,2)</f>
        <v>0.52</v>
      </c>
      <c r="I231" s="544"/>
    </row>
    <row r="232" spans="1:9" ht="19.5" customHeight="1">
      <c r="A232" s="474">
        <f t="shared" si="10"/>
        <v>162</v>
      </c>
      <c r="B232" t="s">
        <v>682</v>
      </c>
      <c r="C232" s="646"/>
      <c r="D232" s="479"/>
      <c r="E232" s="696">
        <v>16441</v>
      </c>
      <c r="F232" s="904">
        <v>0</v>
      </c>
      <c r="G232" s="905">
        <v>527</v>
      </c>
      <c r="H232" s="393">
        <f t="shared" si="11"/>
        <v>0.25</v>
      </c>
      <c r="I232" s="544"/>
    </row>
    <row r="233" spans="1:9" ht="19.5" customHeight="1">
      <c r="A233" s="474">
        <f t="shared" si="10"/>
        <v>163</v>
      </c>
      <c r="B233" t="s">
        <v>480</v>
      </c>
      <c r="C233" s="646"/>
      <c r="D233" s="479"/>
      <c r="E233" s="696">
        <v>74484</v>
      </c>
      <c r="F233" s="904">
        <v>997</v>
      </c>
      <c r="G233" s="905">
        <v>1420</v>
      </c>
      <c r="H233" s="393">
        <f t="shared" si="11"/>
        <v>0.68</v>
      </c>
      <c r="I233" s="544"/>
    </row>
    <row r="234" spans="1:9" ht="19.5" customHeight="1">
      <c r="A234" s="474">
        <f t="shared" si="10"/>
        <v>164</v>
      </c>
      <c r="B234" t="s">
        <v>479</v>
      </c>
      <c r="C234" s="646"/>
      <c r="D234" s="479"/>
      <c r="E234" s="696">
        <v>78262.56519706533</v>
      </c>
      <c r="F234" s="904">
        <v>740</v>
      </c>
      <c r="G234" s="905">
        <v>1880.0000000000002</v>
      </c>
      <c r="H234" s="393">
        <f t="shared" si="11"/>
        <v>0.9</v>
      </c>
      <c r="I234" s="544"/>
    </row>
    <row r="235" spans="1:9" ht="19.5" customHeight="1">
      <c r="A235" s="474">
        <f t="shared" si="10"/>
        <v>165</v>
      </c>
      <c r="B235" t="s">
        <v>479</v>
      </c>
      <c r="C235" s="646"/>
      <c r="D235" s="479"/>
      <c r="E235" s="696">
        <v>91696</v>
      </c>
      <c r="F235" s="904">
        <v>1307</v>
      </c>
      <c r="G235" s="905">
        <v>2084</v>
      </c>
      <c r="H235" s="393">
        <f t="shared" si="11"/>
        <v>1</v>
      </c>
      <c r="I235" s="544"/>
    </row>
    <row r="236" spans="1:9" ht="19.5" customHeight="1">
      <c r="A236" s="474">
        <f t="shared" si="10"/>
        <v>166</v>
      </c>
      <c r="B236" t="s">
        <v>479</v>
      </c>
      <c r="C236" s="646"/>
      <c r="D236" s="479"/>
      <c r="E236" s="696">
        <v>62774.790767489016</v>
      </c>
      <c r="F236" s="904">
        <v>0</v>
      </c>
      <c r="G236" s="905">
        <v>1532</v>
      </c>
      <c r="H236" s="393">
        <f t="shared" si="11"/>
        <v>0.74</v>
      </c>
      <c r="I236" s="544"/>
    </row>
    <row r="237" spans="1:9" ht="19.5" customHeight="1">
      <c r="A237" s="474">
        <f t="shared" si="10"/>
        <v>167</v>
      </c>
      <c r="B237" t="s">
        <v>479</v>
      </c>
      <c r="C237" s="646"/>
      <c r="D237" s="479"/>
      <c r="E237" s="696">
        <v>86087.00776809313</v>
      </c>
      <c r="F237" s="904">
        <v>1276</v>
      </c>
      <c r="G237" s="905">
        <v>2096</v>
      </c>
      <c r="H237" s="393">
        <f t="shared" si="11"/>
        <v>1.01</v>
      </c>
      <c r="I237" s="544"/>
    </row>
    <row r="238" spans="1:9" ht="19.5" customHeight="1">
      <c r="A238" s="474">
        <f t="shared" si="10"/>
        <v>168</v>
      </c>
      <c r="B238" t="s">
        <v>479</v>
      </c>
      <c r="C238" s="646"/>
      <c r="D238" s="479"/>
      <c r="E238" s="696">
        <v>89556</v>
      </c>
      <c r="F238" s="904">
        <v>1752</v>
      </c>
      <c r="G238" s="905">
        <v>2100</v>
      </c>
      <c r="H238" s="393">
        <f t="shared" si="11"/>
        <v>1.01</v>
      </c>
      <c r="I238" s="544"/>
    </row>
    <row r="239" spans="1:9" ht="19.5" customHeight="1">
      <c r="A239" s="474">
        <f t="shared" si="10"/>
        <v>169</v>
      </c>
      <c r="B239" t="s">
        <v>479</v>
      </c>
      <c r="C239" s="646"/>
      <c r="D239" s="479"/>
      <c r="E239" s="696">
        <v>91198</v>
      </c>
      <c r="F239" s="904">
        <v>1546</v>
      </c>
      <c r="G239" s="905">
        <v>2187</v>
      </c>
      <c r="H239" s="393">
        <f t="shared" si="11"/>
        <v>1.05</v>
      </c>
      <c r="I239" s="544"/>
    </row>
    <row r="240" spans="1:9" ht="19.5" customHeight="1">
      <c r="A240" s="474">
        <f t="shared" si="10"/>
        <v>170</v>
      </c>
      <c r="B240" t="s">
        <v>479</v>
      </c>
      <c r="C240" s="646"/>
      <c r="D240" s="479"/>
      <c r="E240" s="696">
        <v>80310</v>
      </c>
      <c r="F240" s="904">
        <v>0</v>
      </c>
      <c r="G240" s="905">
        <v>1856</v>
      </c>
      <c r="H240" s="393">
        <f t="shared" si="11"/>
        <v>0.89</v>
      </c>
      <c r="I240" s="544"/>
    </row>
    <row r="241" spans="1:9" ht="19.5" customHeight="1">
      <c r="A241" s="474">
        <f t="shared" si="10"/>
        <v>171</v>
      </c>
      <c r="B241" t="s">
        <v>479</v>
      </c>
      <c r="C241" s="646"/>
      <c r="D241" s="479"/>
      <c r="E241" s="696">
        <v>17576.7317585082</v>
      </c>
      <c r="F241" s="904">
        <v>1232</v>
      </c>
      <c r="G241" s="905">
        <v>400</v>
      </c>
      <c r="H241" s="393">
        <f t="shared" si="11"/>
        <v>0.19</v>
      </c>
      <c r="I241" s="544"/>
    </row>
    <row r="242" spans="1:9" ht="19.5" customHeight="1">
      <c r="A242" s="474">
        <f t="shared" si="10"/>
        <v>172</v>
      </c>
      <c r="B242" t="s">
        <v>479</v>
      </c>
      <c r="C242" s="646"/>
      <c r="D242" s="479"/>
      <c r="E242" s="696">
        <v>352.76791983536117</v>
      </c>
      <c r="F242" s="904">
        <v>0</v>
      </c>
      <c r="G242" s="905">
        <v>11</v>
      </c>
      <c r="H242" s="393">
        <f t="shared" si="11"/>
        <v>0.01</v>
      </c>
      <c r="I242" s="544"/>
    </row>
    <row r="243" spans="1:9" ht="19.5" customHeight="1">
      <c r="A243" s="474">
        <f t="shared" si="10"/>
        <v>173</v>
      </c>
      <c r="B243" t="s">
        <v>479</v>
      </c>
      <c r="C243" s="646"/>
      <c r="D243" s="479"/>
      <c r="E243" s="696">
        <v>1478.2178459010163</v>
      </c>
      <c r="F243" s="904">
        <v>0</v>
      </c>
      <c r="G243" s="905">
        <v>31</v>
      </c>
      <c r="H243" s="393">
        <f t="shared" si="11"/>
        <v>0.01</v>
      </c>
      <c r="I243" s="544"/>
    </row>
    <row r="244" spans="1:9" ht="19.5" customHeight="1">
      <c r="A244" s="474">
        <f t="shared" si="10"/>
        <v>174</v>
      </c>
      <c r="B244" t="s">
        <v>479</v>
      </c>
      <c r="C244" s="646"/>
      <c r="D244" s="479"/>
      <c r="E244" s="696">
        <v>74322.06735797711</v>
      </c>
      <c r="F244" s="904">
        <v>0</v>
      </c>
      <c r="G244" s="905">
        <v>1950</v>
      </c>
      <c r="H244" s="393">
        <f t="shared" si="11"/>
        <v>0.94</v>
      </c>
      <c r="I244" s="544"/>
    </row>
    <row r="245" spans="1:9" ht="19.5" customHeight="1">
      <c r="A245" s="474">
        <f t="shared" si="10"/>
        <v>175</v>
      </c>
      <c r="B245" t="s">
        <v>479</v>
      </c>
      <c r="C245" s="646"/>
      <c r="D245" s="479"/>
      <c r="E245" s="696">
        <v>73777.12109635871</v>
      </c>
      <c r="F245" s="904">
        <v>757</v>
      </c>
      <c r="G245" s="905">
        <v>1975</v>
      </c>
      <c r="H245" s="393">
        <f t="shared" si="11"/>
        <v>0.95</v>
      </c>
      <c r="I245" s="544"/>
    </row>
    <row r="246" spans="1:9" ht="19.5" customHeight="1">
      <c r="A246" s="474">
        <f t="shared" si="10"/>
        <v>176</v>
      </c>
      <c r="B246" t="s">
        <v>479</v>
      </c>
      <c r="C246" s="646"/>
      <c r="D246" s="479"/>
      <c r="E246" s="696">
        <v>85984</v>
      </c>
      <c r="F246" s="904">
        <v>1391</v>
      </c>
      <c r="G246" s="905">
        <v>2346</v>
      </c>
      <c r="H246" s="393">
        <f t="shared" si="11"/>
        <v>1.13</v>
      </c>
      <c r="I246" s="544"/>
    </row>
    <row r="247" spans="1:9" ht="19.5" customHeight="1">
      <c r="A247" s="474">
        <f t="shared" si="10"/>
        <v>177</v>
      </c>
      <c r="B247" s="697" t="s">
        <v>478</v>
      </c>
      <c r="C247" s="540"/>
      <c r="D247" s="541"/>
      <c r="E247" s="711" t="s">
        <v>551</v>
      </c>
      <c r="F247" s="695">
        <v>225</v>
      </c>
      <c r="G247" s="392">
        <f>F247*0.68</f>
        <v>153</v>
      </c>
      <c r="H247" s="658">
        <f>ROUND(G247/2080,2)</f>
        <v>0.07</v>
      </c>
      <c r="I247" s="544"/>
    </row>
    <row r="248" spans="1:9" ht="24.75" customHeight="1" thickBot="1">
      <c r="A248" s="293"/>
      <c r="B248" s="1170" t="s">
        <v>260</v>
      </c>
      <c r="C248" s="1171"/>
      <c r="D248" s="1172"/>
      <c r="E248" s="776">
        <f>SUM(E71:E246)</f>
        <v>10692256.538955923</v>
      </c>
      <c r="F248" s="776">
        <f>SUM(F71:F247)</f>
        <v>144375</v>
      </c>
      <c r="G248" s="778">
        <f>SUM(G71:G247)</f>
        <v>303645.966453</v>
      </c>
      <c r="H248" s="778">
        <f t="shared" si="11"/>
        <v>145.98</v>
      </c>
      <c r="I248" s="544"/>
    </row>
    <row r="249" spans="1:9" s="146" customFormat="1" ht="19.5" customHeight="1" thickTop="1">
      <c r="A249" s="293"/>
      <c r="B249" s="375"/>
      <c r="C249" s="375"/>
      <c r="D249" s="375"/>
      <c r="E249" s="295"/>
      <c r="F249" s="294"/>
      <c r="G249" s="295"/>
      <c r="H249" s="396"/>
      <c r="I249" s="544"/>
    </row>
    <row r="250" spans="1:9" ht="19.5" customHeight="1">
      <c r="A250" s="207" t="s">
        <v>91</v>
      </c>
      <c r="B250" s="1184" t="s">
        <v>304</v>
      </c>
      <c r="C250" s="1185"/>
      <c r="D250" s="1186"/>
      <c r="E250" s="338"/>
      <c r="F250" s="338"/>
      <c r="G250" s="390"/>
      <c r="H250" s="391"/>
      <c r="I250" s="544"/>
    </row>
    <row r="251" spans="1:9" ht="19.5" customHeight="1">
      <c r="A251" s="474">
        <v>1</v>
      </c>
      <c r="B251" s="704" t="s">
        <v>738</v>
      </c>
      <c r="C251" s="640"/>
      <c r="D251" s="639"/>
      <c r="E251" s="705">
        <v>18128.863662130065</v>
      </c>
      <c r="F251" s="705">
        <v>0</v>
      </c>
      <c r="G251" s="705">
        <v>835.5</v>
      </c>
      <c r="H251" s="346">
        <f aca="true" t="shared" si="12" ref="H251:H262">ROUND(G251/2080,2)</f>
        <v>0.4</v>
      </c>
      <c r="I251" s="544"/>
    </row>
    <row r="252" spans="1:9" ht="19.5" customHeight="1">
      <c r="A252" s="474">
        <v>2</v>
      </c>
      <c r="B252" s="704" t="s">
        <v>738</v>
      </c>
      <c r="C252" s="640"/>
      <c r="D252" s="639"/>
      <c r="E252" s="705">
        <v>19326.721208105104</v>
      </c>
      <c r="F252" s="705">
        <v>0</v>
      </c>
      <c r="G252" s="705">
        <v>846.0000000000001</v>
      </c>
      <c r="H252" s="346">
        <f t="shared" si="12"/>
        <v>0.41</v>
      </c>
      <c r="I252" s="544"/>
    </row>
    <row r="253" spans="1:9" ht="19.5" customHeight="1">
      <c r="A253" s="474">
        <v>3</v>
      </c>
      <c r="B253" s="704" t="s">
        <v>738</v>
      </c>
      <c r="C253" s="640"/>
      <c r="D253" s="641"/>
      <c r="E253" s="705">
        <v>48838.29322175703</v>
      </c>
      <c r="F253" s="705">
        <v>575</v>
      </c>
      <c r="G253" s="705">
        <v>2051</v>
      </c>
      <c r="H253" s="346">
        <f t="shared" si="12"/>
        <v>0.99</v>
      </c>
      <c r="I253" s="544"/>
    </row>
    <row r="254" spans="1:9" ht="19.5" customHeight="1">
      <c r="A254" s="474">
        <v>4</v>
      </c>
      <c r="B254" s="704" t="s">
        <v>901</v>
      </c>
      <c r="C254" s="640"/>
      <c r="D254" s="639"/>
      <c r="E254" s="705">
        <v>197434.96</v>
      </c>
      <c r="F254" s="705">
        <v>805</v>
      </c>
      <c r="G254" s="705">
        <v>2080</v>
      </c>
      <c r="H254" s="346">
        <f t="shared" si="12"/>
        <v>1</v>
      </c>
      <c r="I254" s="544"/>
    </row>
    <row r="255" spans="1:9" ht="19.5" customHeight="1">
      <c r="A255" s="474">
        <v>7</v>
      </c>
      <c r="B255" s="704" t="s">
        <v>739</v>
      </c>
      <c r="C255" s="640"/>
      <c r="D255" s="639"/>
      <c r="E255" s="705">
        <v>33598.89947755554</v>
      </c>
      <c r="F255" s="705">
        <v>582</v>
      </c>
      <c r="G255" s="705">
        <v>1879.9999999999998</v>
      </c>
      <c r="H255" s="346">
        <f t="shared" si="12"/>
        <v>0.9</v>
      </c>
      <c r="I255" s="544"/>
    </row>
    <row r="256" spans="1:9" ht="19.5" customHeight="1">
      <c r="A256" s="474">
        <v>8</v>
      </c>
      <c r="B256" s="704" t="s">
        <v>739</v>
      </c>
      <c r="C256" s="640"/>
      <c r="D256" s="639"/>
      <c r="E256" s="705">
        <v>33310.79231393547</v>
      </c>
      <c r="F256" s="705">
        <v>639</v>
      </c>
      <c r="G256" s="705">
        <v>1880</v>
      </c>
      <c r="H256" s="346">
        <f t="shared" si="12"/>
        <v>0.9</v>
      </c>
      <c r="I256" s="544"/>
    </row>
    <row r="257" spans="1:9" ht="19.5" customHeight="1">
      <c r="A257" s="474">
        <v>9</v>
      </c>
      <c r="B257" s="704" t="s">
        <v>739</v>
      </c>
      <c r="C257" s="640"/>
      <c r="D257" s="639"/>
      <c r="E257" s="705">
        <v>33598.94958663508</v>
      </c>
      <c r="F257" s="705">
        <v>846</v>
      </c>
      <c r="G257" s="705">
        <v>1879.9999999999998</v>
      </c>
      <c r="H257" s="346">
        <f t="shared" si="12"/>
        <v>0.9</v>
      </c>
      <c r="I257" s="544"/>
    </row>
    <row r="258" spans="1:9" ht="19.5" customHeight="1">
      <c r="A258" s="474">
        <v>10</v>
      </c>
      <c r="B258" s="704" t="s">
        <v>740</v>
      </c>
      <c r="C258" s="640"/>
      <c r="D258" s="639"/>
      <c r="E258" s="705">
        <v>340246.82</v>
      </c>
      <c r="F258" s="705">
        <v>2315</v>
      </c>
      <c r="G258" s="933">
        <v>2080</v>
      </c>
      <c r="H258" s="346">
        <f t="shared" si="12"/>
        <v>1</v>
      </c>
      <c r="I258" s="544"/>
    </row>
    <row r="259" spans="1:9" ht="19.5" customHeight="1">
      <c r="A259" s="474">
        <v>20</v>
      </c>
      <c r="B259" s="704" t="s">
        <v>634</v>
      </c>
      <c r="C259" s="640"/>
      <c r="D259" s="639"/>
      <c r="E259" s="705">
        <v>130310.04430773336</v>
      </c>
      <c r="F259" s="705">
        <v>0</v>
      </c>
      <c r="G259" s="705">
        <v>3650.25</v>
      </c>
      <c r="H259" s="346">
        <f t="shared" si="12"/>
        <v>1.75</v>
      </c>
      <c r="I259" s="544"/>
    </row>
    <row r="260" spans="1:9" ht="19.5" customHeight="1">
      <c r="A260" s="474">
        <v>21</v>
      </c>
      <c r="B260" s="704" t="s">
        <v>635</v>
      </c>
      <c r="C260" s="640"/>
      <c r="D260" s="639"/>
      <c r="E260" s="705">
        <v>14600.062020395157</v>
      </c>
      <c r="F260" s="705">
        <v>0</v>
      </c>
      <c r="G260" s="705">
        <v>544</v>
      </c>
      <c r="H260" s="346">
        <f t="shared" si="12"/>
        <v>0.26</v>
      </c>
      <c r="I260" s="544"/>
    </row>
    <row r="261" spans="1:9" ht="19.5" customHeight="1">
      <c r="A261" s="474">
        <v>22</v>
      </c>
      <c r="B261" s="704" t="s">
        <v>635</v>
      </c>
      <c r="C261" s="640"/>
      <c r="D261" s="639"/>
      <c r="E261" s="705">
        <v>22027.540463449175</v>
      </c>
      <c r="F261" s="705">
        <v>0</v>
      </c>
      <c r="G261" s="705">
        <v>816</v>
      </c>
      <c r="H261" s="346">
        <f t="shared" si="12"/>
        <v>0.39</v>
      </c>
      <c r="I261" s="649"/>
    </row>
    <row r="262" spans="1:9" ht="19.5" customHeight="1">
      <c r="A262" s="474">
        <v>23</v>
      </c>
      <c r="B262" s="704" t="s">
        <v>635</v>
      </c>
      <c r="C262" s="640"/>
      <c r="D262" s="639"/>
      <c r="E262" s="705">
        <v>36029.46</v>
      </c>
      <c r="F262" s="705">
        <v>0</v>
      </c>
      <c r="G262" s="933">
        <v>1142.5</v>
      </c>
      <c r="H262" s="346">
        <f t="shared" si="12"/>
        <v>0.55</v>
      </c>
      <c r="I262" s="649"/>
    </row>
    <row r="263" spans="1:9" ht="19.5" customHeight="1">
      <c r="A263" s="474">
        <v>27</v>
      </c>
      <c r="B263" s="704" t="s">
        <v>635</v>
      </c>
      <c r="C263" s="540"/>
      <c r="D263" s="541"/>
      <c r="E263" s="705">
        <v>18594.01622551752</v>
      </c>
      <c r="F263" s="705">
        <v>0</v>
      </c>
      <c r="G263" s="705">
        <v>760</v>
      </c>
      <c r="H263" s="346">
        <f aca="true" t="shared" si="13" ref="H263:H308">ROUND(G263/2080,2)</f>
        <v>0.37</v>
      </c>
      <c r="I263" s="544"/>
    </row>
    <row r="264" spans="1:9" ht="19.5" customHeight="1">
      <c r="A264" s="474">
        <f>+A263+1</f>
        <v>28</v>
      </c>
      <c r="B264" s="704" t="s">
        <v>635</v>
      </c>
      <c r="C264" s="540"/>
      <c r="D264" s="541"/>
      <c r="E264" s="705">
        <v>27868.745841520766</v>
      </c>
      <c r="F264" s="705">
        <v>0</v>
      </c>
      <c r="G264" s="705">
        <v>800</v>
      </c>
      <c r="H264" s="346">
        <f t="shared" si="13"/>
        <v>0.38</v>
      </c>
      <c r="I264" s="544"/>
    </row>
    <row r="265" spans="1:9" ht="19.5" customHeight="1">
      <c r="A265" s="474">
        <f aca="true" t="shared" si="14" ref="A265:A308">+A264+1</f>
        <v>29</v>
      </c>
      <c r="B265" s="704" t="s">
        <v>635</v>
      </c>
      <c r="C265" s="540"/>
      <c r="D265" s="541"/>
      <c r="E265" s="705">
        <v>64244.65</v>
      </c>
      <c r="F265" s="705">
        <v>0</v>
      </c>
      <c r="G265" s="934">
        <v>2085</v>
      </c>
      <c r="H265" s="346">
        <f t="shared" si="13"/>
        <v>1</v>
      </c>
      <c r="I265" s="544"/>
    </row>
    <row r="266" spans="1:9" ht="19.5" customHeight="1">
      <c r="A266" s="474">
        <f t="shared" si="14"/>
        <v>30</v>
      </c>
      <c r="B266" s="704" t="s">
        <v>635</v>
      </c>
      <c r="C266" s="540"/>
      <c r="D266" s="541"/>
      <c r="E266" s="705">
        <v>61170.25</v>
      </c>
      <c r="F266" s="705">
        <v>0</v>
      </c>
      <c r="G266" s="705">
        <v>2346.5</v>
      </c>
      <c r="H266" s="346">
        <f t="shared" si="13"/>
        <v>1.13</v>
      </c>
      <c r="I266" s="544"/>
    </row>
    <row r="267" spans="1:9" ht="19.5" customHeight="1">
      <c r="A267" s="474">
        <f t="shared" si="14"/>
        <v>31</v>
      </c>
      <c r="B267" s="704" t="s">
        <v>635</v>
      </c>
      <c r="C267" s="540"/>
      <c r="D267" s="541"/>
      <c r="E267" s="705">
        <v>4475.1617175886895</v>
      </c>
      <c r="F267" s="705">
        <v>0</v>
      </c>
      <c r="G267" s="705">
        <v>160</v>
      </c>
      <c r="H267" s="346">
        <f t="shared" si="13"/>
        <v>0.08</v>
      </c>
      <c r="I267" s="544"/>
    </row>
    <row r="268" spans="1:9" ht="19.5" customHeight="1">
      <c r="A268" s="474">
        <f t="shared" si="14"/>
        <v>32</v>
      </c>
      <c r="B268" s="704" t="s">
        <v>635</v>
      </c>
      <c r="C268" s="540"/>
      <c r="D268" s="541"/>
      <c r="E268" s="705">
        <v>66547.75</v>
      </c>
      <c r="F268" s="705">
        <v>0</v>
      </c>
      <c r="G268" s="933">
        <v>2080</v>
      </c>
      <c r="H268" s="346">
        <f t="shared" si="13"/>
        <v>1</v>
      </c>
      <c r="I268" s="544"/>
    </row>
    <row r="269" spans="1:9" ht="19.5" customHeight="1">
      <c r="A269" s="474">
        <f t="shared" si="14"/>
        <v>33</v>
      </c>
      <c r="B269" s="704" t="s">
        <v>635</v>
      </c>
      <c r="C269" s="540"/>
      <c r="D269" s="541"/>
      <c r="E269" s="705">
        <v>55209.71</v>
      </c>
      <c r="F269" s="705">
        <v>0</v>
      </c>
      <c r="G269" s="935">
        <v>2094</v>
      </c>
      <c r="H269" s="346">
        <f t="shared" si="13"/>
        <v>1.01</v>
      </c>
      <c r="I269" s="544"/>
    </row>
    <row r="270" spans="1:9" ht="19.5" customHeight="1">
      <c r="A270" s="474">
        <f t="shared" si="14"/>
        <v>34</v>
      </c>
      <c r="B270" s="704" t="s">
        <v>635</v>
      </c>
      <c r="C270" s="540"/>
      <c r="D270" s="541"/>
      <c r="E270" s="705">
        <v>55231.49</v>
      </c>
      <c r="F270" s="705">
        <v>0</v>
      </c>
      <c r="G270" s="933">
        <v>2084</v>
      </c>
      <c r="H270" s="346">
        <f t="shared" si="13"/>
        <v>1</v>
      </c>
      <c r="I270" s="544"/>
    </row>
    <row r="271" spans="1:9" ht="19.5" customHeight="1">
      <c r="A271" s="474">
        <f t="shared" si="14"/>
        <v>35</v>
      </c>
      <c r="B271" s="704" t="s">
        <v>635</v>
      </c>
      <c r="C271" s="540"/>
      <c r="D271" s="541"/>
      <c r="E271" s="705">
        <v>32594.94</v>
      </c>
      <c r="F271" s="705">
        <v>0</v>
      </c>
      <c r="G271" s="705">
        <v>1112</v>
      </c>
      <c r="H271" s="346">
        <f t="shared" si="13"/>
        <v>0.53</v>
      </c>
      <c r="I271" s="544"/>
    </row>
    <row r="272" spans="1:9" ht="19.5" customHeight="1">
      <c r="A272" s="474">
        <f t="shared" si="14"/>
        <v>36</v>
      </c>
      <c r="B272" s="704" t="s">
        <v>635</v>
      </c>
      <c r="C272" s="540"/>
      <c r="D272" s="541"/>
      <c r="E272" s="705">
        <v>64605.4</v>
      </c>
      <c r="F272" s="705">
        <v>0</v>
      </c>
      <c r="G272" s="705">
        <v>2080</v>
      </c>
      <c r="H272" s="346">
        <f t="shared" si="13"/>
        <v>1</v>
      </c>
      <c r="I272" s="544"/>
    </row>
    <row r="273" spans="1:9" ht="19.5" customHeight="1">
      <c r="A273" s="474">
        <f t="shared" si="14"/>
        <v>37</v>
      </c>
      <c r="B273" s="704" t="s">
        <v>635</v>
      </c>
      <c r="C273" s="540"/>
      <c r="D273" s="541"/>
      <c r="E273" s="705">
        <v>63034.79</v>
      </c>
      <c r="F273" s="705">
        <v>0</v>
      </c>
      <c r="G273" s="935">
        <v>2080</v>
      </c>
      <c r="H273" s="346">
        <f t="shared" si="13"/>
        <v>1</v>
      </c>
      <c r="I273" s="544"/>
    </row>
    <row r="274" spans="1:9" ht="19.5" customHeight="1">
      <c r="A274" s="474">
        <f t="shared" si="14"/>
        <v>38</v>
      </c>
      <c r="B274" s="704" t="s">
        <v>635</v>
      </c>
      <c r="C274" s="540"/>
      <c r="D274" s="541"/>
      <c r="E274" s="705">
        <v>25931.03775821829</v>
      </c>
      <c r="F274" s="705">
        <v>0</v>
      </c>
      <c r="G274" s="705">
        <v>944</v>
      </c>
      <c r="H274" s="346">
        <f t="shared" si="13"/>
        <v>0.45</v>
      </c>
      <c r="I274" s="544"/>
    </row>
    <row r="275" spans="1:9" ht="19.5" customHeight="1">
      <c r="A275" s="474">
        <f t="shared" si="14"/>
        <v>39</v>
      </c>
      <c r="B275" s="704" t="s">
        <v>635</v>
      </c>
      <c r="C275" s="540"/>
      <c r="D275" s="541"/>
      <c r="E275" s="705">
        <v>39012.7</v>
      </c>
      <c r="F275" s="705">
        <v>0</v>
      </c>
      <c r="G275" s="705">
        <v>1360</v>
      </c>
      <c r="H275" s="346">
        <f t="shared" si="13"/>
        <v>0.65</v>
      </c>
      <c r="I275" s="544"/>
    </row>
    <row r="276" spans="1:9" ht="19.5" customHeight="1">
      <c r="A276" s="474">
        <f t="shared" si="14"/>
        <v>40</v>
      </c>
      <c r="B276" s="704" t="s">
        <v>635</v>
      </c>
      <c r="C276" s="540"/>
      <c r="D276" s="541"/>
      <c r="E276" s="705">
        <v>57433.1</v>
      </c>
      <c r="F276" s="705">
        <v>0</v>
      </c>
      <c r="G276" s="705">
        <v>2080</v>
      </c>
      <c r="H276" s="346">
        <f t="shared" si="13"/>
        <v>1</v>
      </c>
      <c r="I276" s="544"/>
    </row>
    <row r="277" spans="1:9" ht="19.5" customHeight="1">
      <c r="A277" s="474">
        <f t="shared" si="14"/>
        <v>41</v>
      </c>
      <c r="B277" s="704" t="s">
        <v>635</v>
      </c>
      <c r="C277" s="540"/>
      <c r="D277" s="541"/>
      <c r="E277" s="705">
        <v>4162.922021270776</v>
      </c>
      <c r="F277" s="705">
        <v>0</v>
      </c>
      <c r="G277" s="705">
        <v>120</v>
      </c>
      <c r="H277" s="346">
        <f t="shared" si="13"/>
        <v>0.06</v>
      </c>
      <c r="I277" s="544"/>
    </row>
    <row r="278" spans="1:9" ht="19.5" customHeight="1">
      <c r="A278" s="474">
        <f t="shared" si="14"/>
        <v>42</v>
      </c>
      <c r="B278" s="704" t="s">
        <v>635</v>
      </c>
      <c r="C278" s="540"/>
      <c r="D278" s="541"/>
      <c r="E278" s="705">
        <v>71896.94825816347</v>
      </c>
      <c r="F278" s="705">
        <v>0</v>
      </c>
      <c r="G278" s="705">
        <v>2080</v>
      </c>
      <c r="H278" s="346">
        <f t="shared" si="13"/>
        <v>1</v>
      </c>
      <c r="I278" s="544"/>
    </row>
    <row r="279" spans="1:9" ht="19.5" customHeight="1">
      <c r="A279" s="474">
        <f t="shared" si="14"/>
        <v>43</v>
      </c>
      <c r="B279" s="704" t="s">
        <v>902</v>
      </c>
      <c r="C279" s="540"/>
      <c r="D279" s="541"/>
      <c r="E279" s="705">
        <v>3903.1966402919916</v>
      </c>
      <c r="F279" s="705">
        <v>62</v>
      </c>
      <c r="G279" s="705">
        <v>194.75</v>
      </c>
      <c r="H279" s="346">
        <f aca="true" t="shared" si="15" ref="H279:H284">ROUND(G279/2080,2)</f>
        <v>0.09</v>
      </c>
      <c r="I279" s="544"/>
    </row>
    <row r="280" spans="1:9" ht="19.5" customHeight="1">
      <c r="A280" s="474">
        <f t="shared" si="14"/>
        <v>44</v>
      </c>
      <c r="B280" s="704" t="s">
        <v>902</v>
      </c>
      <c r="C280" s="540"/>
      <c r="D280" s="541"/>
      <c r="E280" s="705">
        <v>4109.11489167998</v>
      </c>
      <c r="F280" s="705">
        <v>50</v>
      </c>
      <c r="G280" s="705">
        <v>197.99999999999997</v>
      </c>
      <c r="H280" s="346">
        <f t="shared" si="15"/>
        <v>0.1</v>
      </c>
      <c r="I280" s="544"/>
    </row>
    <row r="281" spans="1:9" ht="19.5" customHeight="1">
      <c r="A281" s="474">
        <f t="shared" si="14"/>
        <v>45</v>
      </c>
      <c r="B281" s="704" t="s">
        <v>902</v>
      </c>
      <c r="C281" s="540"/>
      <c r="D281" s="541"/>
      <c r="E281" s="705">
        <v>3244.0618082587025</v>
      </c>
      <c r="F281" s="705">
        <v>48</v>
      </c>
      <c r="G281" s="705">
        <v>205</v>
      </c>
      <c r="H281" s="346">
        <f t="shared" si="15"/>
        <v>0.1</v>
      </c>
      <c r="I281" s="544"/>
    </row>
    <row r="282" spans="1:9" ht="19.5" customHeight="1">
      <c r="A282" s="474">
        <f t="shared" si="14"/>
        <v>46</v>
      </c>
      <c r="B282" s="704" t="s">
        <v>902</v>
      </c>
      <c r="C282" s="540"/>
      <c r="D282" s="541"/>
      <c r="E282" s="705">
        <v>2715.5914119871627</v>
      </c>
      <c r="F282" s="705">
        <v>29</v>
      </c>
      <c r="G282" s="705">
        <v>200</v>
      </c>
      <c r="H282" s="346">
        <f t="shared" si="15"/>
        <v>0.1</v>
      </c>
      <c r="I282" s="544"/>
    </row>
    <row r="283" spans="1:9" ht="19.5" customHeight="1">
      <c r="A283" s="474">
        <f t="shared" si="14"/>
        <v>47</v>
      </c>
      <c r="B283" s="704" t="s">
        <v>743</v>
      </c>
      <c r="C283" s="540"/>
      <c r="D283" s="541"/>
      <c r="E283" s="705">
        <v>16615.68972235445</v>
      </c>
      <c r="F283" s="705">
        <v>532</v>
      </c>
      <c r="G283" s="705">
        <v>792</v>
      </c>
      <c r="H283" s="346">
        <f t="shared" si="15"/>
        <v>0.38</v>
      </c>
      <c r="I283" s="544"/>
    </row>
    <row r="284" spans="1:9" ht="19.5" customHeight="1">
      <c r="A284" s="474">
        <f t="shared" si="14"/>
        <v>48</v>
      </c>
      <c r="B284" s="704" t="s">
        <v>636</v>
      </c>
      <c r="C284" s="540"/>
      <c r="D284" s="541"/>
      <c r="E284" s="705">
        <v>124704.23</v>
      </c>
      <c r="F284" s="705">
        <v>0</v>
      </c>
      <c r="G284" s="705">
        <v>2080</v>
      </c>
      <c r="H284" s="346">
        <f t="shared" si="15"/>
        <v>1</v>
      </c>
      <c r="I284" s="544"/>
    </row>
    <row r="285" spans="1:9" ht="19.5" customHeight="1">
      <c r="A285" s="474"/>
      <c r="B285" s="704"/>
      <c r="C285" s="540"/>
      <c r="D285" s="541"/>
      <c r="E285" s="705"/>
      <c r="F285" s="705"/>
      <c r="G285" s="705"/>
      <c r="H285" s="346"/>
      <c r="I285" s="544"/>
    </row>
    <row r="286" spans="1:9" ht="19.5" customHeight="1">
      <c r="A286" s="474"/>
      <c r="B286" s="704"/>
      <c r="C286" s="706" t="s">
        <v>926</v>
      </c>
      <c r="D286" s="541"/>
      <c r="E286" s="940">
        <f>SUM(E251:E285)</f>
        <v>1794756.9025585477</v>
      </c>
      <c r="F286" s="940">
        <f>SUM(F251:F285)</f>
        <v>6483</v>
      </c>
      <c r="G286" s="940">
        <f>SUM(G251:G285)</f>
        <v>47620.5</v>
      </c>
      <c r="H286" s="939">
        <f>ROUND(G286/2080,2)</f>
        <v>22.89</v>
      </c>
      <c r="I286" s="544"/>
    </row>
    <row r="287" spans="1:9" ht="19.5" customHeight="1">
      <c r="A287" s="474"/>
      <c r="B287" s="704"/>
      <c r="C287" s="540"/>
      <c r="D287" s="541"/>
      <c r="E287" s="705"/>
      <c r="F287" s="705"/>
      <c r="G287" s="705"/>
      <c r="H287" s="346"/>
      <c r="I287" s="544"/>
    </row>
    <row r="288" spans="1:9" ht="19.5" customHeight="1">
      <c r="A288" s="474"/>
      <c r="B288" s="936" t="s">
        <v>923</v>
      </c>
      <c r="C288" s="540"/>
      <c r="D288" s="541"/>
      <c r="E288" s="705"/>
      <c r="F288" s="705"/>
      <c r="G288" s="705"/>
      <c r="H288" s="346"/>
      <c r="I288" s="544"/>
    </row>
    <row r="289" spans="1:9" ht="19.5" customHeight="1">
      <c r="A289" s="474">
        <f>+A278+1</f>
        <v>43</v>
      </c>
      <c r="B289" s="704" t="s">
        <v>646</v>
      </c>
      <c r="C289" s="540"/>
      <c r="D289" s="541"/>
      <c r="E289" s="705">
        <v>132385.14146526973</v>
      </c>
      <c r="F289" s="705">
        <v>1274</v>
      </c>
      <c r="G289" s="705">
        <v>2080.000000000001</v>
      </c>
      <c r="H289" s="346">
        <f t="shared" si="13"/>
        <v>1</v>
      </c>
      <c r="I289" s="544"/>
    </row>
    <row r="290" spans="1:9" ht="19.5" customHeight="1">
      <c r="A290" s="474">
        <f t="shared" si="14"/>
        <v>44</v>
      </c>
      <c r="B290" s="704" t="s">
        <v>646</v>
      </c>
      <c r="C290" s="540"/>
      <c r="D290" s="541"/>
      <c r="E290" s="705">
        <v>96918.42604852904</v>
      </c>
      <c r="F290" s="705">
        <v>1260</v>
      </c>
      <c r="G290" s="705">
        <v>1720</v>
      </c>
      <c r="H290" s="346">
        <f t="shared" si="13"/>
        <v>0.83</v>
      </c>
      <c r="I290" s="544"/>
    </row>
    <row r="291" spans="1:9" ht="19.5" customHeight="1">
      <c r="A291" s="474">
        <f t="shared" si="14"/>
        <v>45</v>
      </c>
      <c r="B291" s="704" t="s">
        <v>646</v>
      </c>
      <c r="C291" s="540"/>
      <c r="D291" s="541"/>
      <c r="E291" s="705">
        <v>176700.01</v>
      </c>
      <c r="F291" s="705">
        <v>1692</v>
      </c>
      <c r="G291" s="705">
        <v>2441.5</v>
      </c>
      <c r="H291" s="346">
        <f t="shared" si="13"/>
        <v>1.17</v>
      </c>
      <c r="I291" s="544"/>
    </row>
    <row r="292" spans="1:9" ht="19.5" customHeight="1">
      <c r="A292" s="474">
        <f t="shared" si="14"/>
        <v>46</v>
      </c>
      <c r="B292" s="704" t="s">
        <v>646</v>
      </c>
      <c r="C292" s="540"/>
      <c r="D292" s="541"/>
      <c r="E292" s="705">
        <v>133073.9909814595</v>
      </c>
      <c r="F292" s="705">
        <v>1211</v>
      </c>
      <c r="G292" s="705">
        <v>2080</v>
      </c>
      <c r="H292" s="346">
        <f t="shared" si="13"/>
        <v>1</v>
      </c>
      <c r="I292" s="544"/>
    </row>
    <row r="293" spans="1:9" ht="19.5" customHeight="1">
      <c r="A293" s="474">
        <f t="shared" si="14"/>
        <v>47</v>
      </c>
      <c r="B293" s="704" t="s">
        <v>646</v>
      </c>
      <c r="C293" s="540"/>
      <c r="D293" s="541"/>
      <c r="E293" s="705">
        <v>80422.20639357103</v>
      </c>
      <c r="F293" s="705">
        <v>379</v>
      </c>
      <c r="G293" s="705">
        <v>792.5</v>
      </c>
      <c r="H293" s="346">
        <f t="shared" si="13"/>
        <v>0.38</v>
      </c>
      <c r="I293" s="544"/>
    </row>
    <row r="294" spans="1:9" ht="19.5" customHeight="1">
      <c r="A294" s="474">
        <f t="shared" si="14"/>
        <v>48</v>
      </c>
      <c r="B294" s="704" t="s">
        <v>646</v>
      </c>
      <c r="C294" s="540"/>
      <c r="D294" s="541"/>
      <c r="E294" s="705">
        <v>109157.36</v>
      </c>
      <c r="F294" s="705">
        <v>1212</v>
      </c>
      <c r="G294" s="705">
        <v>1733.93</v>
      </c>
      <c r="H294" s="346">
        <f t="shared" si="13"/>
        <v>0.83</v>
      </c>
      <c r="I294" s="544"/>
    </row>
    <row r="295" spans="1:9" ht="19.5" customHeight="1">
      <c r="A295" s="474">
        <f t="shared" si="14"/>
        <v>49</v>
      </c>
      <c r="B295" s="704" t="s">
        <v>646</v>
      </c>
      <c r="C295" s="540"/>
      <c r="D295" s="541"/>
      <c r="E295" s="705">
        <v>137453.92540432446</v>
      </c>
      <c r="F295" s="705">
        <v>1790</v>
      </c>
      <c r="G295" s="705">
        <v>2080</v>
      </c>
      <c r="H295" s="346">
        <f t="shared" si="13"/>
        <v>1</v>
      </c>
      <c r="I295" s="544"/>
    </row>
    <row r="296" spans="1:9" ht="19.5" customHeight="1">
      <c r="A296" s="474">
        <f t="shared" si="14"/>
        <v>50</v>
      </c>
      <c r="B296" s="704" t="s">
        <v>646</v>
      </c>
      <c r="C296" s="540"/>
      <c r="D296" s="541"/>
      <c r="E296" s="705">
        <v>120993.52</v>
      </c>
      <c r="F296" s="705">
        <v>1452</v>
      </c>
      <c r="G296" s="705">
        <v>1664</v>
      </c>
      <c r="H296" s="346">
        <f t="shared" si="13"/>
        <v>0.8</v>
      </c>
      <c r="I296" s="544"/>
    </row>
    <row r="297" spans="1:9" ht="19.5" customHeight="1">
      <c r="A297" s="474">
        <f t="shared" si="14"/>
        <v>51</v>
      </c>
      <c r="B297" s="704" t="s">
        <v>646</v>
      </c>
      <c r="C297" s="540"/>
      <c r="D297" s="541"/>
      <c r="E297" s="705">
        <v>110090.37</v>
      </c>
      <c r="F297" s="705">
        <v>1011</v>
      </c>
      <c r="G297" s="705">
        <v>2080</v>
      </c>
      <c r="H297" s="346">
        <f t="shared" si="13"/>
        <v>1</v>
      </c>
      <c r="I297" s="544"/>
    </row>
    <row r="298" spans="1:9" ht="19.5" customHeight="1">
      <c r="A298" s="474">
        <f t="shared" si="14"/>
        <v>52</v>
      </c>
      <c r="B298" s="704" t="s">
        <v>646</v>
      </c>
      <c r="C298" s="540"/>
      <c r="D298" s="541"/>
      <c r="E298" s="705">
        <v>146199.61</v>
      </c>
      <c r="F298" s="705">
        <v>1945</v>
      </c>
      <c r="G298" s="705">
        <v>2102</v>
      </c>
      <c r="H298" s="346">
        <f t="shared" si="13"/>
        <v>1.01</v>
      </c>
      <c r="I298" s="544"/>
    </row>
    <row r="299" spans="1:9" ht="19.5" customHeight="1">
      <c r="A299" s="474">
        <f t="shared" si="14"/>
        <v>53</v>
      </c>
      <c r="B299" s="704" t="s">
        <v>646</v>
      </c>
      <c r="C299" s="540"/>
      <c r="D299" s="541"/>
      <c r="E299" s="705">
        <v>138445.41</v>
      </c>
      <c r="F299" s="705">
        <v>1420</v>
      </c>
      <c r="G299" s="705">
        <v>2106</v>
      </c>
      <c r="H299" s="346">
        <f t="shared" si="13"/>
        <v>1.01</v>
      </c>
      <c r="I299" s="544"/>
    </row>
    <row r="300" spans="1:9" ht="19.5" customHeight="1">
      <c r="A300" s="474">
        <f t="shared" si="14"/>
        <v>54</v>
      </c>
      <c r="B300" s="704" t="s">
        <v>646</v>
      </c>
      <c r="C300" s="540"/>
      <c r="D300" s="541"/>
      <c r="E300" s="705">
        <v>131286.44</v>
      </c>
      <c r="F300" s="705">
        <v>1456</v>
      </c>
      <c r="G300" s="705">
        <v>2109</v>
      </c>
      <c r="H300" s="346">
        <f t="shared" si="13"/>
        <v>1.01</v>
      </c>
      <c r="I300" s="544"/>
    </row>
    <row r="301" spans="1:9" ht="19.5" customHeight="1">
      <c r="A301" s="474">
        <f t="shared" si="14"/>
        <v>55</v>
      </c>
      <c r="B301" s="704" t="s">
        <v>646</v>
      </c>
      <c r="C301" s="540"/>
      <c r="D301" s="541"/>
      <c r="E301" s="705">
        <v>144682.93180520742</v>
      </c>
      <c r="F301" s="705">
        <v>1154</v>
      </c>
      <c r="G301" s="705">
        <v>1677.5000000000016</v>
      </c>
      <c r="H301" s="346">
        <f t="shared" si="13"/>
        <v>0.81</v>
      </c>
      <c r="I301" s="544"/>
    </row>
    <row r="302" spans="1:9" ht="19.5" customHeight="1">
      <c r="A302" s="474">
        <f t="shared" si="14"/>
        <v>56</v>
      </c>
      <c r="B302" s="704" t="s">
        <v>646</v>
      </c>
      <c r="C302" s="540"/>
      <c r="D302" s="541"/>
      <c r="E302" s="705">
        <v>72850.72</v>
      </c>
      <c r="F302" s="705">
        <v>1127</v>
      </c>
      <c r="G302" s="705">
        <v>1107</v>
      </c>
      <c r="H302" s="346">
        <f t="shared" si="13"/>
        <v>0.53</v>
      </c>
      <c r="I302" s="544"/>
    </row>
    <row r="303" spans="1:9" ht="19.5" customHeight="1">
      <c r="A303" s="474">
        <f t="shared" si="14"/>
        <v>57</v>
      </c>
      <c r="B303" s="704" t="s">
        <v>646</v>
      </c>
      <c r="C303" s="540"/>
      <c r="D303" s="541"/>
      <c r="E303" s="705">
        <v>78033.34</v>
      </c>
      <c r="F303" s="705">
        <v>1121</v>
      </c>
      <c r="G303" s="705">
        <v>1000</v>
      </c>
      <c r="H303" s="346">
        <f t="shared" si="13"/>
        <v>0.48</v>
      </c>
      <c r="I303" s="544"/>
    </row>
    <row r="304" spans="1:9" ht="19.5" customHeight="1">
      <c r="A304" s="474">
        <f t="shared" si="14"/>
        <v>58</v>
      </c>
      <c r="B304" s="704" t="s">
        <v>647</v>
      </c>
      <c r="C304" s="540"/>
      <c r="D304" s="541"/>
      <c r="E304" s="705">
        <v>13009.10876738539</v>
      </c>
      <c r="F304" s="705">
        <v>1260</v>
      </c>
      <c r="G304" s="705">
        <v>360</v>
      </c>
      <c r="H304" s="346">
        <f t="shared" si="13"/>
        <v>0.17</v>
      </c>
      <c r="I304" s="544"/>
    </row>
    <row r="305" spans="1:9" ht="19.5" customHeight="1">
      <c r="A305" s="474">
        <f t="shared" si="14"/>
        <v>59</v>
      </c>
      <c r="B305" s="704" t="s">
        <v>647</v>
      </c>
      <c r="C305" s="540"/>
      <c r="D305" s="541"/>
      <c r="E305" s="705">
        <v>66338.87</v>
      </c>
      <c r="F305" s="705">
        <v>373</v>
      </c>
      <c r="G305" s="705">
        <v>1803.9</v>
      </c>
      <c r="H305" s="346">
        <f t="shared" si="13"/>
        <v>0.87</v>
      </c>
      <c r="I305" s="544"/>
    </row>
    <row r="306" spans="1:9" ht="19.5" customHeight="1">
      <c r="A306" s="474">
        <f t="shared" si="14"/>
        <v>60</v>
      </c>
      <c r="B306" s="704" t="s">
        <v>647</v>
      </c>
      <c r="C306" s="540"/>
      <c r="D306" s="541"/>
      <c r="E306" s="705">
        <v>63319.50652734162</v>
      </c>
      <c r="F306" s="705">
        <v>339</v>
      </c>
      <c r="G306" s="705">
        <v>1720</v>
      </c>
      <c r="H306" s="346">
        <f t="shared" si="13"/>
        <v>0.83</v>
      </c>
      <c r="I306" s="544"/>
    </row>
    <row r="307" spans="1:9" ht="19.5" customHeight="1">
      <c r="A307" s="474">
        <f t="shared" si="14"/>
        <v>61</v>
      </c>
      <c r="B307" s="704" t="s">
        <v>647</v>
      </c>
      <c r="C307" s="540"/>
      <c r="D307" s="541"/>
      <c r="E307" s="705">
        <v>63306.83</v>
      </c>
      <c r="F307" s="705">
        <v>439</v>
      </c>
      <c r="G307" s="705">
        <v>1720</v>
      </c>
      <c r="H307" s="346">
        <f t="shared" si="13"/>
        <v>0.83</v>
      </c>
      <c r="I307" s="544"/>
    </row>
    <row r="308" spans="1:9" ht="19.5" customHeight="1">
      <c r="A308" s="474">
        <f t="shared" si="14"/>
        <v>62</v>
      </c>
      <c r="B308" s="704" t="s">
        <v>647</v>
      </c>
      <c r="C308" s="540"/>
      <c r="D308" s="541"/>
      <c r="E308" s="705">
        <v>63306.82</v>
      </c>
      <c r="F308" s="705">
        <v>322</v>
      </c>
      <c r="G308" s="705">
        <v>1720</v>
      </c>
      <c r="H308" s="346">
        <f t="shared" si="13"/>
        <v>0.83</v>
      </c>
      <c r="I308" s="544"/>
    </row>
    <row r="309" spans="1:9" ht="19.5" customHeight="1">
      <c r="A309" s="474"/>
      <c r="B309" s="941" t="s">
        <v>927</v>
      </c>
      <c r="C309" s="706"/>
      <c r="D309" s="707"/>
      <c r="E309" s="709">
        <f>SUM(E289:E308)</f>
        <v>2077974.537393088</v>
      </c>
      <c r="F309" s="709">
        <f>SUM(F289:F308)</f>
        <v>22237</v>
      </c>
      <c r="G309" s="709">
        <f>SUM(G289:G308)</f>
        <v>34097.33</v>
      </c>
      <c r="H309" s="708">
        <f>SUM(H251:H268)</f>
        <v>13.410000000000002</v>
      </c>
      <c r="I309" s="544"/>
    </row>
    <row r="310" spans="1:9" ht="19.5" customHeight="1">
      <c r="A310" s="474"/>
      <c r="B310" s="710"/>
      <c r="C310" s="540"/>
      <c r="D310" s="541"/>
      <c r="E310" s="711"/>
      <c r="F310" s="695"/>
      <c r="G310" s="657"/>
      <c r="H310" s="658"/>
      <c r="I310" s="544"/>
    </row>
    <row r="311" spans="1:9" ht="19.5" customHeight="1">
      <c r="A311" s="474"/>
      <c r="B311" s="697"/>
      <c r="C311" s="540"/>
      <c r="D311" s="541"/>
      <c r="E311" s="711"/>
      <c r="F311" s="695"/>
      <c r="G311" s="657"/>
      <c r="H311" s="658"/>
      <c r="I311" s="544"/>
    </row>
    <row r="312" spans="1:9" ht="19.5" customHeight="1">
      <c r="A312" s="474"/>
      <c r="B312" s="697"/>
      <c r="C312" s="540"/>
      <c r="D312" s="541"/>
      <c r="E312" s="711"/>
      <c r="F312" s="695"/>
      <c r="G312" s="657"/>
      <c r="H312" s="658"/>
      <c r="I312" s="544"/>
    </row>
    <row r="313" spans="1:9" ht="19.5" customHeight="1">
      <c r="A313" s="474"/>
      <c r="B313" s="937" t="s">
        <v>924</v>
      </c>
      <c r="C313" s="540"/>
      <c r="D313" s="541"/>
      <c r="E313" s="711"/>
      <c r="F313" s="695"/>
      <c r="G313" s="657"/>
      <c r="H313" s="658"/>
      <c r="I313" s="544"/>
    </row>
    <row r="314" spans="1:9" ht="19.5" customHeight="1">
      <c r="A314" s="474">
        <f>+A308+1</f>
        <v>63</v>
      </c>
      <c r="B314" s="704" t="s">
        <v>586</v>
      </c>
      <c r="C314" s="540"/>
      <c r="D314" s="541"/>
      <c r="E314" s="705">
        <v>144422.0739590315</v>
      </c>
      <c r="F314" s="705">
        <v>922</v>
      </c>
      <c r="G314" s="705">
        <v>924</v>
      </c>
      <c r="H314" s="346">
        <f aca="true" t="shared" si="16" ref="H314:H319">ROUND(G314/2080,2)</f>
        <v>0.44</v>
      </c>
      <c r="I314" s="544"/>
    </row>
    <row r="315" spans="1:9" ht="19.5" customHeight="1">
      <c r="A315" s="474">
        <f>+A314+1</f>
        <v>64</v>
      </c>
      <c r="B315" s="704" t="s">
        <v>586</v>
      </c>
      <c r="C315" s="540"/>
      <c r="D315" s="541"/>
      <c r="E315" s="705">
        <v>306945.97</v>
      </c>
      <c r="F315" s="705">
        <v>2832</v>
      </c>
      <c r="G315" s="705">
        <v>2080</v>
      </c>
      <c r="H315" s="346">
        <f t="shared" si="16"/>
        <v>1</v>
      </c>
      <c r="I315" s="544"/>
    </row>
    <row r="316" spans="1:9" ht="19.5" customHeight="1">
      <c r="A316" s="474">
        <f>+A315+1</f>
        <v>65</v>
      </c>
      <c r="B316" s="704" t="s">
        <v>586</v>
      </c>
      <c r="C316" s="540"/>
      <c r="D316" s="541"/>
      <c r="E316" s="705">
        <v>94297.5</v>
      </c>
      <c r="F316" s="705">
        <v>273</v>
      </c>
      <c r="G316" s="705">
        <v>745.25</v>
      </c>
      <c r="H316" s="346">
        <f t="shared" si="16"/>
        <v>0.36</v>
      </c>
      <c r="I316" s="544"/>
    </row>
    <row r="317" spans="1:9" ht="19.5" customHeight="1">
      <c r="A317" s="474">
        <f>+A316+1</f>
        <v>66</v>
      </c>
      <c r="B317" s="704" t="s">
        <v>586</v>
      </c>
      <c r="C317" s="540"/>
      <c r="D317" s="541"/>
      <c r="E317" s="705">
        <v>52857.20174848124</v>
      </c>
      <c r="F317" s="705">
        <v>198</v>
      </c>
      <c r="G317" s="705">
        <v>416</v>
      </c>
      <c r="H317" s="346">
        <f t="shared" si="16"/>
        <v>0.2</v>
      </c>
      <c r="I317" s="544"/>
    </row>
    <row r="318" spans="1:9" ht="19.5" customHeight="1">
      <c r="A318" s="474">
        <f>+A317+1</f>
        <v>67</v>
      </c>
      <c r="B318" s="704" t="s">
        <v>586</v>
      </c>
      <c r="C318" s="540"/>
      <c r="D318" s="541"/>
      <c r="E318" s="705">
        <v>221653.79517216882</v>
      </c>
      <c r="F318" s="705">
        <v>831</v>
      </c>
      <c r="G318" s="705">
        <v>1509</v>
      </c>
      <c r="H318" s="346">
        <f t="shared" si="16"/>
        <v>0.73</v>
      </c>
      <c r="I318" s="544"/>
    </row>
    <row r="319" spans="1:9" ht="19.5" customHeight="1">
      <c r="A319" s="474">
        <f>+A318+1</f>
        <v>68</v>
      </c>
      <c r="B319" s="704" t="s">
        <v>586</v>
      </c>
      <c r="C319" s="540"/>
      <c r="D319" s="541"/>
      <c r="E319" s="705">
        <v>139969.6517417299</v>
      </c>
      <c r="F319" s="705">
        <v>1307</v>
      </c>
      <c r="G319" s="705">
        <v>1252</v>
      </c>
      <c r="H319" s="346">
        <f t="shared" si="16"/>
        <v>0.6</v>
      </c>
      <c r="I319" s="544"/>
    </row>
    <row r="320" spans="1:9" ht="19.5" customHeight="1">
      <c r="A320" s="474"/>
      <c r="B320" s="697"/>
      <c r="C320" s="540"/>
      <c r="D320" s="541"/>
      <c r="E320" s="711"/>
      <c r="F320" s="695"/>
      <c r="G320" s="657"/>
      <c r="H320" s="658"/>
      <c r="I320" s="544"/>
    </row>
    <row r="321" spans="1:9" ht="19.5" customHeight="1">
      <c r="A321" s="474"/>
      <c r="B321" s="697"/>
      <c r="C321" s="706" t="s">
        <v>925</v>
      </c>
      <c r="D321" s="541"/>
      <c r="E321" s="938">
        <f>SUM(E314:E320)</f>
        <v>960146.1926214114</v>
      </c>
      <c r="F321" s="938">
        <f>SUM(F314:F320)</f>
        <v>6363</v>
      </c>
      <c r="G321" s="938">
        <f>SUM(G314:G320)</f>
        <v>6926.25</v>
      </c>
      <c r="H321" s="939">
        <f>ROUND(G321/2080,2)</f>
        <v>3.33</v>
      </c>
      <c r="I321" s="544"/>
    </row>
    <row r="322" spans="1:9" ht="19.5" customHeight="1">
      <c r="A322" s="474"/>
      <c r="B322" s="697"/>
      <c r="C322" s="540"/>
      <c r="D322" s="541"/>
      <c r="E322" s="711"/>
      <c r="F322" s="695"/>
      <c r="G322" s="657"/>
      <c r="H322" s="658"/>
      <c r="I322" s="544"/>
    </row>
    <row r="323" spans="1:9" ht="19.5" customHeight="1">
      <c r="A323" s="474"/>
      <c r="B323" s="697"/>
      <c r="C323" s="540"/>
      <c r="D323" s="541"/>
      <c r="E323" s="711"/>
      <c r="F323" s="695"/>
      <c r="G323" s="657"/>
      <c r="H323" s="658"/>
      <c r="I323" s="544"/>
    </row>
    <row r="324" spans="1:9" ht="19.5" customHeight="1">
      <c r="A324" s="474"/>
      <c r="B324" s="697"/>
      <c r="C324" s="540"/>
      <c r="D324" s="541"/>
      <c r="E324" s="711"/>
      <c r="F324" s="695"/>
      <c r="G324" s="657"/>
      <c r="H324" s="658"/>
      <c r="I324" s="544"/>
    </row>
    <row r="325" spans="1:9" ht="19.5" customHeight="1">
      <c r="A325" s="474"/>
      <c r="B325" s="697"/>
      <c r="C325" s="540"/>
      <c r="D325" s="541"/>
      <c r="E325" s="711"/>
      <c r="F325" s="695"/>
      <c r="G325" s="657"/>
      <c r="H325" s="658"/>
      <c r="I325" s="544"/>
    </row>
    <row r="326" spans="1:9" ht="19.5" customHeight="1">
      <c r="A326" s="474"/>
      <c r="B326" s="697"/>
      <c r="C326" s="540"/>
      <c r="D326" s="541"/>
      <c r="E326" s="711"/>
      <c r="F326" s="695"/>
      <c r="G326" s="657"/>
      <c r="H326" s="658"/>
      <c r="I326" s="544"/>
    </row>
    <row r="327" spans="1:9" ht="19.5" customHeight="1">
      <c r="A327" s="474"/>
      <c r="B327" s="697"/>
      <c r="C327" s="540"/>
      <c r="D327" s="541"/>
      <c r="E327" s="711"/>
      <c r="F327" s="695"/>
      <c r="G327" s="657"/>
      <c r="H327" s="658"/>
      <c r="I327" s="544"/>
    </row>
    <row r="328" spans="1:9" ht="19.5" customHeight="1">
      <c r="A328" s="474"/>
      <c r="B328" s="697"/>
      <c r="C328" s="540"/>
      <c r="D328" s="541"/>
      <c r="E328" s="711"/>
      <c r="F328" s="695"/>
      <c r="G328" s="657"/>
      <c r="H328" s="658"/>
      <c r="I328" s="544"/>
    </row>
    <row r="329" spans="1:9" ht="19.5" customHeight="1">
      <c r="A329" s="474"/>
      <c r="B329" s="697"/>
      <c r="C329" s="638"/>
      <c r="D329" s="639"/>
      <c r="E329" s="711"/>
      <c r="F329" s="695"/>
      <c r="G329" s="657"/>
      <c r="H329" s="658"/>
      <c r="I329" s="544"/>
    </row>
    <row r="330" spans="1:9" ht="19.5" customHeight="1">
      <c r="A330" s="474"/>
      <c r="B330" s="697"/>
      <c r="C330" s="638"/>
      <c r="D330" s="639"/>
      <c r="E330" s="711"/>
      <c r="F330" s="695"/>
      <c r="G330" s="657"/>
      <c r="H330" s="658"/>
      <c r="I330" s="544"/>
    </row>
    <row r="331" spans="1:9" ht="19.5" customHeight="1">
      <c r="A331" s="474"/>
      <c r="B331" s="697"/>
      <c r="C331" s="638"/>
      <c r="D331" s="639"/>
      <c r="E331" s="711"/>
      <c r="F331" s="695"/>
      <c r="G331" s="657"/>
      <c r="H331" s="658"/>
      <c r="I331" s="544"/>
    </row>
    <row r="332" spans="1:9" ht="19.5" customHeight="1">
      <c r="A332" s="474"/>
      <c r="B332" s="697"/>
      <c r="C332" s="638"/>
      <c r="D332" s="639"/>
      <c r="E332" s="711"/>
      <c r="F332" s="695"/>
      <c r="G332" s="657"/>
      <c r="H332" s="658"/>
      <c r="I332" s="544"/>
    </row>
    <row r="333" spans="1:9" ht="19.5" customHeight="1">
      <c r="A333" s="474"/>
      <c r="B333" s="697"/>
      <c r="C333" s="638"/>
      <c r="D333" s="639"/>
      <c r="E333" s="711"/>
      <c r="F333" s="695"/>
      <c r="G333" s="657"/>
      <c r="H333" s="658"/>
      <c r="I333" s="544"/>
    </row>
    <row r="334" spans="1:9" ht="19.5" customHeight="1">
      <c r="A334" s="474"/>
      <c r="B334" s="697"/>
      <c r="C334" s="638"/>
      <c r="D334" s="639"/>
      <c r="E334" s="711"/>
      <c r="F334" s="695"/>
      <c r="G334" s="657"/>
      <c r="H334" s="658"/>
      <c r="I334" s="544"/>
    </row>
    <row r="335" spans="1:9" ht="19.5" customHeight="1">
      <c r="A335" s="474"/>
      <c r="B335" s="697"/>
      <c r="C335" s="638"/>
      <c r="D335" s="639"/>
      <c r="E335" s="711"/>
      <c r="F335" s="695"/>
      <c r="G335" s="657"/>
      <c r="H335" s="658"/>
      <c r="I335" s="544"/>
    </row>
    <row r="336" spans="1:9" ht="19.5" customHeight="1">
      <c r="A336" s="474"/>
      <c r="B336" s="916" t="s">
        <v>889</v>
      </c>
      <c r="C336" s="873"/>
      <c r="D336" s="874"/>
      <c r="E336" s="875">
        <f>+E286+E309+E321</f>
        <v>4832877.632573048</v>
      </c>
      <c r="F336" s="875">
        <f>+F286+F309+F321</f>
        <v>35083</v>
      </c>
      <c r="G336" s="875">
        <f>+G286+G309+G321</f>
        <v>88644.08</v>
      </c>
      <c r="H336" s="872">
        <f>ROUND(G336/2080,2)</f>
        <v>42.62</v>
      </c>
      <c r="I336" s="544"/>
    </row>
    <row r="337" spans="1:9" ht="24.75" customHeight="1" thickBot="1">
      <c r="A337" s="399"/>
      <c r="B337" s="1170" t="s">
        <v>888</v>
      </c>
      <c r="C337" s="1171"/>
      <c r="D337" s="1172"/>
      <c r="E337" s="942">
        <f>+E336+E248+E68</f>
        <v>17777146.771077976</v>
      </c>
      <c r="F337" s="942">
        <f>+F336+F248+F68</f>
        <v>222463</v>
      </c>
      <c r="G337" s="942">
        <f>+G336+G248+G68</f>
        <v>450932.546453</v>
      </c>
      <c r="H337" s="943">
        <f>ROUND(G337/2080,2)</f>
        <v>216.79</v>
      </c>
      <c r="I337" s="544"/>
    </row>
    <row r="338" spans="1:8" ht="19.5" customHeight="1" thickBot="1" thickTop="1">
      <c r="A338" s="400"/>
      <c r="B338" s="401"/>
      <c r="C338" s="401"/>
      <c r="D338" s="401"/>
      <c r="E338" s="312"/>
      <c r="F338" s="311"/>
      <c r="G338" s="312"/>
      <c r="H338" s="402"/>
    </row>
    <row r="340" spans="4:8" ht="12.75">
      <c r="D340" s="870" t="s">
        <v>759</v>
      </c>
      <c r="E340" s="871">
        <f>+E336+E248+E68</f>
        <v>17777146.771077976</v>
      </c>
      <c r="F340" s="871">
        <f>+F336+F248+F68</f>
        <v>222463</v>
      </c>
      <c r="G340" s="871">
        <f>+G336+G248+G68</f>
        <v>450932.546453</v>
      </c>
      <c r="H340" s="876">
        <f>ROUND(G340/2080,2)</f>
        <v>216.79</v>
      </c>
    </row>
    <row r="341" spans="5:7" ht="12.75">
      <c r="E341" s="545"/>
      <c r="F341" s="545"/>
      <c r="G341" s="545"/>
    </row>
    <row r="343" spans="4:6" ht="12.75">
      <c r="D343" s="149"/>
      <c r="F343" s="880"/>
    </row>
    <row r="345" spans="4:6" ht="12.75">
      <c r="D345" s="149"/>
      <c r="F345" s="932"/>
    </row>
  </sheetData>
  <sheetProtection/>
  <mergeCells count="16">
    <mergeCell ref="A13:D15"/>
    <mergeCell ref="G13:H13"/>
    <mergeCell ref="B17:D17"/>
    <mergeCell ref="B18:D18"/>
    <mergeCell ref="A1:H1"/>
    <mergeCell ref="A2:H2"/>
    <mergeCell ref="A3:H3"/>
    <mergeCell ref="A4:H4"/>
    <mergeCell ref="C8:G8"/>
    <mergeCell ref="A12:H12"/>
    <mergeCell ref="B337:D337"/>
    <mergeCell ref="B250:D250"/>
    <mergeCell ref="B248:D248"/>
    <mergeCell ref="B68:D68"/>
    <mergeCell ref="B69:D69"/>
    <mergeCell ref="B70:D70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41"/>
  <sheetViews>
    <sheetView zoomScalePageLayoutView="0" workbookViewId="0" topLeftCell="A4">
      <selection activeCell="O30" sqref="O30"/>
    </sheetView>
  </sheetViews>
  <sheetFormatPr defaultColWidth="9.140625" defaultRowHeight="12.75"/>
  <cols>
    <col min="1" max="1" width="3.57421875" style="155" customWidth="1"/>
    <col min="2" max="4" width="13.140625" style="14" customWidth="1"/>
    <col min="5" max="5" width="12.421875" style="14" bestFit="1" customWidth="1"/>
    <col min="6" max="6" width="14.140625" style="14" bestFit="1" customWidth="1"/>
    <col min="7" max="7" width="10.421875" style="14" customWidth="1"/>
    <col min="8" max="8" width="10.140625" style="14" customWidth="1"/>
    <col min="9" max="9" width="8.140625" style="14" customWidth="1"/>
    <col min="10" max="10" width="10.8515625" style="14" bestFit="1" customWidth="1"/>
    <col min="11" max="11" width="11.00390625" style="14" bestFit="1" customWidth="1"/>
    <col min="12" max="13" width="12.140625" style="14" customWidth="1"/>
    <col min="14" max="16384" width="9.140625" style="14" customWidth="1"/>
  </cols>
  <sheetData>
    <row r="1" spans="1:22" ht="12.75">
      <c r="A1" s="1107" t="s">
        <v>45</v>
      </c>
      <c r="B1" s="1107"/>
      <c r="C1" s="1107"/>
      <c r="D1" s="1107"/>
      <c r="E1" s="1107"/>
      <c r="F1" s="1107"/>
      <c r="G1" s="1107"/>
      <c r="H1" s="1107"/>
      <c r="I1" s="1107"/>
      <c r="J1" s="1107"/>
      <c r="K1" s="1107"/>
      <c r="L1" s="1107"/>
      <c r="M1" s="1107"/>
      <c r="N1" s="75"/>
      <c r="O1" s="75"/>
      <c r="P1" s="75"/>
      <c r="Q1" s="75"/>
      <c r="R1" s="75"/>
      <c r="S1" s="75"/>
      <c r="T1" s="75"/>
      <c r="U1" s="75"/>
      <c r="V1" s="75"/>
    </row>
    <row r="2" spans="1:22" ht="12.75">
      <c r="A2" s="1107" t="s">
        <v>46</v>
      </c>
      <c r="B2" s="1107"/>
      <c r="C2" s="1107"/>
      <c r="D2" s="1107"/>
      <c r="E2" s="1107"/>
      <c r="F2" s="1107"/>
      <c r="G2" s="1107"/>
      <c r="H2" s="1107"/>
      <c r="I2" s="1107"/>
      <c r="J2" s="1107"/>
      <c r="K2" s="1107"/>
      <c r="L2" s="1107"/>
      <c r="M2" s="1107"/>
      <c r="N2" s="75"/>
      <c r="O2" s="75"/>
      <c r="P2" s="75"/>
      <c r="Q2" s="75"/>
      <c r="R2" s="75"/>
      <c r="S2" s="75"/>
      <c r="T2" s="75"/>
      <c r="U2" s="75"/>
      <c r="V2" s="75"/>
    </row>
    <row r="3" spans="1:22" ht="12.75">
      <c r="A3" s="1107" t="s">
        <v>47</v>
      </c>
      <c r="B3" s="1107"/>
      <c r="C3" s="1107"/>
      <c r="D3" s="1107"/>
      <c r="E3" s="1107"/>
      <c r="F3" s="1107"/>
      <c r="G3" s="1107"/>
      <c r="H3" s="1107"/>
      <c r="I3" s="1107"/>
      <c r="J3" s="1107"/>
      <c r="K3" s="1107"/>
      <c r="L3" s="1107"/>
      <c r="M3" s="1107"/>
      <c r="N3" s="75"/>
      <c r="O3" s="75"/>
      <c r="P3" s="75"/>
      <c r="Q3" s="75"/>
      <c r="R3" s="75"/>
      <c r="S3" s="75"/>
      <c r="T3" s="75"/>
      <c r="U3" s="75"/>
      <c r="V3" s="75"/>
    </row>
    <row r="4" spans="1:22" ht="12.75">
      <c r="A4" s="1107" t="s">
        <v>48</v>
      </c>
      <c r="B4" s="1107"/>
      <c r="C4" s="1107"/>
      <c r="D4" s="1107"/>
      <c r="E4" s="1107"/>
      <c r="F4" s="1107"/>
      <c r="G4" s="1107"/>
      <c r="H4" s="1107"/>
      <c r="I4" s="1107"/>
      <c r="J4" s="1107"/>
      <c r="K4" s="1107"/>
      <c r="L4" s="1107"/>
      <c r="M4" s="1107"/>
      <c r="N4" s="75"/>
      <c r="O4" s="75"/>
      <c r="P4" s="75"/>
      <c r="Q4" s="75"/>
      <c r="R4" s="75"/>
      <c r="S4" s="75"/>
      <c r="T4" s="75"/>
      <c r="U4" s="75"/>
      <c r="V4" s="75"/>
    </row>
    <row r="5" spans="1:22" ht="13.5" thickBot="1">
      <c r="A5" s="151"/>
      <c r="B5" s="12"/>
      <c r="C5" s="12"/>
      <c r="D5" s="12"/>
      <c r="E5" s="440"/>
      <c r="F5" s="440"/>
      <c r="G5" s="440"/>
      <c r="H5" s="440"/>
      <c r="I5" s="440"/>
      <c r="J5" s="440"/>
      <c r="K5" s="440"/>
      <c r="L5" s="440"/>
      <c r="M5" s="440"/>
      <c r="N5" s="424"/>
      <c r="O5" s="424"/>
      <c r="P5" s="424"/>
      <c r="Q5" s="424"/>
      <c r="R5" s="424"/>
      <c r="S5" s="424"/>
      <c r="T5" s="424"/>
      <c r="U5" s="424"/>
      <c r="V5" s="424"/>
    </row>
    <row r="6" spans="1:23" ht="21.75" customHeight="1">
      <c r="A6" s="152"/>
      <c r="B6" s="77" t="s">
        <v>54</v>
      </c>
      <c r="C6" s="77"/>
      <c r="D6" s="78" t="s">
        <v>6</v>
      </c>
      <c r="E6" s="94">
        <f>'P1 Info &amp; Certification'!L20</f>
        <v>44013</v>
      </c>
      <c r="F6" s="96"/>
      <c r="G6" s="96"/>
      <c r="H6" s="96"/>
      <c r="I6" s="96"/>
      <c r="J6" s="96"/>
      <c r="K6" s="148"/>
      <c r="L6" s="95" t="str">
        <f>'P1 Info &amp; Certification'!M20</f>
        <v>To</v>
      </c>
      <c r="M6" s="443">
        <f>'P1 Info &amp; Certification'!N20</f>
        <v>44377</v>
      </c>
      <c r="N6" s="147"/>
      <c r="O6" s="429"/>
      <c r="P6" s="13"/>
      <c r="Q6" s="426"/>
      <c r="R6" s="428"/>
      <c r="S6" s="147"/>
      <c r="T6" s="147"/>
      <c r="U6" s="428"/>
      <c r="V6" s="146"/>
      <c r="W6" s="146"/>
    </row>
    <row r="7" spans="1:23" ht="12.75">
      <c r="A7" s="153"/>
      <c r="B7" s="458"/>
      <c r="C7" s="458"/>
      <c r="D7" s="458"/>
      <c r="E7" s="13"/>
      <c r="F7" s="13"/>
      <c r="G7" s="13"/>
      <c r="H7" s="13"/>
      <c r="I7" s="13"/>
      <c r="J7" s="13"/>
      <c r="K7" s="13"/>
      <c r="L7" s="13"/>
      <c r="M7" s="81"/>
      <c r="N7" s="13"/>
      <c r="O7" s="13"/>
      <c r="P7" s="13"/>
      <c r="Q7" s="13"/>
      <c r="R7" s="13"/>
      <c r="S7" s="13"/>
      <c r="T7" s="13"/>
      <c r="U7" s="13"/>
      <c r="V7" s="146"/>
      <c r="W7" s="146"/>
    </row>
    <row r="8" spans="1:23" ht="22.5" customHeight="1" thickBot="1">
      <c r="A8" s="154"/>
      <c r="B8" s="84" t="s">
        <v>59</v>
      </c>
      <c r="C8" s="1115" t="str">
        <f>'P1 Info &amp; Certification'!E12</f>
        <v>COMMUNITY HEALTH CENTER, INC.</v>
      </c>
      <c r="D8" s="1115"/>
      <c r="E8" s="1115"/>
      <c r="F8" s="1115"/>
      <c r="G8" s="1115"/>
      <c r="H8" s="1115"/>
      <c r="I8" s="1115"/>
      <c r="J8" s="1115"/>
      <c r="K8" s="1115"/>
      <c r="L8" s="1115"/>
      <c r="M8" s="464"/>
      <c r="N8" s="427"/>
      <c r="O8" s="427"/>
      <c r="P8" s="427"/>
      <c r="Q8" s="427"/>
      <c r="R8" s="427"/>
      <c r="S8" s="427"/>
      <c r="T8" s="427"/>
      <c r="U8" s="427"/>
      <c r="V8" s="146"/>
      <c r="W8" s="146"/>
    </row>
    <row r="9" spans="1:23" ht="12.75">
      <c r="A9" s="471"/>
      <c r="B9" s="472"/>
      <c r="C9" s="472"/>
      <c r="D9" s="472"/>
      <c r="E9" s="472"/>
      <c r="F9" s="472"/>
      <c r="G9" s="472"/>
      <c r="H9" s="472"/>
      <c r="I9" s="472"/>
      <c r="J9" s="472"/>
      <c r="K9" s="472"/>
      <c r="L9" s="472"/>
      <c r="M9" s="472"/>
      <c r="N9" s="423"/>
      <c r="O9" s="423"/>
      <c r="P9" s="423"/>
      <c r="Q9" s="423"/>
      <c r="R9" s="423"/>
      <c r="S9" s="423"/>
      <c r="T9" s="423"/>
      <c r="U9" s="423"/>
      <c r="V9" s="146"/>
      <c r="W9" s="146"/>
    </row>
    <row r="10" spans="1:13" ht="12.75">
      <c r="A10" s="15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</row>
    <row r="11" spans="1:13" ht="13.5" thickBot="1">
      <c r="A11" s="15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296" t="s">
        <v>349</v>
      </c>
    </row>
    <row r="12" spans="1:13" ht="28.5" customHeight="1">
      <c r="A12" s="1176" t="s">
        <v>322</v>
      </c>
      <c r="B12" s="1177"/>
      <c r="C12" s="1177"/>
      <c r="D12" s="1177"/>
      <c r="E12" s="1177"/>
      <c r="F12" s="1177"/>
      <c r="G12" s="1177"/>
      <c r="H12" s="1177"/>
      <c r="I12" s="1177"/>
      <c r="J12" s="1177"/>
      <c r="K12" s="1177"/>
      <c r="L12" s="1177"/>
      <c r="M12" s="1179"/>
    </row>
    <row r="13" spans="1:13" ht="12.75">
      <c r="A13" s="1161" t="s">
        <v>322</v>
      </c>
      <c r="B13" s="1162"/>
      <c r="C13" s="1162"/>
      <c r="D13" s="1190"/>
      <c r="E13" s="366"/>
      <c r="F13" s="366"/>
      <c r="G13" s="434" t="s">
        <v>310</v>
      </c>
      <c r="H13" s="435"/>
      <c r="I13" s="434" t="s">
        <v>313</v>
      </c>
      <c r="J13" s="435"/>
      <c r="K13" s="413"/>
      <c r="L13" s="1180" t="s">
        <v>316</v>
      </c>
      <c r="M13" s="1181"/>
    </row>
    <row r="14" spans="1:13" ht="12.75">
      <c r="A14" s="1163"/>
      <c r="B14" s="1164"/>
      <c r="C14" s="1164"/>
      <c r="D14" s="1164"/>
      <c r="E14" s="364" t="s">
        <v>308</v>
      </c>
      <c r="F14" s="364" t="s">
        <v>1</v>
      </c>
      <c r="G14" s="364"/>
      <c r="H14" s="364"/>
      <c r="I14" s="364"/>
      <c r="J14" s="364"/>
      <c r="K14" s="414"/>
      <c r="L14" s="169" t="s">
        <v>272</v>
      </c>
      <c r="M14" s="204" t="s">
        <v>317</v>
      </c>
    </row>
    <row r="15" spans="1:13" ht="12.75" customHeight="1">
      <c r="A15" s="1165"/>
      <c r="B15" s="1166"/>
      <c r="C15" s="1166"/>
      <c r="D15" s="1166"/>
      <c r="E15" s="367" t="s">
        <v>309</v>
      </c>
      <c r="F15" s="367" t="s">
        <v>266</v>
      </c>
      <c r="G15" s="367" t="s">
        <v>311</v>
      </c>
      <c r="H15" s="367" t="s">
        <v>312</v>
      </c>
      <c r="I15" s="367" t="s">
        <v>315</v>
      </c>
      <c r="J15" s="367" t="s">
        <v>314</v>
      </c>
      <c r="K15" s="415" t="s">
        <v>254</v>
      </c>
      <c r="L15" s="170" t="s">
        <v>205</v>
      </c>
      <c r="M15" s="205" t="s">
        <v>318</v>
      </c>
    </row>
    <row r="16" spans="1:13" ht="12.75" customHeight="1">
      <c r="A16" s="452"/>
      <c r="B16" s="447"/>
      <c r="C16" s="447"/>
      <c r="D16" s="447"/>
      <c r="E16" s="417" t="s">
        <v>60</v>
      </c>
      <c r="F16" s="417" t="s">
        <v>61</v>
      </c>
      <c r="G16" s="417" t="s">
        <v>62</v>
      </c>
      <c r="H16" s="417" t="s">
        <v>63</v>
      </c>
      <c r="I16" s="417" t="s">
        <v>64</v>
      </c>
      <c r="J16" s="417" t="s">
        <v>65</v>
      </c>
      <c r="K16" s="418" t="s">
        <v>66</v>
      </c>
      <c r="L16" s="419" t="s">
        <v>319</v>
      </c>
      <c r="M16" s="420" t="s">
        <v>320</v>
      </c>
    </row>
    <row r="17" spans="1:13" ht="12.75" customHeight="1">
      <c r="A17" s="298"/>
      <c r="B17" s="1182"/>
      <c r="C17" s="1183"/>
      <c r="D17" s="1183"/>
      <c r="E17" s="365">
        <v>4</v>
      </c>
      <c r="F17" s="365">
        <v>500000</v>
      </c>
      <c r="G17" s="365">
        <v>150000</v>
      </c>
      <c r="H17" s="365">
        <v>100000</v>
      </c>
      <c r="I17" s="365">
        <v>2</v>
      </c>
      <c r="J17" s="365">
        <v>1</v>
      </c>
      <c r="K17" s="365">
        <v>10000</v>
      </c>
      <c r="L17" s="337">
        <v>8320</v>
      </c>
      <c r="M17" s="341">
        <f>L17/2080</f>
        <v>4</v>
      </c>
    </row>
    <row r="18" spans="1:13" ht="19.5" customHeight="1">
      <c r="A18" s="207" t="s">
        <v>83</v>
      </c>
      <c r="B18" s="1184" t="s">
        <v>303</v>
      </c>
      <c r="C18" s="1185"/>
      <c r="D18" s="1186"/>
      <c r="E18" s="338"/>
      <c r="F18" s="338"/>
      <c r="G18" s="338"/>
      <c r="H18" s="338"/>
      <c r="I18" s="338"/>
      <c r="J18" s="338"/>
      <c r="K18" s="338"/>
      <c r="L18" s="390"/>
      <c r="M18" s="391"/>
    </row>
    <row r="19" spans="1:13" ht="19.5" customHeight="1">
      <c r="A19" s="253" t="s">
        <v>49</v>
      </c>
      <c r="B19" s="1197" t="s">
        <v>229</v>
      </c>
      <c r="C19" s="1198"/>
      <c r="D19" s="1199"/>
      <c r="E19" s="340"/>
      <c r="F19" s="340">
        <f>'Form B-1 Detail'!F66</f>
        <v>8514277.571700415</v>
      </c>
      <c r="G19" s="993">
        <v>315661</v>
      </c>
      <c r="H19" s="993">
        <v>146135</v>
      </c>
      <c r="I19" s="993">
        <v>8</v>
      </c>
      <c r="J19" s="993">
        <v>5</v>
      </c>
      <c r="K19" s="476">
        <f>'Form B-1 Detail'!G66</f>
        <v>112805.12</v>
      </c>
      <c r="L19" s="476">
        <f>'Form B-1 Detail'!H66</f>
        <v>77051.5</v>
      </c>
      <c r="M19" s="343">
        <f aca="true" t="shared" si="0" ref="M19:M25">ROUND(L19/2080,2)</f>
        <v>37.04</v>
      </c>
    </row>
    <row r="20" spans="1:13" ht="19.5" customHeight="1">
      <c r="A20" s="253" t="s">
        <v>50</v>
      </c>
      <c r="B20" s="1197" t="s">
        <v>206</v>
      </c>
      <c r="C20" s="1198"/>
      <c r="D20" s="1199"/>
      <c r="E20" s="340"/>
      <c r="F20" s="340">
        <f>'Form B-1 Detail'!F106</f>
        <v>3603638.7279257462</v>
      </c>
      <c r="G20" s="993">
        <v>158512</v>
      </c>
      <c r="H20" s="993">
        <v>88013</v>
      </c>
      <c r="I20" s="993">
        <v>2</v>
      </c>
      <c r="J20" s="993">
        <v>1</v>
      </c>
      <c r="K20" s="477">
        <f>'Form B-1 Detail'!G106</f>
        <v>53211</v>
      </c>
      <c r="L20" s="477">
        <f>'Form B-1 Detail'!H106</f>
        <v>69138.54</v>
      </c>
      <c r="M20" s="343">
        <f t="shared" si="0"/>
        <v>33.24</v>
      </c>
    </row>
    <row r="21" spans="1:13" ht="19.5" customHeight="1">
      <c r="A21" s="253" t="s">
        <v>82</v>
      </c>
      <c r="B21" s="1197" t="s">
        <v>287</v>
      </c>
      <c r="C21" s="1198"/>
      <c r="D21" s="1199"/>
      <c r="E21" s="340"/>
      <c r="F21" s="340">
        <f>'Form B-1 Detail'!F428</f>
        <v>14232548.249164728</v>
      </c>
      <c r="G21" s="993">
        <v>164555</v>
      </c>
      <c r="H21" s="993">
        <v>42163</v>
      </c>
      <c r="I21" s="993">
        <v>58</v>
      </c>
      <c r="J21" s="993">
        <v>47</v>
      </c>
      <c r="K21" s="476">
        <f>'Form B-1 Detail'!G428</f>
        <v>208016</v>
      </c>
      <c r="L21" s="476">
        <f>'Form B-1 Detail'!H428</f>
        <v>338975.171</v>
      </c>
      <c r="M21" s="343">
        <f t="shared" si="0"/>
        <v>162.97</v>
      </c>
    </row>
    <row r="22" spans="1:13" ht="19.5" customHeight="1">
      <c r="A22" s="253" t="s">
        <v>51</v>
      </c>
      <c r="B22" s="1197" t="s">
        <v>207</v>
      </c>
      <c r="C22" s="1198"/>
      <c r="D22" s="1199"/>
      <c r="E22" s="340"/>
      <c r="F22" s="340"/>
      <c r="G22" s="993"/>
      <c r="H22" s="993"/>
      <c r="I22" s="993"/>
      <c r="J22" s="993"/>
      <c r="K22" s="477">
        <f>'Form B-1 Detail'!G507</f>
        <v>30382</v>
      </c>
      <c r="L22" s="477">
        <f>'Form B-1 Detail'!H507</f>
        <v>20659.76</v>
      </c>
      <c r="M22" s="343">
        <f t="shared" si="0"/>
        <v>9.93</v>
      </c>
    </row>
    <row r="23" spans="1:13" ht="19.5" customHeight="1">
      <c r="A23" s="253" t="s">
        <v>156</v>
      </c>
      <c r="B23" s="1197" t="s">
        <v>323</v>
      </c>
      <c r="C23" s="1198"/>
      <c r="D23" s="1199"/>
      <c r="E23" s="340"/>
      <c r="F23" s="340"/>
      <c r="G23" s="993"/>
      <c r="H23" s="993"/>
      <c r="I23" s="993"/>
      <c r="J23" s="993"/>
      <c r="K23" s="477"/>
      <c r="L23" s="394"/>
      <c r="M23" s="343">
        <f t="shared" si="0"/>
        <v>0</v>
      </c>
    </row>
    <row r="24" spans="1:13" ht="19.5" customHeight="1">
      <c r="A24" s="253" t="s">
        <v>55</v>
      </c>
      <c r="B24" s="1197" t="s">
        <v>324</v>
      </c>
      <c r="C24" s="1198"/>
      <c r="D24" s="1199"/>
      <c r="E24" s="340"/>
      <c r="F24" s="340"/>
      <c r="G24" s="993"/>
      <c r="H24" s="993"/>
      <c r="I24" s="993"/>
      <c r="J24" s="993"/>
      <c r="K24" s="477"/>
      <c r="L24" s="394"/>
      <c r="M24" s="343">
        <f t="shared" si="0"/>
        <v>0</v>
      </c>
    </row>
    <row r="25" spans="1:13" ht="19.5" customHeight="1">
      <c r="A25" s="253" t="s">
        <v>56</v>
      </c>
      <c r="B25" s="1197" t="s">
        <v>358</v>
      </c>
      <c r="C25" s="1198"/>
      <c r="D25" s="1199"/>
      <c r="E25" s="340"/>
      <c r="F25" s="340">
        <f>'Form B-1 Detail'!F592</f>
        <v>1693695.6787325079</v>
      </c>
      <c r="G25" s="993">
        <v>243292</v>
      </c>
      <c r="H25" s="993">
        <v>38564</v>
      </c>
      <c r="I25" s="993">
        <v>44</v>
      </c>
      <c r="J25" s="993">
        <v>0</v>
      </c>
      <c r="K25" s="477">
        <f>'Form B-1 Detail'!G592</f>
        <v>17048</v>
      </c>
      <c r="L25" s="477">
        <f>'Form B-1 Detail'!H592</f>
        <v>40066.549008</v>
      </c>
      <c r="M25" s="343">
        <f t="shared" si="0"/>
        <v>19.26</v>
      </c>
    </row>
    <row r="26" spans="1:13" ht="24.75" customHeight="1" thickBot="1">
      <c r="A26" s="253"/>
      <c r="B26" s="1158" t="s">
        <v>307</v>
      </c>
      <c r="C26" s="1159"/>
      <c r="D26" s="1160"/>
      <c r="E26" s="352">
        <f>SUM(E19:E25)</f>
        <v>0</v>
      </c>
      <c r="F26" s="352">
        <f>SUM(F19:F25)</f>
        <v>28044160.227523394</v>
      </c>
      <c r="G26" s="359"/>
      <c r="H26" s="359"/>
      <c r="I26" s="352">
        <f>SUM(I19:I25)</f>
        <v>112</v>
      </c>
      <c r="J26" s="352">
        <f>SUM(J19:J25)</f>
        <v>53</v>
      </c>
      <c r="K26" s="352">
        <f>SUM(K19:K25)</f>
        <v>421462.12</v>
      </c>
      <c r="L26" s="352">
        <f>SUM(L19:L25)</f>
        <v>545891.520008</v>
      </c>
      <c r="M26" s="344">
        <f>SUM(M19:M25)</f>
        <v>262.44</v>
      </c>
    </row>
    <row r="27" spans="1:14" ht="19.5" customHeight="1" thickTop="1">
      <c r="A27" s="253"/>
      <c r="B27" s="1194"/>
      <c r="C27" s="1194"/>
      <c r="D27" s="1194"/>
      <c r="E27" s="487"/>
      <c r="F27" s="487"/>
      <c r="G27" s="487"/>
      <c r="H27" s="487"/>
      <c r="I27" s="487"/>
      <c r="J27" s="487"/>
      <c r="K27" s="294"/>
      <c r="L27" s="295"/>
      <c r="M27" s="300"/>
      <c r="N27" s="146"/>
    </row>
    <row r="28" spans="1:13" ht="19.5" customHeight="1">
      <c r="A28" s="207" t="s">
        <v>84</v>
      </c>
      <c r="B28" s="1184" t="s">
        <v>301</v>
      </c>
      <c r="C28" s="1185"/>
      <c r="D28" s="1186"/>
      <c r="E28" s="338"/>
      <c r="F28" s="338"/>
      <c r="G28" s="338"/>
      <c r="H28" s="338"/>
      <c r="I28" s="338"/>
      <c r="J28" s="338"/>
      <c r="K28" s="338"/>
      <c r="L28" s="390"/>
      <c r="M28" s="391"/>
    </row>
    <row r="29" spans="1:13" ht="19.5" customHeight="1">
      <c r="A29" s="253" t="s">
        <v>49</v>
      </c>
      <c r="B29" s="1197" t="s">
        <v>208</v>
      </c>
      <c r="C29" s="1198"/>
      <c r="D29" s="1199"/>
      <c r="E29" s="392"/>
      <c r="F29" s="392">
        <f>'Form B-2 Detail'!E39</f>
        <v>2416119.7196844704</v>
      </c>
      <c r="G29" s="994">
        <v>192881</v>
      </c>
      <c r="H29" s="994">
        <v>153361</v>
      </c>
      <c r="I29" s="994">
        <v>0</v>
      </c>
      <c r="J29" s="994">
        <v>1</v>
      </c>
      <c r="K29" s="480">
        <f>'Form B-2 Detail'!F39</f>
        <v>13125</v>
      </c>
      <c r="L29" s="480">
        <f>'Form B-2 Detail'!G39</f>
        <v>30099</v>
      </c>
      <c r="M29" s="393">
        <f>ROUND(L29/2080,2)</f>
        <v>14.47</v>
      </c>
    </row>
    <row r="30" spans="1:13" ht="19.5" customHeight="1">
      <c r="A30" s="253" t="s">
        <v>50</v>
      </c>
      <c r="B30" s="1197" t="s">
        <v>209</v>
      </c>
      <c r="C30" s="1198"/>
      <c r="D30" s="1199"/>
      <c r="E30" s="394"/>
      <c r="F30" s="394">
        <f>'Form B-2 Detail'!E68</f>
        <v>2071716.2199684754</v>
      </c>
      <c r="G30" s="657">
        <v>110974</v>
      </c>
      <c r="H30" s="657">
        <v>69223</v>
      </c>
      <c r="I30" s="657">
        <v>0</v>
      </c>
      <c r="J30" s="657">
        <v>3</v>
      </c>
      <c r="K30" s="477">
        <f>'Form B-2 Detail'!F68</f>
        <v>15435</v>
      </c>
      <c r="L30" s="477">
        <f>'Form B-2 Detail'!G68</f>
        <v>47394.869999999995</v>
      </c>
      <c r="M30" s="393">
        <f>ROUND(L30/2080,2)</f>
        <v>22.79</v>
      </c>
    </row>
    <row r="31" spans="1:13" ht="19.5" customHeight="1">
      <c r="A31" s="253" t="s">
        <v>82</v>
      </c>
      <c r="B31" s="1197" t="s">
        <v>326</v>
      </c>
      <c r="C31" s="1198"/>
      <c r="D31" s="1199"/>
      <c r="E31" s="394"/>
      <c r="F31" s="394">
        <f>'Form B-2 Detail'!E80</f>
        <v>0</v>
      </c>
      <c r="G31" s="657"/>
      <c r="H31" s="657"/>
      <c r="I31" s="657">
        <v>0</v>
      </c>
      <c r="J31" s="657">
        <v>0</v>
      </c>
      <c r="K31" s="477">
        <f>'Form B-2 Detail'!F80</f>
        <v>0</v>
      </c>
      <c r="L31" s="477">
        <f>'Form B-2 Detail'!G80</f>
        <v>0</v>
      </c>
      <c r="M31" s="393">
        <f>ROUND(L31/2080,2)</f>
        <v>0</v>
      </c>
    </row>
    <row r="32" spans="1:13" ht="24.75" customHeight="1" thickBot="1">
      <c r="A32" s="293"/>
      <c r="B32" s="1170" t="s">
        <v>305</v>
      </c>
      <c r="C32" s="1171"/>
      <c r="D32" s="1172"/>
      <c r="E32" s="473">
        <f>SUM(E29:E31)</f>
        <v>0</v>
      </c>
      <c r="F32" s="473">
        <f>SUM(F29:F31)</f>
        <v>4487835.939652946</v>
      </c>
      <c r="G32" s="359"/>
      <c r="H32" s="359"/>
      <c r="I32" s="473">
        <f>SUM(I29:I31)</f>
        <v>0</v>
      </c>
      <c r="J32" s="473">
        <f>SUM(J29:J31)</f>
        <v>4</v>
      </c>
      <c r="K32" s="473">
        <f>SUM(K29:K31)</f>
        <v>28560</v>
      </c>
      <c r="L32" s="473">
        <f>SUM(L29:L31)</f>
        <v>77493.87</v>
      </c>
      <c r="M32" s="395">
        <f>SUM(M29:M31)</f>
        <v>37.26</v>
      </c>
    </row>
    <row r="33" spans="1:13" s="146" customFormat="1" ht="19.5" customHeight="1" thickTop="1">
      <c r="A33" s="293"/>
      <c r="B33" s="375"/>
      <c r="C33" s="375"/>
      <c r="D33" s="375"/>
      <c r="E33" s="295"/>
      <c r="F33" s="295"/>
      <c r="G33" s="295"/>
      <c r="H33" s="295"/>
      <c r="I33" s="295"/>
      <c r="J33" s="295"/>
      <c r="K33" s="294"/>
      <c r="L33" s="295"/>
      <c r="M33" s="396"/>
    </row>
    <row r="34" spans="1:13" ht="19.5" customHeight="1">
      <c r="A34" s="207" t="s">
        <v>91</v>
      </c>
      <c r="B34" s="1184" t="s">
        <v>302</v>
      </c>
      <c r="C34" s="1185"/>
      <c r="D34" s="1186"/>
      <c r="E34" s="338"/>
      <c r="F34" s="338"/>
      <c r="G34" s="338"/>
      <c r="H34" s="338"/>
      <c r="I34" s="338"/>
      <c r="J34" s="338"/>
      <c r="K34" s="338"/>
      <c r="L34" s="390"/>
      <c r="M34" s="391"/>
    </row>
    <row r="35" spans="1:13" ht="19.5" customHeight="1">
      <c r="A35" s="253" t="s">
        <v>49</v>
      </c>
      <c r="B35" s="1197" t="s">
        <v>321</v>
      </c>
      <c r="C35" s="1198"/>
      <c r="D35" s="1199"/>
      <c r="E35" s="345"/>
      <c r="F35" s="345">
        <f>+'Form B-3 Detail'!E321</f>
        <v>960146.1926214114</v>
      </c>
      <c r="G35" s="995">
        <v>325106</v>
      </c>
      <c r="H35" s="995">
        <v>232537</v>
      </c>
      <c r="I35" s="995">
        <v>0</v>
      </c>
      <c r="J35" s="995">
        <v>0</v>
      </c>
      <c r="K35" s="345">
        <f>+'Form B-3 Detail'!F321</f>
        <v>6363</v>
      </c>
      <c r="L35" s="345">
        <f>+'Form B-3 Detail'!G321</f>
        <v>6926.25</v>
      </c>
      <c r="M35" s="346">
        <f>ROUND(L35/2080,2)</f>
        <v>3.33</v>
      </c>
    </row>
    <row r="36" spans="1:13" ht="19.5" customHeight="1">
      <c r="A36" s="253" t="s">
        <v>50</v>
      </c>
      <c r="B36" s="1197" t="s">
        <v>210</v>
      </c>
      <c r="C36" s="1198"/>
      <c r="D36" s="1199"/>
      <c r="E36" s="340"/>
      <c r="F36" s="340">
        <f>+'Form B-3 Detail'!E68</f>
        <v>2252012.599549003</v>
      </c>
      <c r="G36" s="993">
        <v>229618</v>
      </c>
      <c r="H36" s="993">
        <v>37173</v>
      </c>
      <c r="I36" s="993">
        <v>14</v>
      </c>
      <c r="J36" s="993">
        <v>4</v>
      </c>
      <c r="K36" s="477">
        <f>'Form B-3 Detail'!F68</f>
        <v>43005</v>
      </c>
      <c r="L36" s="477">
        <f>'Form B-3 Detail'!G68</f>
        <v>58642.5</v>
      </c>
      <c r="M36" s="346">
        <f>ROUND(L36/2080,2)</f>
        <v>28.19</v>
      </c>
    </row>
    <row r="37" spans="1:13" ht="19.5" customHeight="1">
      <c r="A37" s="253" t="s">
        <v>82</v>
      </c>
      <c r="B37" s="173" t="s">
        <v>325</v>
      </c>
      <c r="C37" s="425"/>
      <c r="D37" s="174"/>
      <c r="E37" s="340"/>
      <c r="F37" s="340">
        <f>'Form B-3 Detail'!E248</f>
        <v>10692256.538955923</v>
      </c>
      <c r="G37" s="993">
        <v>139343</v>
      </c>
      <c r="H37" s="993">
        <v>47944</v>
      </c>
      <c r="I37" s="993">
        <v>19</v>
      </c>
      <c r="J37" s="993">
        <v>18</v>
      </c>
      <c r="K37" s="477">
        <f>'Form B-3 Detail'!F248</f>
        <v>144375</v>
      </c>
      <c r="L37" s="477">
        <f>'Form B-3 Detail'!G248</f>
        <v>303645.966453</v>
      </c>
      <c r="M37" s="346">
        <f>ROUND(L37/2080,2)</f>
        <v>145.98</v>
      </c>
    </row>
    <row r="38" spans="1:13" ht="19.5" customHeight="1">
      <c r="A38" s="253" t="s">
        <v>51</v>
      </c>
      <c r="B38" s="448" t="s">
        <v>327</v>
      </c>
      <c r="C38" s="449"/>
      <c r="D38" s="450"/>
      <c r="E38" s="340"/>
      <c r="F38" s="340">
        <f>+'Form B-3 Detail'!E309</f>
        <v>2077974.537393088</v>
      </c>
      <c r="G38" s="993">
        <v>211077</v>
      </c>
      <c r="H38" s="993">
        <v>75164</v>
      </c>
      <c r="I38" s="993">
        <v>5</v>
      </c>
      <c r="J38" s="993">
        <v>0</v>
      </c>
      <c r="K38" s="340">
        <f>+'Form B-3 Detail'!F309</f>
        <v>22237</v>
      </c>
      <c r="L38" s="340">
        <f>+'Form B-3 Detail'!G309</f>
        <v>34097.33</v>
      </c>
      <c r="M38" s="346">
        <f>ROUND(L38/2080,2)</f>
        <v>16.39</v>
      </c>
    </row>
    <row r="39" spans="1:13" ht="19.5" customHeight="1">
      <c r="A39" s="398" t="s">
        <v>156</v>
      </c>
      <c r="B39" s="173" t="s">
        <v>350</v>
      </c>
      <c r="C39" s="425"/>
      <c r="D39" s="174"/>
      <c r="E39" s="394"/>
      <c r="F39" s="394">
        <f>+'Form B-3 Detail'!E286</f>
        <v>1794756.9025585477</v>
      </c>
      <c r="G39" s="657">
        <v>340247</v>
      </c>
      <c r="H39" s="657">
        <v>28242</v>
      </c>
      <c r="I39" s="657">
        <v>0</v>
      </c>
      <c r="J39" s="657">
        <v>1</v>
      </c>
      <c r="K39" s="394">
        <f>+'Form B-3 Detail'!F286</f>
        <v>6483</v>
      </c>
      <c r="L39" s="394">
        <f>+'Form B-3 Detail'!G286</f>
        <v>47620.5</v>
      </c>
      <c r="M39" s="393">
        <f>ROUND(L39/2080,2)</f>
        <v>22.89</v>
      </c>
    </row>
    <row r="40" spans="1:13" ht="24.75" customHeight="1" thickBot="1">
      <c r="A40" s="399"/>
      <c r="B40" s="1170" t="s">
        <v>306</v>
      </c>
      <c r="C40" s="1171"/>
      <c r="D40" s="1172"/>
      <c r="E40" s="473">
        <f>SUM(E35:E39)</f>
        <v>0</v>
      </c>
      <c r="F40" s="473">
        <f>SUM(F35:F39)</f>
        <v>17777146.771077972</v>
      </c>
      <c r="G40" s="359"/>
      <c r="H40" s="359"/>
      <c r="I40" s="473">
        <f>SUM(I35:I39)</f>
        <v>38</v>
      </c>
      <c r="J40" s="473">
        <f>SUM(J35:J39)</f>
        <v>23</v>
      </c>
      <c r="K40" s="473">
        <f>SUM(K35:K39)</f>
        <v>222463</v>
      </c>
      <c r="L40" s="473">
        <f>SUM(L35:L39)</f>
        <v>450932.546453</v>
      </c>
      <c r="M40" s="395">
        <f>SUM(M35:M39)</f>
        <v>216.77999999999997</v>
      </c>
    </row>
    <row r="41" spans="1:13" ht="19.5" customHeight="1" thickBot="1" thickTop="1">
      <c r="A41" s="400"/>
      <c r="B41" s="401"/>
      <c r="C41" s="401"/>
      <c r="D41" s="401"/>
      <c r="E41" s="312"/>
      <c r="F41" s="312"/>
      <c r="G41" s="312"/>
      <c r="H41" s="312"/>
      <c r="I41" s="312"/>
      <c r="J41" s="312"/>
      <c r="K41" s="311"/>
      <c r="L41" s="312"/>
      <c r="M41" s="402"/>
    </row>
  </sheetData>
  <sheetProtection password="E1AE" sheet="1" formatColumns="0" formatRows="0"/>
  <mergeCells count="28">
    <mergeCell ref="B40:D40"/>
    <mergeCell ref="B23:D23"/>
    <mergeCell ref="B34:D34"/>
    <mergeCell ref="B35:D35"/>
    <mergeCell ref="B36:D36"/>
    <mergeCell ref="B29:D29"/>
    <mergeCell ref="B30:D30"/>
    <mergeCell ref="B31:D31"/>
    <mergeCell ref="B32:D32"/>
    <mergeCell ref="B21:D21"/>
    <mergeCell ref="B22:D22"/>
    <mergeCell ref="B25:D25"/>
    <mergeCell ref="B26:D26"/>
    <mergeCell ref="B27:D27"/>
    <mergeCell ref="B28:D28"/>
    <mergeCell ref="B24:D24"/>
    <mergeCell ref="A13:D15"/>
    <mergeCell ref="L13:M13"/>
    <mergeCell ref="B17:D17"/>
    <mergeCell ref="B18:D18"/>
    <mergeCell ref="B19:D19"/>
    <mergeCell ref="B20:D20"/>
    <mergeCell ref="A1:M1"/>
    <mergeCell ref="A2:M2"/>
    <mergeCell ref="A3:M3"/>
    <mergeCell ref="A4:M4"/>
    <mergeCell ref="C8:L8"/>
    <mergeCell ref="A12:M12"/>
  </mergeCells>
  <printOptions horizontalCentered="1" verticalCentered="1"/>
  <pageMargins left="0.25" right="0.25" top="0.25" bottom="0.4" header="0.5" footer="0.25"/>
  <pageSetup fitToHeight="1" fitToWidth="1" horizontalDpi="600" verticalDpi="600" orientation="landscape" scale="80" r:id="rId1"/>
  <headerFooter alignWithMargins="0">
    <oddFooter>&amp;LDSS-16 10-24-2016&amp;RPage 12</oddFoot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P63"/>
  <sheetViews>
    <sheetView zoomScalePageLayoutView="0" workbookViewId="0" topLeftCell="A16">
      <selection activeCell="A34" sqref="A34:M34"/>
    </sheetView>
  </sheetViews>
  <sheetFormatPr defaultColWidth="9.7109375" defaultRowHeight="12.75"/>
  <cols>
    <col min="1" max="1" width="4.28125" style="12" customWidth="1"/>
    <col min="2" max="2" width="9.7109375" style="12" customWidth="1"/>
    <col min="3" max="3" width="1.7109375" style="12" customWidth="1"/>
    <col min="4" max="4" width="9.7109375" style="12" customWidth="1"/>
    <col min="5" max="5" width="8.00390625" style="12" customWidth="1"/>
    <col min="6" max="6" width="9.7109375" style="12" customWidth="1"/>
    <col min="7" max="7" width="1.7109375" style="12" customWidth="1"/>
    <col min="8" max="8" width="11.28125" style="12" customWidth="1"/>
    <col min="9" max="9" width="0.85546875" style="12" customWidth="1"/>
    <col min="10" max="10" width="10.8515625" style="12" customWidth="1"/>
    <col min="11" max="11" width="9.7109375" style="12" customWidth="1"/>
    <col min="12" max="12" width="1.7109375" style="12" customWidth="1"/>
    <col min="13" max="13" width="10.140625" style="12" bestFit="1" customWidth="1"/>
    <col min="14" max="14" width="12.140625" style="12" customWidth="1"/>
    <col min="15" max="15" width="12.00390625" style="12" customWidth="1"/>
    <col min="16" max="16384" width="9.7109375" style="12" customWidth="1"/>
  </cols>
  <sheetData>
    <row r="1" spans="1:16" ht="12.75">
      <c r="A1" s="1107" t="s">
        <v>45</v>
      </c>
      <c r="B1" s="1107"/>
      <c r="C1" s="1107"/>
      <c r="D1" s="1107"/>
      <c r="E1" s="1107"/>
      <c r="F1" s="1107"/>
      <c r="G1" s="1107"/>
      <c r="H1" s="1107"/>
      <c r="I1" s="1107"/>
      <c r="J1" s="1107"/>
      <c r="K1" s="1107"/>
      <c r="L1" s="1107"/>
      <c r="M1" s="1107"/>
      <c r="N1" s="1107"/>
      <c r="O1" s="1107"/>
      <c r="P1" s="75"/>
    </row>
    <row r="2" spans="1:16" ht="12.75">
      <c r="A2" s="1107" t="s">
        <v>46</v>
      </c>
      <c r="B2" s="1107"/>
      <c r="C2" s="1107"/>
      <c r="D2" s="1107"/>
      <c r="E2" s="1107"/>
      <c r="F2" s="1107"/>
      <c r="G2" s="1107"/>
      <c r="H2" s="1107"/>
      <c r="I2" s="1107"/>
      <c r="J2" s="1107"/>
      <c r="K2" s="1107"/>
      <c r="L2" s="1107"/>
      <c r="M2" s="1107"/>
      <c r="N2" s="1107"/>
      <c r="O2" s="1107"/>
      <c r="P2" s="75"/>
    </row>
    <row r="3" spans="1:16" ht="12.75">
      <c r="A3" s="1107" t="s">
        <v>47</v>
      </c>
      <c r="B3" s="1107"/>
      <c r="C3" s="1107"/>
      <c r="D3" s="1107"/>
      <c r="E3" s="1107"/>
      <c r="F3" s="1107"/>
      <c r="G3" s="1107"/>
      <c r="H3" s="1107"/>
      <c r="I3" s="1107"/>
      <c r="J3" s="1107"/>
      <c r="K3" s="1107"/>
      <c r="L3" s="1107"/>
      <c r="M3" s="1107"/>
      <c r="N3" s="1107"/>
      <c r="O3" s="1107"/>
      <c r="P3" s="75"/>
    </row>
    <row r="4" spans="1:16" ht="12.75">
      <c r="A4" s="1107" t="s">
        <v>48</v>
      </c>
      <c r="B4" s="1107"/>
      <c r="C4" s="1107"/>
      <c r="D4" s="1107"/>
      <c r="E4" s="1107"/>
      <c r="F4" s="1107"/>
      <c r="G4" s="1107"/>
      <c r="H4" s="1107"/>
      <c r="I4" s="1107"/>
      <c r="J4" s="1107"/>
      <c r="K4" s="1107"/>
      <c r="L4" s="1107"/>
      <c r="M4" s="1107"/>
      <c r="N4" s="1107"/>
      <c r="O4" s="1107"/>
      <c r="P4" s="75"/>
    </row>
    <row r="5" spans="3:16" ht="13.5" thickBot="1"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76"/>
    </row>
    <row r="6" spans="1:16" ht="27.75" customHeight="1">
      <c r="A6" s="199"/>
      <c r="B6" s="77" t="s">
        <v>54</v>
      </c>
      <c r="C6" s="77"/>
      <c r="D6" s="77"/>
      <c r="E6" s="78" t="s">
        <v>6</v>
      </c>
      <c r="F6" s="1114">
        <f>'P1 Info &amp; Certification'!L20</f>
        <v>44013</v>
      </c>
      <c r="G6" s="1114"/>
      <c r="H6" s="1114"/>
      <c r="I6" s="82"/>
      <c r="J6" s="79"/>
      <c r="K6" s="78" t="s">
        <v>7</v>
      </c>
      <c r="L6" s="77"/>
      <c r="M6" s="1114">
        <f>'P1 Info &amp; Certification'!N20</f>
        <v>44377</v>
      </c>
      <c r="N6" s="1114"/>
      <c r="O6" s="80"/>
      <c r="P6" s="32"/>
    </row>
    <row r="7" spans="1:16" ht="12.75">
      <c r="A7" s="83"/>
      <c r="B7" s="458"/>
      <c r="C7" s="458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81"/>
      <c r="P7" s="13"/>
    </row>
    <row r="8" spans="1:15" ht="26.25" customHeight="1" thickBot="1">
      <c r="A8" s="181"/>
      <c r="B8" s="84" t="s">
        <v>59</v>
      </c>
      <c r="C8" s="200"/>
      <c r="D8" s="200"/>
      <c r="E8" s="1115" t="str">
        <f>'P1 Info &amp; Certification'!E12</f>
        <v>COMMUNITY HEALTH CENTER, INC.</v>
      </c>
      <c r="F8" s="1115"/>
      <c r="G8" s="1115"/>
      <c r="H8" s="1115"/>
      <c r="I8" s="1115"/>
      <c r="J8" s="1115"/>
      <c r="K8" s="1115"/>
      <c r="L8" s="1115"/>
      <c r="M8" s="1115"/>
      <c r="N8" s="1115"/>
      <c r="O8" s="1116"/>
    </row>
    <row r="9" spans="1:16" ht="15.75" customHeight="1" thickBot="1">
      <c r="A9" s="13"/>
      <c r="B9" s="1121"/>
      <c r="C9" s="1121"/>
      <c r="D9" s="1121"/>
      <c r="E9" s="1121"/>
      <c r="F9" s="1121"/>
      <c r="G9" s="1121"/>
      <c r="H9" s="1121"/>
      <c r="I9" s="1121"/>
      <c r="J9" s="1121"/>
      <c r="K9" s="1121"/>
      <c r="L9" s="1121"/>
      <c r="M9" s="1121"/>
      <c r="N9" s="1121"/>
      <c r="O9" s="1121"/>
      <c r="P9" s="13"/>
    </row>
    <row r="10" spans="1:15" ht="42" customHeight="1" thickBot="1">
      <c r="A10" s="421" t="s">
        <v>56</v>
      </c>
      <c r="B10" s="1117" t="s">
        <v>341</v>
      </c>
      <c r="C10" s="1117"/>
      <c r="D10" s="1117"/>
      <c r="E10" s="1117"/>
      <c r="F10" s="1117"/>
      <c r="G10" s="1117"/>
      <c r="H10" s="1117"/>
      <c r="I10" s="1117"/>
      <c r="J10" s="1117"/>
      <c r="K10" s="1117"/>
      <c r="L10" s="1117"/>
      <c r="M10" s="1117"/>
      <c r="N10" s="1117"/>
      <c r="O10" s="1118"/>
    </row>
    <row r="11" spans="1:15" s="15" customFormat="1" ht="30.75" customHeight="1">
      <c r="A11" s="1100" t="s">
        <v>32</v>
      </c>
      <c r="B11" s="1095"/>
      <c r="C11" s="1095"/>
      <c r="D11" s="1095"/>
      <c r="E11" s="1096"/>
      <c r="F11" s="1094" t="s">
        <v>58</v>
      </c>
      <c r="G11" s="1095"/>
      <c r="H11" s="1095"/>
      <c r="I11" s="1095"/>
      <c r="J11" s="1096"/>
      <c r="K11" s="1097" t="s">
        <v>289</v>
      </c>
      <c r="L11" s="1098"/>
      <c r="M11" s="1099"/>
      <c r="N11" s="1119" t="s">
        <v>57</v>
      </c>
      <c r="O11" s="1120"/>
    </row>
    <row r="12" spans="1:15" ht="28.5" customHeight="1">
      <c r="A12" s="1110" t="s">
        <v>367</v>
      </c>
      <c r="B12" s="1111"/>
      <c r="C12" s="1111"/>
      <c r="D12" s="1111"/>
      <c r="E12" s="1112"/>
      <c r="F12" s="1101" t="s">
        <v>368</v>
      </c>
      <c r="G12" s="1101"/>
      <c r="H12" s="1101"/>
      <c r="I12" s="1101"/>
      <c r="J12" s="1101"/>
      <c r="K12" s="1102" t="s">
        <v>369</v>
      </c>
      <c r="L12" s="1103"/>
      <c r="M12" s="1104"/>
      <c r="N12" s="1108" t="s">
        <v>370</v>
      </c>
      <c r="O12" s="1109"/>
    </row>
    <row r="13" spans="1:15" ht="28.5" customHeight="1">
      <c r="A13" s="1110" t="s">
        <v>367</v>
      </c>
      <c r="B13" s="1111"/>
      <c r="C13" s="1111"/>
      <c r="D13" s="1111"/>
      <c r="E13" s="1112"/>
      <c r="F13" s="1101" t="s">
        <v>371</v>
      </c>
      <c r="G13" s="1101"/>
      <c r="H13" s="1101"/>
      <c r="I13" s="1101"/>
      <c r="J13" s="1101"/>
      <c r="K13" s="1102" t="s">
        <v>369</v>
      </c>
      <c r="L13" s="1103"/>
      <c r="M13" s="1104"/>
      <c r="N13" s="1108" t="s">
        <v>372</v>
      </c>
      <c r="O13" s="1109"/>
    </row>
    <row r="14" spans="1:15" ht="28.5" customHeight="1">
      <c r="A14" s="1110" t="s">
        <v>367</v>
      </c>
      <c r="B14" s="1111"/>
      <c r="C14" s="1111"/>
      <c r="D14" s="1111"/>
      <c r="E14" s="1112"/>
      <c r="F14" s="1101" t="s">
        <v>373</v>
      </c>
      <c r="G14" s="1101"/>
      <c r="H14" s="1101"/>
      <c r="I14" s="1101"/>
      <c r="J14" s="1101"/>
      <c r="K14" s="1102" t="s">
        <v>369</v>
      </c>
      <c r="L14" s="1103"/>
      <c r="M14" s="1104"/>
      <c r="N14" s="1108" t="s">
        <v>374</v>
      </c>
      <c r="O14" s="1109"/>
    </row>
    <row r="15" spans="1:15" ht="28.5" customHeight="1">
      <c r="A15" s="1110" t="s">
        <v>367</v>
      </c>
      <c r="B15" s="1111"/>
      <c r="C15" s="1111"/>
      <c r="D15" s="1111"/>
      <c r="E15" s="1112"/>
      <c r="F15" s="1101" t="s">
        <v>375</v>
      </c>
      <c r="G15" s="1101"/>
      <c r="H15" s="1101"/>
      <c r="I15" s="1101"/>
      <c r="J15" s="1101"/>
      <c r="K15" s="1102" t="s">
        <v>369</v>
      </c>
      <c r="L15" s="1103"/>
      <c r="M15" s="1104"/>
      <c r="N15" s="1108" t="s">
        <v>376</v>
      </c>
      <c r="O15" s="1109"/>
    </row>
    <row r="16" spans="1:15" ht="28.5" customHeight="1">
      <c r="A16" s="1110" t="s">
        <v>367</v>
      </c>
      <c r="B16" s="1111"/>
      <c r="C16" s="1111"/>
      <c r="D16" s="1111"/>
      <c r="E16" s="1112"/>
      <c r="F16" s="1101" t="s">
        <v>377</v>
      </c>
      <c r="G16" s="1101"/>
      <c r="H16" s="1101"/>
      <c r="I16" s="1101"/>
      <c r="J16" s="1101"/>
      <c r="K16" s="1102" t="s">
        <v>369</v>
      </c>
      <c r="L16" s="1103"/>
      <c r="M16" s="1104"/>
      <c r="N16" s="1108" t="s">
        <v>378</v>
      </c>
      <c r="O16" s="1109"/>
    </row>
    <row r="17" spans="1:15" ht="28.5" customHeight="1">
      <c r="A17" s="1110" t="s">
        <v>367</v>
      </c>
      <c r="B17" s="1111"/>
      <c r="C17" s="1111"/>
      <c r="D17" s="1111"/>
      <c r="E17" s="1112"/>
      <c r="F17" s="1101" t="s">
        <v>379</v>
      </c>
      <c r="G17" s="1101"/>
      <c r="H17" s="1101"/>
      <c r="I17" s="1101"/>
      <c r="J17" s="1101"/>
      <c r="K17" s="1102" t="s">
        <v>369</v>
      </c>
      <c r="L17" s="1103"/>
      <c r="M17" s="1104"/>
      <c r="N17" s="1108" t="s">
        <v>380</v>
      </c>
      <c r="O17" s="1109"/>
    </row>
    <row r="18" spans="1:15" ht="28.5" customHeight="1">
      <c r="A18" s="1110" t="s">
        <v>367</v>
      </c>
      <c r="B18" s="1111"/>
      <c r="C18" s="1111"/>
      <c r="D18" s="1111"/>
      <c r="E18" s="1112"/>
      <c r="F18" s="1101" t="s">
        <v>381</v>
      </c>
      <c r="G18" s="1101"/>
      <c r="H18" s="1101"/>
      <c r="I18" s="1101"/>
      <c r="J18" s="1101"/>
      <c r="K18" s="1102" t="s">
        <v>369</v>
      </c>
      <c r="L18" s="1103"/>
      <c r="M18" s="1104"/>
      <c r="N18" s="1108" t="s">
        <v>382</v>
      </c>
      <c r="O18" s="1109"/>
    </row>
    <row r="19" spans="1:15" ht="28.5" customHeight="1">
      <c r="A19" s="1110" t="s">
        <v>367</v>
      </c>
      <c r="B19" s="1111"/>
      <c r="C19" s="1111"/>
      <c r="D19" s="1111"/>
      <c r="E19" s="1112"/>
      <c r="F19" s="1101" t="s">
        <v>383</v>
      </c>
      <c r="G19" s="1101"/>
      <c r="H19" s="1101"/>
      <c r="I19" s="1101"/>
      <c r="J19" s="1101"/>
      <c r="K19" s="1102" t="s">
        <v>369</v>
      </c>
      <c r="L19" s="1103"/>
      <c r="M19" s="1104"/>
      <c r="N19" s="1108" t="s">
        <v>384</v>
      </c>
      <c r="O19" s="1109"/>
    </row>
    <row r="20" spans="1:15" ht="28.5" customHeight="1">
      <c r="A20" s="1110" t="s">
        <v>367</v>
      </c>
      <c r="B20" s="1111"/>
      <c r="C20" s="1111"/>
      <c r="D20" s="1111"/>
      <c r="E20" s="1112"/>
      <c r="F20" s="1101" t="s">
        <v>385</v>
      </c>
      <c r="G20" s="1101"/>
      <c r="H20" s="1101"/>
      <c r="I20" s="1101"/>
      <c r="J20" s="1101"/>
      <c r="K20" s="1102" t="s">
        <v>369</v>
      </c>
      <c r="L20" s="1103"/>
      <c r="M20" s="1104"/>
      <c r="N20" s="1108" t="s">
        <v>386</v>
      </c>
      <c r="O20" s="1109"/>
    </row>
    <row r="21" spans="1:15" ht="28.5" customHeight="1">
      <c r="A21" s="1110" t="s">
        <v>367</v>
      </c>
      <c r="B21" s="1111"/>
      <c r="C21" s="1111"/>
      <c r="D21" s="1111"/>
      <c r="E21" s="1112"/>
      <c r="F21" s="1101" t="s">
        <v>387</v>
      </c>
      <c r="G21" s="1101"/>
      <c r="H21" s="1101"/>
      <c r="I21" s="1101"/>
      <c r="J21" s="1101"/>
      <c r="K21" s="1102" t="s">
        <v>369</v>
      </c>
      <c r="L21" s="1103"/>
      <c r="M21" s="1104"/>
      <c r="N21" s="1108" t="s">
        <v>388</v>
      </c>
      <c r="O21" s="1109"/>
    </row>
    <row r="22" spans="1:15" ht="28.5" customHeight="1">
      <c r="A22" s="1110" t="s">
        <v>367</v>
      </c>
      <c r="B22" s="1111"/>
      <c r="C22" s="1111"/>
      <c r="D22" s="1111"/>
      <c r="E22" s="1112"/>
      <c r="F22" s="1101" t="s">
        <v>389</v>
      </c>
      <c r="G22" s="1101"/>
      <c r="H22" s="1101"/>
      <c r="I22" s="1101"/>
      <c r="J22" s="1101"/>
      <c r="K22" s="1102" t="s">
        <v>369</v>
      </c>
      <c r="L22" s="1103"/>
      <c r="M22" s="1104"/>
      <c r="N22" s="1108" t="s">
        <v>390</v>
      </c>
      <c r="O22" s="1109"/>
    </row>
    <row r="23" spans="1:15" ht="28.5" customHeight="1">
      <c r="A23" s="1110" t="s">
        <v>367</v>
      </c>
      <c r="B23" s="1111"/>
      <c r="C23" s="1111"/>
      <c r="D23" s="1111"/>
      <c r="E23" s="1112"/>
      <c r="F23" s="1101" t="s">
        <v>391</v>
      </c>
      <c r="G23" s="1101"/>
      <c r="H23" s="1101"/>
      <c r="I23" s="1101"/>
      <c r="J23" s="1101"/>
      <c r="K23" s="1102" t="s">
        <v>369</v>
      </c>
      <c r="L23" s="1103"/>
      <c r="M23" s="1104"/>
      <c r="N23" s="1108" t="s">
        <v>392</v>
      </c>
      <c r="O23" s="1109"/>
    </row>
    <row r="24" spans="1:15" ht="28.5" customHeight="1">
      <c r="A24" s="1113" t="s">
        <v>393</v>
      </c>
      <c r="B24" s="1103"/>
      <c r="C24" s="1103"/>
      <c r="D24" s="1103"/>
      <c r="E24" s="1104"/>
      <c r="F24" s="1101" t="s">
        <v>394</v>
      </c>
      <c r="G24" s="1101"/>
      <c r="H24" s="1101"/>
      <c r="I24" s="1101"/>
      <c r="J24" s="1101"/>
      <c r="K24" s="1102" t="s">
        <v>369</v>
      </c>
      <c r="L24" s="1103"/>
      <c r="M24" s="1104"/>
      <c r="N24" s="1108" t="s">
        <v>395</v>
      </c>
      <c r="O24" s="1109"/>
    </row>
    <row r="25" spans="1:15" ht="28.5" customHeight="1">
      <c r="A25" s="1113" t="s">
        <v>396</v>
      </c>
      <c r="B25" s="1103"/>
      <c r="C25" s="1103"/>
      <c r="D25" s="1103"/>
      <c r="E25" s="1104"/>
      <c r="F25" s="1101" t="s">
        <v>397</v>
      </c>
      <c r="G25" s="1101"/>
      <c r="H25" s="1101"/>
      <c r="I25" s="1101"/>
      <c r="J25" s="1101"/>
      <c r="K25" s="1102" t="s">
        <v>369</v>
      </c>
      <c r="L25" s="1103"/>
      <c r="M25" s="1104"/>
      <c r="N25" s="1108" t="s">
        <v>395</v>
      </c>
      <c r="O25" s="1109"/>
    </row>
    <row r="26" spans="1:15" ht="28.5" customHeight="1">
      <c r="A26" s="1113" t="s">
        <v>398</v>
      </c>
      <c r="B26" s="1103"/>
      <c r="C26" s="1103"/>
      <c r="D26" s="1103"/>
      <c r="E26" s="1104"/>
      <c r="F26" s="1101" t="s">
        <v>399</v>
      </c>
      <c r="G26" s="1101"/>
      <c r="H26" s="1101"/>
      <c r="I26" s="1101"/>
      <c r="J26" s="1101"/>
      <c r="K26" s="1102" t="s">
        <v>369</v>
      </c>
      <c r="L26" s="1103"/>
      <c r="M26" s="1104"/>
      <c r="N26" s="1108" t="s">
        <v>395</v>
      </c>
      <c r="O26" s="1109"/>
    </row>
    <row r="27" spans="1:15" ht="28.5" customHeight="1">
      <c r="A27" s="1113" t="s">
        <v>400</v>
      </c>
      <c r="B27" s="1103"/>
      <c r="C27" s="1103"/>
      <c r="D27" s="1103"/>
      <c r="E27" s="1104"/>
      <c r="F27" s="1101" t="s">
        <v>401</v>
      </c>
      <c r="G27" s="1101"/>
      <c r="H27" s="1101"/>
      <c r="I27" s="1101"/>
      <c r="J27" s="1101"/>
      <c r="K27" s="1102" t="s">
        <v>369</v>
      </c>
      <c r="L27" s="1103"/>
      <c r="M27" s="1104"/>
      <c r="N27" s="1108" t="s">
        <v>395</v>
      </c>
      <c r="O27" s="1109"/>
    </row>
    <row r="28" spans="1:15" ht="28.5" customHeight="1">
      <c r="A28" s="1113" t="s">
        <v>402</v>
      </c>
      <c r="B28" s="1103"/>
      <c r="C28" s="1103"/>
      <c r="D28" s="1103"/>
      <c r="E28" s="1104"/>
      <c r="F28" s="1101" t="s">
        <v>403</v>
      </c>
      <c r="G28" s="1101"/>
      <c r="H28" s="1101"/>
      <c r="I28" s="1101"/>
      <c r="J28" s="1101"/>
      <c r="K28" s="1102" t="s">
        <v>369</v>
      </c>
      <c r="L28" s="1103"/>
      <c r="M28" s="1104"/>
      <c r="N28" s="1108" t="s">
        <v>395</v>
      </c>
      <c r="O28" s="1109"/>
    </row>
    <row r="29" spans="1:15" ht="28.5" customHeight="1">
      <c r="A29" s="1113" t="s">
        <v>404</v>
      </c>
      <c r="B29" s="1103"/>
      <c r="C29" s="1103"/>
      <c r="D29" s="1103"/>
      <c r="E29" s="1104"/>
      <c r="F29" s="1101" t="s">
        <v>405</v>
      </c>
      <c r="G29" s="1101"/>
      <c r="H29" s="1101"/>
      <c r="I29" s="1101"/>
      <c r="J29" s="1101"/>
      <c r="K29" s="1102" t="s">
        <v>369</v>
      </c>
      <c r="L29" s="1103"/>
      <c r="M29" s="1104"/>
      <c r="N29" s="1108" t="s">
        <v>406</v>
      </c>
      <c r="O29" s="1109"/>
    </row>
    <row r="30" spans="1:15" ht="28.5" customHeight="1">
      <c r="A30" s="1113" t="s">
        <v>407</v>
      </c>
      <c r="B30" s="1103"/>
      <c r="C30" s="1103"/>
      <c r="D30" s="1103"/>
      <c r="E30" s="1104"/>
      <c r="F30" s="1101" t="s">
        <v>408</v>
      </c>
      <c r="G30" s="1101"/>
      <c r="H30" s="1101"/>
      <c r="I30" s="1101"/>
      <c r="J30" s="1101"/>
      <c r="K30" s="1102" t="s">
        <v>369</v>
      </c>
      <c r="L30" s="1103"/>
      <c r="M30" s="1104"/>
      <c r="N30" s="1108" t="s">
        <v>395</v>
      </c>
      <c r="O30" s="1109"/>
    </row>
    <row r="31" spans="1:15" ht="28.5" customHeight="1" thickBot="1">
      <c r="A31" s="1105" t="s">
        <v>367</v>
      </c>
      <c r="B31" s="1106"/>
      <c r="C31" s="1106"/>
      <c r="D31" s="1106"/>
      <c r="E31" s="1106"/>
      <c r="F31" s="1126" t="s">
        <v>409</v>
      </c>
      <c r="G31" s="1126"/>
      <c r="H31" s="1126"/>
      <c r="I31" s="1126"/>
      <c r="J31" s="1126"/>
      <c r="K31" s="1126" t="s">
        <v>369</v>
      </c>
      <c r="L31" s="1126"/>
      <c r="M31" s="1126"/>
      <c r="N31" s="1126">
        <v>1093163883</v>
      </c>
      <c r="O31" s="1127"/>
    </row>
    <row r="32" spans="1:15" ht="30" customHeight="1" thickBot="1">
      <c r="A32" s="509" t="s">
        <v>161</v>
      </c>
      <c r="B32" s="1124" t="s">
        <v>296</v>
      </c>
      <c r="C32" s="1124"/>
      <c r="D32" s="1124"/>
      <c r="E32" s="1124"/>
      <c r="F32" s="1124"/>
      <c r="G32" s="1124"/>
      <c r="H32" s="1124"/>
      <c r="I32" s="1124"/>
      <c r="J32" s="1124"/>
      <c r="K32" s="1124"/>
      <c r="L32" s="1124"/>
      <c r="M32" s="1124"/>
      <c r="N32" s="1124"/>
      <c r="O32" s="1125"/>
    </row>
    <row r="33" spans="1:15" ht="14.25" customHeight="1">
      <c r="A33" s="510" t="s">
        <v>295</v>
      </c>
      <c r="B33" s="511"/>
      <c r="C33" s="511"/>
      <c r="D33" s="511"/>
      <c r="E33" s="511"/>
      <c r="F33" s="511"/>
      <c r="G33" s="511"/>
      <c r="H33" s="511"/>
      <c r="I33" s="511"/>
      <c r="J33" s="511"/>
      <c r="K33" s="511"/>
      <c r="L33" s="511"/>
      <c r="M33" s="511"/>
      <c r="N33" s="511"/>
      <c r="O33" s="512"/>
    </row>
    <row r="34" spans="1:15" ht="36" customHeight="1" thickBot="1">
      <c r="A34" s="1092" t="s">
        <v>300</v>
      </c>
      <c r="B34" s="1093"/>
      <c r="C34" s="1093"/>
      <c r="D34" s="1093"/>
      <c r="E34" s="1093"/>
      <c r="F34" s="1093"/>
      <c r="G34" s="1093"/>
      <c r="H34" s="1093"/>
      <c r="I34" s="1093"/>
      <c r="J34" s="1093"/>
      <c r="K34" s="1093"/>
      <c r="L34" s="1093"/>
      <c r="M34" s="1093"/>
      <c r="N34" s="1122" t="s">
        <v>410</v>
      </c>
      <c r="O34" s="1123"/>
    </row>
    <row r="35" spans="1:15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60" ht="12.75">
      <c r="A60" s="422" t="s">
        <v>300</v>
      </c>
    </row>
    <row r="61" ht="12.75">
      <c r="A61" s="422" t="s">
        <v>298</v>
      </c>
    </row>
    <row r="62" ht="12.75">
      <c r="A62" s="422" t="s">
        <v>299</v>
      </c>
    </row>
    <row r="63" ht="12.75">
      <c r="A63" s="422" t="s">
        <v>297</v>
      </c>
    </row>
  </sheetData>
  <sheetProtection password="E1AE" sheet="1"/>
  <mergeCells count="96">
    <mergeCell ref="F23:J23"/>
    <mergeCell ref="N22:O22"/>
    <mergeCell ref="F24:J24"/>
    <mergeCell ref="N28:O28"/>
    <mergeCell ref="F30:J30"/>
    <mergeCell ref="K30:M30"/>
    <mergeCell ref="F27:J27"/>
    <mergeCell ref="K24:M24"/>
    <mergeCell ref="N24:O24"/>
    <mergeCell ref="F25:J25"/>
    <mergeCell ref="N34:O34"/>
    <mergeCell ref="B32:O32"/>
    <mergeCell ref="F31:J31"/>
    <mergeCell ref="F28:J28"/>
    <mergeCell ref="K28:M28"/>
    <mergeCell ref="F26:J26"/>
    <mergeCell ref="K26:M26"/>
    <mergeCell ref="N26:O26"/>
    <mergeCell ref="K31:M31"/>
    <mergeCell ref="N31:O31"/>
    <mergeCell ref="K25:M25"/>
    <mergeCell ref="K27:M27"/>
    <mergeCell ref="N27:O27"/>
    <mergeCell ref="N30:O30"/>
    <mergeCell ref="N29:O29"/>
    <mergeCell ref="N25:O25"/>
    <mergeCell ref="F6:H6"/>
    <mergeCell ref="N11:O11"/>
    <mergeCell ref="B9:O9"/>
    <mergeCell ref="N18:O18"/>
    <mergeCell ref="N15:O15"/>
    <mergeCell ref="N16:O16"/>
    <mergeCell ref="F15:J15"/>
    <mergeCell ref="K15:M15"/>
    <mergeCell ref="N17:O17"/>
    <mergeCell ref="A13:E13"/>
    <mergeCell ref="A3:O3"/>
    <mergeCell ref="M6:N6"/>
    <mergeCell ref="E8:O8"/>
    <mergeCell ref="K22:M22"/>
    <mergeCell ref="F22:J22"/>
    <mergeCell ref="F13:J13"/>
    <mergeCell ref="F14:J14"/>
    <mergeCell ref="N13:O13"/>
    <mergeCell ref="N14:O14"/>
    <mergeCell ref="B10:O10"/>
    <mergeCell ref="A14:E14"/>
    <mergeCell ref="A15:E15"/>
    <mergeCell ref="A12:E12"/>
    <mergeCell ref="A16:E16"/>
    <mergeCell ref="K16:M16"/>
    <mergeCell ref="K12:M12"/>
    <mergeCell ref="F12:J12"/>
    <mergeCell ref="K14:M14"/>
    <mergeCell ref="F16:J16"/>
    <mergeCell ref="K13:M13"/>
    <mergeCell ref="N23:O23"/>
    <mergeCell ref="A17:E17"/>
    <mergeCell ref="A18:E18"/>
    <mergeCell ref="F18:J18"/>
    <mergeCell ref="K18:M18"/>
    <mergeCell ref="F17:J17"/>
    <mergeCell ref="K17:M17"/>
    <mergeCell ref="F20:J20"/>
    <mergeCell ref="N21:O21"/>
    <mergeCell ref="F19:J19"/>
    <mergeCell ref="A30:E30"/>
    <mergeCell ref="A26:E26"/>
    <mergeCell ref="A28:E28"/>
    <mergeCell ref="A27:E27"/>
    <mergeCell ref="A21:E21"/>
    <mergeCell ref="A22:E22"/>
    <mergeCell ref="A25:E25"/>
    <mergeCell ref="A23:E23"/>
    <mergeCell ref="A24:E24"/>
    <mergeCell ref="A29:E29"/>
    <mergeCell ref="A1:O1"/>
    <mergeCell ref="A2:O2"/>
    <mergeCell ref="A4:O4"/>
    <mergeCell ref="N12:O12"/>
    <mergeCell ref="K19:M19"/>
    <mergeCell ref="A20:E20"/>
    <mergeCell ref="A19:E19"/>
    <mergeCell ref="N20:O20"/>
    <mergeCell ref="K20:M20"/>
    <mergeCell ref="N19:O19"/>
    <mergeCell ref="A34:M34"/>
    <mergeCell ref="F11:J11"/>
    <mergeCell ref="K11:M11"/>
    <mergeCell ref="A11:E11"/>
    <mergeCell ref="F29:J29"/>
    <mergeCell ref="K29:M29"/>
    <mergeCell ref="F21:J21"/>
    <mergeCell ref="K21:M21"/>
    <mergeCell ref="K23:M23"/>
    <mergeCell ref="A31:E31"/>
  </mergeCells>
  <dataValidations count="1">
    <dataValidation type="list" allowBlank="1" showInputMessage="1" showErrorMessage="1" prompt="Select One:" sqref="A34:M34">
      <formula1>$A$60:$A$63</formula1>
    </dataValidation>
  </dataValidations>
  <printOptions horizontalCentered="1"/>
  <pageMargins left="0.5" right="0.5" top="0.25" bottom="0" header="0.5" footer="0.25"/>
  <pageSetup horizontalDpi="600" verticalDpi="600" orientation="portrait" scale="80" r:id="rId1"/>
  <headerFooter alignWithMargins="0">
    <oddFooter>&amp;LDSS-16 10-24-2016&amp;RPage 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9"/>
  <sheetViews>
    <sheetView zoomScalePageLayoutView="0" workbookViewId="0" topLeftCell="A1">
      <selection activeCell="P18" sqref="P18"/>
    </sheetView>
  </sheetViews>
  <sheetFormatPr defaultColWidth="9.7109375" defaultRowHeight="12.75"/>
  <cols>
    <col min="1" max="1" width="9.7109375" style="12" customWidth="1"/>
    <col min="2" max="2" width="2.7109375" style="12" customWidth="1"/>
    <col min="3" max="5" width="9.7109375" style="12" customWidth="1"/>
    <col min="6" max="6" width="1.7109375" style="12" customWidth="1"/>
    <col min="7" max="7" width="11.28125" style="12" customWidth="1"/>
    <col min="8" max="8" width="0.85546875" style="12" customWidth="1"/>
    <col min="9" max="9" width="10.8515625" style="12" customWidth="1"/>
    <col min="10" max="10" width="12.00390625" style="12" customWidth="1"/>
    <col min="11" max="11" width="1.7109375" style="12" customWidth="1"/>
    <col min="12" max="12" width="10.140625" style="12" bestFit="1" customWidth="1"/>
    <col min="13" max="13" width="12.140625" style="12" customWidth="1"/>
    <col min="14" max="14" width="12.00390625" style="12" customWidth="1"/>
    <col min="15" max="16384" width="9.7109375" style="12" customWidth="1"/>
  </cols>
  <sheetData>
    <row r="1" spans="1:15" ht="12.75">
      <c r="A1" s="1107" t="s">
        <v>45</v>
      </c>
      <c r="B1" s="1107"/>
      <c r="C1" s="1107"/>
      <c r="D1" s="1107"/>
      <c r="E1" s="1107"/>
      <c r="F1" s="1107"/>
      <c r="G1" s="1107"/>
      <c r="H1" s="1107"/>
      <c r="I1" s="1107"/>
      <c r="J1" s="1107"/>
      <c r="K1" s="1107"/>
      <c r="L1" s="1107"/>
      <c r="M1" s="1107"/>
      <c r="N1" s="1107"/>
      <c r="O1" s="75"/>
    </row>
    <row r="2" spans="1:15" ht="12.75">
      <c r="A2" s="1107" t="s">
        <v>46</v>
      </c>
      <c r="B2" s="1107"/>
      <c r="C2" s="1107"/>
      <c r="D2" s="1107"/>
      <c r="E2" s="1107"/>
      <c r="F2" s="1107"/>
      <c r="G2" s="1107"/>
      <c r="H2" s="1107"/>
      <c r="I2" s="1107"/>
      <c r="J2" s="1107"/>
      <c r="K2" s="1107"/>
      <c r="L2" s="1107"/>
      <c r="M2" s="1107"/>
      <c r="N2" s="1107"/>
      <c r="O2" s="75"/>
    </row>
    <row r="3" spans="1:15" ht="12.75">
      <c r="A3" s="1107" t="s">
        <v>47</v>
      </c>
      <c r="B3" s="1107"/>
      <c r="C3" s="1107"/>
      <c r="D3" s="1107"/>
      <c r="E3" s="1107"/>
      <c r="F3" s="1107"/>
      <c r="G3" s="1107"/>
      <c r="H3" s="1107"/>
      <c r="I3" s="1107"/>
      <c r="J3" s="1107"/>
      <c r="K3" s="1107"/>
      <c r="L3" s="1107"/>
      <c r="M3" s="1107"/>
      <c r="N3" s="1107"/>
      <c r="O3" s="75"/>
    </row>
    <row r="4" spans="1:15" ht="12.75">
      <c r="A4" s="1107" t="s">
        <v>48</v>
      </c>
      <c r="B4" s="1107"/>
      <c r="C4" s="1107"/>
      <c r="D4" s="1107"/>
      <c r="E4" s="1107"/>
      <c r="F4" s="1107"/>
      <c r="G4" s="1107"/>
      <c r="H4" s="1107"/>
      <c r="I4" s="1107"/>
      <c r="J4" s="1107"/>
      <c r="K4" s="1107"/>
      <c r="L4" s="1107"/>
      <c r="M4" s="1107"/>
      <c r="N4" s="1107"/>
      <c r="O4" s="75"/>
    </row>
    <row r="5" spans="2:15" ht="13.5" thickBot="1"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5" ht="27.75" customHeight="1">
      <c r="A6" s="93" t="s">
        <v>54</v>
      </c>
      <c r="B6" s="77"/>
      <c r="C6" s="77"/>
      <c r="D6" s="78" t="s">
        <v>6</v>
      </c>
      <c r="E6" s="1200">
        <f>'P1 Info &amp; Certification'!L20</f>
        <v>44013</v>
      </c>
      <c r="F6" s="1200"/>
      <c r="G6" s="1200"/>
      <c r="H6" s="82"/>
      <c r="I6" s="79"/>
      <c r="J6" s="78" t="s">
        <v>7</v>
      </c>
      <c r="K6" s="77"/>
      <c r="L6" s="1200">
        <f>'P1 Info &amp; Certification'!N20</f>
        <v>44377</v>
      </c>
      <c r="M6" s="1200"/>
      <c r="N6" s="80"/>
      <c r="O6" s="32"/>
    </row>
    <row r="7" spans="1:15" ht="12.75">
      <c r="A7" s="123"/>
      <c r="B7" s="3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81"/>
      <c r="O7" s="13"/>
    </row>
    <row r="8" spans="1:14" ht="26.25" customHeight="1">
      <c r="A8" s="124" t="s">
        <v>59</v>
      </c>
      <c r="B8" s="90"/>
      <c r="C8" s="90"/>
      <c r="D8" s="1212" t="str">
        <f>'P1 Info &amp; Certification'!E12</f>
        <v>COMMUNITY HEALTH CENTER, INC.</v>
      </c>
      <c r="E8" s="1212"/>
      <c r="F8" s="1212"/>
      <c r="G8" s="1212"/>
      <c r="H8" s="1212"/>
      <c r="I8" s="1212"/>
      <c r="J8" s="1212"/>
      <c r="K8" s="1212"/>
      <c r="L8" s="1212"/>
      <c r="M8" s="1212"/>
      <c r="N8" s="1213"/>
    </row>
    <row r="9" spans="1:15" ht="15.75" customHeight="1" thickBot="1">
      <c r="A9" s="1214"/>
      <c r="B9" s="1215"/>
      <c r="C9" s="1215"/>
      <c r="D9" s="1215"/>
      <c r="E9" s="1215"/>
      <c r="F9" s="1215"/>
      <c r="G9" s="1215"/>
      <c r="H9" s="1215"/>
      <c r="I9" s="1215"/>
      <c r="J9" s="1215"/>
      <c r="K9" s="1215"/>
      <c r="L9" s="1215"/>
      <c r="M9" s="1215"/>
      <c r="N9" s="1216"/>
      <c r="O9" s="13"/>
    </row>
    <row r="10" spans="1:15" ht="15.75">
      <c r="A10" s="47"/>
      <c r="B10" s="4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88" t="s">
        <v>202</v>
      </c>
      <c r="O10" s="13"/>
    </row>
    <row r="11" spans="1:15" ht="13.5" thickBot="1">
      <c r="A11" s="157"/>
      <c r="B11" s="4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s="15" customFormat="1" ht="30.75" customHeight="1" thickBot="1">
      <c r="A12" s="1207" t="s">
        <v>130</v>
      </c>
      <c r="B12" s="1208"/>
      <c r="C12" s="1208"/>
      <c r="D12" s="1208"/>
      <c r="E12" s="1208"/>
      <c r="F12" s="1208"/>
      <c r="G12" s="1208"/>
      <c r="H12" s="1208"/>
      <c r="I12" s="1208"/>
      <c r="J12" s="1208"/>
      <c r="K12" s="1208"/>
      <c r="L12" s="1208"/>
      <c r="M12" s="1208"/>
      <c r="N12" s="1209"/>
      <c r="O12" s="158"/>
    </row>
    <row r="13" spans="1:15" ht="21.75" customHeight="1">
      <c r="A13" s="177" t="s">
        <v>83</v>
      </c>
      <c r="B13" s="159"/>
      <c r="C13" s="1203" t="s">
        <v>230</v>
      </c>
      <c r="D13" s="1203"/>
      <c r="E13" s="1203"/>
      <c r="F13" s="1203"/>
      <c r="G13" s="1203"/>
      <c r="H13" s="1203"/>
      <c r="I13" s="1203"/>
      <c r="J13" s="1203"/>
      <c r="K13" s="1203"/>
      <c r="L13" s="1201">
        <f>'P5 Form A-3 - Mental Health'!J45</f>
        <v>110735058.79856128</v>
      </c>
      <c r="M13" s="1201"/>
      <c r="N13" s="1202"/>
      <c r="O13" s="13"/>
    </row>
    <row r="14" spans="1:15" ht="21.75" customHeight="1">
      <c r="A14" s="177" t="s">
        <v>84</v>
      </c>
      <c r="B14" s="159"/>
      <c r="C14" s="1203" t="s">
        <v>231</v>
      </c>
      <c r="D14" s="1203"/>
      <c r="E14" s="1203"/>
      <c r="F14" s="1203"/>
      <c r="G14" s="1203"/>
      <c r="H14" s="1203"/>
      <c r="I14" s="1203"/>
      <c r="J14" s="1203"/>
      <c r="K14" s="1203"/>
      <c r="L14" s="1204">
        <f>'P6 Form A-4 - Non-Allow Other'!J36</f>
        <v>19235276.70702184</v>
      </c>
      <c r="M14" s="1204"/>
      <c r="N14" s="1205"/>
      <c r="O14" s="13"/>
    </row>
    <row r="15" spans="1:15" ht="21.75" customHeight="1">
      <c r="A15" s="177" t="s">
        <v>91</v>
      </c>
      <c r="B15" s="159"/>
      <c r="C15" s="1203" t="s">
        <v>132</v>
      </c>
      <c r="D15" s="1203"/>
      <c r="E15" s="1203"/>
      <c r="F15" s="1203"/>
      <c r="G15" s="1203"/>
      <c r="H15" s="1203"/>
      <c r="I15" s="1203"/>
      <c r="J15" s="1203"/>
      <c r="K15" s="1203"/>
      <c r="L15" s="1204">
        <f>SUM(L13:N14)</f>
        <v>129970335.50558311</v>
      </c>
      <c r="M15" s="1204"/>
      <c r="N15" s="1205"/>
      <c r="O15" s="13"/>
    </row>
    <row r="16" spans="1:15" ht="21.75" customHeight="1">
      <c r="A16" s="177" t="s">
        <v>92</v>
      </c>
      <c r="B16" s="159"/>
      <c r="C16" s="1203" t="s">
        <v>133</v>
      </c>
      <c r="D16" s="1203"/>
      <c r="E16" s="1203"/>
      <c r="F16" s="1203"/>
      <c r="G16" s="1203"/>
      <c r="H16" s="1203"/>
      <c r="I16" s="1203"/>
      <c r="J16" s="1203"/>
      <c r="K16" s="1203"/>
      <c r="L16" s="1210">
        <f>ROUND(L13/L15,4)</f>
        <v>0.852</v>
      </c>
      <c r="M16" s="1210"/>
      <c r="N16" s="1211"/>
      <c r="O16" s="13"/>
    </row>
    <row r="17" spans="1:15" ht="21.75" customHeight="1">
      <c r="A17" s="177" t="s">
        <v>75</v>
      </c>
      <c r="B17" s="159"/>
      <c r="C17" s="1203" t="s">
        <v>232</v>
      </c>
      <c r="D17" s="1203"/>
      <c r="E17" s="1203"/>
      <c r="F17" s="1203"/>
      <c r="G17" s="1203"/>
      <c r="H17" s="1203"/>
      <c r="I17" s="1203"/>
      <c r="J17" s="1203"/>
      <c r="K17" s="1203"/>
      <c r="L17" s="1204">
        <f>'P7 Form A-5 - OH '!J50</f>
        <v>44721601.3927584</v>
      </c>
      <c r="M17" s="1204"/>
      <c r="N17" s="1205"/>
      <c r="O17" s="13"/>
    </row>
    <row r="18" spans="1:15" ht="21.75" customHeight="1">
      <c r="A18" s="177" t="s">
        <v>102</v>
      </c>
      <c r="B18" s="159"/>
      <c r="C18" s="1203" t="s">
        <v>134</v>
      </c>
      <c r="D18" s="1203"/>
      <c r="E18" s="1203"/>
      <c r="F18" s="1203"/>
      <c r="G18" s="1203"/>
      <c r="H18" s="1203"/>
      <c r="I18" s="1203"/>
      <c r="J18" s="1203"/>
      <c r="K18" s="1203"/>
      <c r="L18" s="1204">
        <f>ROUND(L16*L17,0)</f>
        <v>38102804</v>
      </c>
      <c r="M18" s="1204"/>
      <c r="N18" s="1205"/>
      <c r="O18" s="13"/>
    </row>
    <row r="19" spans="1:15" ht="21.75" customHeight="1">
      <c r="A19" s="177" t="s">
        <v>103</v>
      </c>
      <c r="B19" s="159"/>
      <c r="C19" s="1203" t="s">
        <v>135</v>
      </c>
      <c r="D19" s="1203"/>
      <c r="E19" s="1203"/>
      <c r="F19" s="1203"/>
      <c r="G19" s="1203"/>
      <c r="H19" s="1203"/>
      <c r="I19" s="1203"/>
      <c r="J19" s="1203"/>
      <c r="K19" s="1203"/>
      <c r="L19" s="1204">
        <f>L13+L18</f>
        <v>148837862.79856128</v>
      </c>
      <c r="M19" s="1204"/>
      <c r="N19" s="1205"/>
      <c r="O19" s="13"/>
    </row>
    <row r="20" spans="1:15" ht="21.75" customHeight="1">
      <c r="A20" s="177" t="s">
        <v>115</v>
      </c>
      <c r="B20" s="159"/>
      <c r="C20" s="1203" t="s">
        <v>233</v>
      </c>
      <c r="D20" s="1203"/>
      <c r="E20" s="1203"/>
      <c r="F20" s="1203"/>
      <c r="G20" s="1203"/>
      <c r="H20" s="1203"/>
      <c r="I20" s="1203"/>
      <c r="J20" s="1203"/>
      <c r="K20" s="1203"/>
      <c r="L20" s="1204">
        <f>ROUND(L19*0.3,0)</f>
        <v>44651359</v>
      </c>
      <c r="M20" s="1204"/>
      <c r="N20" s="1205"/>
      <c r="O20" s="13"/>
    </row>
    <row r="21" spans="1:21" ht="21.75" customHeight="1">
      <c r="A21" s="177" t="s">
        <v>126</v>
      </c>
      <c r="B21" s="159"/>
      <c r="C21" s="1203" t="s">
        <v>354</v>
      </c>
      <c r="D21" s="1203"/>
      <c r="E21" s="1203"/>
      <c r="F21" s="1203"/>
      <c r="G21" s="1203"/>
      <c r="H21" s="1203"/>
      <c r="I21" s="1203"/>
      <c r="J21" s="1203"/>
      <c r="K21" s="1203"/>
      <c r="L21" s="1204">
        <f>IF(L20-L18&gt;0,0,L20-L18)</f>
        <v>0</v>
      </c>
      <c r="M21" s="1204"/>
      <c r="N21" s="1205"/>
      <c r="O21" s="13"/>
      <c r="S21" s="1217"/>
      <c r="T21" s="1217"/>
      <c r="U21" s="1217"/>
    </row>
    <row r="22" spans="1:15" ht="21.75" customHeight="1">
      <c r="A22" s="177" t="s">
        <v>127</v>
      </c>
      <c r="B22" s="159"/>
      <c r="C22" s="1203" t="s">
        <v>136</v>
      </c>
      <c r="D22" s="1203"/>
      <c r="E22" s="1203"/>
      <c r="F22" s="1203"/>
      <c r="G22" s="1203"/>
      <c r="H22" s="1203"/>
      <c r="I22" s="1203"/>
      <c r="J22" s="1203"/>
      <c r="K22" s="1203"/>
      <c r="L22" s="1204">
        <f>L18+L21</f>
        <v>38102804</v>
      </c>
      <c r="M22" s="1204"/>
      <c r="N22" s="1205"/>
      <c r="O22" s="13"/>
    </row>
    <row r="23" spans="1:15" ht="21.75" customHeight="1">
      <c r="A23" s="177" t="s">
        <v>131</v>
      </c>
      <c r="B23" s="159"/>
      <c r="C23" s="1203" t="s">
        <v>137</v>
      </c>
      <c r="D23" s="1203"/>
      <c r="E23" s="1203"/>
      <c r="F23" s="1203"/>
      <c r="G23" s="1203"/>
      <c r="H23" s="1203"/>
      <c r="I23" s="1203"/>
      <c r="J23" s="1203"/>
      <c r="K23" s="1203"/>
      <c r="L23" s="1220"/>
      <c r="M23" s="1220"/>
      <c r="N23" s="1221"/>
      <c r="O23" s="13"/>
    </row>
    <row r="24" spans="1:15" ht="18" customHeight="1">
      <c r="A24" s="177"/>
      <c r="B24" s="163"/>
      <c r="C24" s="164" t="s">
        <v>49</v>
      </c>
      <c r="D24" s="1203" t="s">
        <v>234</v>
      </c>
      <c r="E24" s="1203"/>
      <c r="F24" s="1203"/>
      <c r="G24" s="1203"/>
      <c r="H24" s="1203"/>
      <c r="I24" s="1203"/>
      <c r="J24" s="1203"/>
      <c r="K24" s="159"/>
      <c r="L24" s="1204">
        <f>'P3 Form A-1 Health Care'!J52</f>
        <v>77243610.8108617</v>
      </c>
      <c r="M24" s="1204"/>
      <c r="N24" s="1205"/>
      <c r="O24" s="13"/>
    </row>
    <row r="25" spans="1:15" ht="18" customHeight="1">
      <c r="A25" s="178"/>
      <c r="B25" s="163"/>
      <c r="C25" s="164" t="s">
        <v>50</v>
      </c>
      <c r="D25" s="1203" t="s">
        <v>235</v>
      </c>
      <c r="E25" s="1203"/>
      <c r="F25" s="1203"/>
      <c r="G25" s="1203"/>
      <c r="H25" s="1203"/>
      <c r="I25" s="1203"/>
      <c r="J25" s="1203"/>
      <c r="K25" s="160"/>
      <c r="L25" s="1204">
        <f>'P4 Form A-2 - Dental'!J49</f>
        <v>6389902.025328065</v>
      </c>
      <c r="M25" s="1204"/>
      <c r="N25" s="1205"/>
      <c r="O25" s="13"/>
    </row>
    <row r="26" spans="1:15" ht="18" customHeight="1">
      <c r="A26" s="179"/>
      <c r="B26" s="163"/>
      <c r="C26" s="164" t="s">
        <v>82</v>
      </c>
      <c r="D26" s="1203" t="s">
        <v>236</v>
      </c>
      <c r="E26" s="1203"/>
      <c r="F26" s="1203"/>
      <c r="G26" s="1203"/>
      <c r="H26" s="1203"/>
      <c r="I26" s="1203"/>
      <c r="J26" s="1203"/>
      <c r="K26" s="384"/>
      <c r="L26" s="1204">
        <f>'P5 Form A-3 - Mental Health'!J44</f>
        <v>27101545.962371495</v>
      </c>
      <c r="M26" s="1204"/>
      <c r="N26" s="1205"/>
      <c r="O26" s="13"/>
    </row>
    <row r="27" spans="1:15" ht="18" customHeight="1">
      <c r="A27" s="180"/>
      <c r="B27" s="163"/>
      <c r="C27" s="164" t="s">
        <v>51</v>
      </c>
      <c r="D27" s="1203" t="s">
        <v>237</v>
      </c>
      <c r="E27" s="1203"/>
      <c r="F27" s="1203"/>
      <c r="G27" s="1203"/>
      <c r="H27" s="1203"/>
      <c r="I27" s="1203"/>
      <c r="J27" s="1203"/>
      <c r="K27" s="161"/>
      <c r="L27" s="1204">
        <f>SUM(L24:N26)</f>
        <v>110735058.79856128</v>
      </c>
      <c r="M27" s="1204"/>
      <c r="N27" s="1205"/>
      <c r="O27" s="13"/>
    </row>
    <row r="28" spans="1:30" s="166" customFormat="1" ht="19.5" customHeight="1">
      <c r="A28" s="177" t="s">
        <v>138</v>
      </c>
      <c r="B28" s="385"/>
      <c r="C28" s="1203" t="s">
        <v>139</v>
      </c>
      <c r="D28" s="1203"/>
      <c r="E28" s="1203"/>
      <c r="F28" s="1203"/>
      <c r="G28" s="1203"/>
      <c r="H28" s="1203"/>
      <c r="I28" s="1203"/>
      <c r="J28" s="1203"/>
      <c r="K28" s="1203"/>
      <c r="L28" s="1218"/>
      <c r="M28" s="1218"/>
      <c r="N28" s="1219"/>
      <c r="O28" s="158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spans="1:30" s="168" customFormat="1" ht="17.25" customHeight="1">
      <c r="A29" s="177"/>
      <c r="B29" s="163"/>
      <c r="C29" s="164" t="s">
        <v>49</v>
      </c>
      <c r="D29" s="1203" t="s">
        <v>140</v>
      </c>
      <c r="E29" s="1203"/>
      <c r="F29" s="1203"/>
      <c r="G29" s="1203"/>
      <c r="H29" s="1203"/>
      <c r="I29" s="1203"/>
      <c r="J29" s="1203"/>
      <c r="K29" s="385"/>
      <c r="L29" s="1210">
        <f>ROUND(L24/L27,4)</f>
        <v>0.6976</v>
      </c>
      <c r="M29" s="1210"/>
      <c r="N29" s="1211"/>
      <c r="O29" s="13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0" s="168" customFormat="1" ht="17.25" customHeight="1">
      <c r="A30" s="178"/>
      <c r="B30" s="163"/>
      <c r="C30" s="164" t="s">
        <v>50</v>
      </c>
      <c r="D30" s="1203" t="s">
        <v>141</v>
      </c>
      <c r="E30" s="1203"/>
      <c r="F30" s="1203"/>
      <c r="G30" s="1203"/>
      <c r="H30" s="1203"/>
      <c r="I30" s="1203"/>
      <c r="J30" s="1203"/>
      <c r="K30" s="160"/>
      <c r="L30" s="1210">
        <f>ROUND(L25/L27,4)</f>
        <v>0.0577</v>
      </c>
      <c r="M30" s="1210"/>
      <c r="N30" s="1211"/>
      <c r="O30" s="13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0" s="168" customFormat="1" ht="17.25" customHeight="1">
      <c r="A31" s="179"/>
      <c r="B31" s="163"/>
      <c r="C31" s="164" t="s">
        <v>82</v>
      </c>
      <c r="D31" s="1203" t="s">
        <v>142</v>
      </c>
      <c r="E31" s="1203"/>
      <c r="F31" s="1203"/>
      <c r="G31" s="1203"/>
      <c r="H31" s="1203"/>
      <c r="I31" s="1203"/>
      <c r="J31" s="1203"/>
      <c r="K31" s="384"/>
      <c r="L31" s="1210">
        <f>ROUND(L26/L27,4)</f>
        <v>0.2447</v>
      </c>
      <c r="M31" s="1210"/>
      <c r="N31" s="1211"/>
      <c r="O31" s="13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0" s="168" customFormat="1" ht="28.5" customHeight="1">
      <c r="A32" s="177" t="s">
        <v>143</v>
      </c>
      <c r="B32" s="385"/>
      <c r="C32" s="1203" t="s">
        <v>144</v>
      </c>
      <c r="D32" s="1203"/>
      <c r="E32" s="1203"/>
      <c r="F32" s="1203"/>
      <c r="G32" s="1203"/>
      <c r="H32" s="1203"/>
      <c r="I32" s="1203"/>
      <c r="J32" s="1203"/>
      <c r="K32" s="1203"/>
      <c r="L32" s="1218"/>
      <c r="M32" s="1218"/>
      <c r="N32" s="1219"/>
      <c r="O32" s="13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:30" s="168" customFormat="1" ht="17.25" customHeight="1">
      <c r="A33" s="177"/>
      <c r="B33" s="163"/>
      <c r="C33" s="164" t="s">
        <v>49</v>
      </c>
      <c r="D33" s="1203" t="s">
        <v>145</v>
      </c>
      <c r="E33" s="1203"/>
      <c r="F33" s="1203"/>
      <c r="G33" s="1203"/>
      <c r="H33" s="1203"/>
      <c r="I33" s="1203"/>
      <c r="J33" s="1203"/>
      <c r="K33" s="385"/>
      <c r="L33" s="1204">
        <f>ROUND(L22*L29,0)</f>
        <v>26580516</v>
      </c>
      <c r="M33" s="1204"/>
      <c r="N33" s="1205"/>
      <c r="O33" s="13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:30" s="168" customFormat="1" ht="18" customHeight="1">
      <c r="A34" s="178"/>
      <c r="B34" s="163"/>
      <c r="C34" s="164" t="s">
        <v>50</v>
      </c>
      <c r="D34" s="1203" t="s">
        <v>146</v>
      </c>
      <c r="E34" s="1203"/>
      <c r="F34" s="1203"/>
      <c r="G34" s="1203"/>
      <c r="H34" s="1203"/>
      <c r="I34" s="1203"/>
      <c r="J34" s="1203"/>
      <c r="K34" s="160"/>
      <c r="L34" s="1204">
        <f>ROUND(L22*L30,0)</f>
        <v>2198532</v>
      </c>
      <c r="M34" s="1204"/>
      <c r="N34" s="1205"/>
      <c r="O34" s="13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:30" s="168" customFormat="1" ht="21" customHeight="1">
      <c r="A35" s="179"/>
      <c r="B35" s="163"/>
      <c r="C35" s="164" t="s">
        <v>82</v>
      </c>
      <c r="D35" s="1203" t="s">
        <v>147</v>
      </c>
      <c r="E35" s="1203"/>
      <c r="F35" s="1203"/>
      <c r="G35" s="1203"/>
      <c r="H35" s="1203"/>
      <c r="I35" s="1203"/>
      <c r="J35" s="1203"/>
      <c r="K35" s="384"/>
      <c r="L35" s="1204">
        <f>ROUND(L22*L31,0)</f>
        <v>9323756</v>
      </c>
      <c r="M35" s="1204"/>
      <c r="N35" s="1205"/>
      <c r="O35" s="13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:30" s="168" customFormat="1" ht="28.5" customHeight="1" thickBot="1">
      <c r="A36" s="403"/>
      <c r="B36" s="404"/>
      <c r="C36" s="164" t="s">
        <v>51</v>
      </c>
      <c r="D36" s="1206" t="s">
        <v>238</v>
      </c>
      <c r="E36" s="1206"/>
      <c r="F36" s="1206"/>
      <c r="G36" s="1206"/>
      <c r="H36" s="1206"/>
      <c r="I36" s="1206"/>
      <c r="J36" s="1206"/>
      <c r="K36" s="404"/>
      <c r="L36" s="1222">
        <f>SUM(L33:N35)</f>
        <v>38102804</v>
      </c>
      <c r="M36" s="1222"/>
      <c r="N36" s="1223"/>
      <c r="O36" s="13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:30" s="168" customFormat="1" ht="28.5" customHeight="1" thickBot="1" thickTop="1">
      <c r="A37" s="405"/>
      <c r="B37" s="406"/>
      <c r="C37" s="406"/>
      <c r="D37" s="406"/>
      <c r="E37" s="406"/>
      <c r="F37" s="406"/>
      <c r="G37" s="406"/>
      <c r="H37" s="407"/>
      <c r="I37" s="406"/>
      <c r="J37" s="406"/>
      <c r="K37" s="406"/>
      <c r="L37" s="408"/>
      <c r="M37" s="408"/>
      <c r="N37" s="409"/>
      <c r="O37" s="13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:30" s="168" customFormat="1" ht="28.5" customHeight="1">
      <c r="A38" s="404"/>
      <c r="B38" s="404"/>
      <c r="C38" s="404"/>
      <c r="D38" s="404"/>
      <c r="E38" s="404"/>
      <c r="F38" s="404"/>
      <c r="G38" s="404"/>
      <c r="H38" s="410"/>
      <c r="I38" s="404"/>
      <c r="J38" s="404"/>
      <c r="K38" s="404"/>
      <c r="L38" s="404"/>
      <c r="M38" s="404"/>
      <c r="N38" s="404"/>
      <c r="O38" s="13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:30" s="168" customFormat="1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sheetProtection password="E1AE" sheet="1"/>
  <mergeCells count="58">
    <mergeCell ref="L34:N34"/>
    <mergeCell ref="L35:N35"/>
    <mergeCell ref="L36:N36"/>
    <mergeCell ref="A1:N1"/>
    <mergeCell ref="A2:N2"/>
    <mergeCell ref="A3:N3"/>
    <mergeCell ref="L28:N28"/>
    <mergeCell ref="L29:N29"/>
    <mergeCell ref="L30:N30"/>
    <mergeCell ref="L31:N31"/>
    <mergeCell ref="L33:N33"/>
    <mergeCell ref="L22:N22"/>
    <mergeCell ref="L23:N23"/>
    <mergeCell ref="L24:N24"/>
    <mergeCell ref="L25:N25"/>
    <mergeCell ref="L26:N26"/>
    <mergeCell ref="L27:N27"/>
    <mergeCell ref="S21:U21"/>
    <mergeCell ref="L18:N18"/>
    <mergeCell ref="L19:N19"/>
    <mergeCell ref="L20:N20"/>
    <mergeCell ref="L21:N21"/>
    <mergeCell ref="L32:N32"/>
    <mergeCell ref="A4:N4"/>
    <mergeCell ref="A12:N12"/>
    <mergeCell ref="C14:K14"/>
    <mergeCell ref="C13:K13"/>
    <mergeCell ref="L14:N14"/>
    <mergeCell ref="L16:N16"/>
    <mergeCell ref="C15:K15"/>
    <mergeCell ref="L15:N15"/>
    <mergeCell ref="D8:N8"/>
    <mergeCell ref="A9:N9"/>
    <mergeCell ref="D24:J24"/>
    <mergeCell ref="D25:J25"/>
    <mergeCell ref="C22:K22"/>
    <mergeCell ref="C28:K28"/>
    <mergeCell ref="D29:J29"/>
    <mergeCell ref="D30:J30"/>
    <mergeCell ref="C23:K23"/>
    <mergeCell ref="D36:J36"/>
    <mergeCell ref="D34:J34"/>
    <mergeCell ref="D35:J35"/>
    <mergeCell ref="D33:J33"/>
    <mergeCell ref="D26:J26"/>
    <mergeCell ref="D27:J27"/>
    <mergeCell ref="D31:J31"/>
    <mergeCell ref="C32:K32"/>
    <mergeCell ref="E6:G6"/>
    <mergeCell ref="L6:M6"/>
    <mergeCell ref="L13:N13"/>
    <mergeCell ref="C20:K20"/>
    <mergeCell ref="C21:K21"/>
    <mergeCell ref="C18:K18"/>
    <mergeCell ref="C19:K19"/>
    <mergeCell ref="C16:K16"/>
    <mergeCell ref="C17:K17"/>
    <mergeCell ref="L17:N17"/>
  </mergeCells>
  <printOptions horizontalCentered="1" verticalCentered="1"/>
  <pageMargins left="0.25" right="0.25" top="0.5" bottom="0" header="0.5" footer="0.25"/>
  <pageSetup fitToHeight="0" fitToWidth="1" horizontalDpi="600" verticalDpi="600" orientation="portrait" scale="91" r:id="rId1"/>
  <headerFooter alignWithMargins="0">
    <oddFooter>&amp;LDSS-16 10-24-2016&amp;RPage 13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U45"/>
  <sheetViews>
    <sheetView zoomScalePageLayoutView="0" workbookViewId="0" topLeftCell="A4">
      <selection activeCell="P20" sqref="P20"/>
    </sheetView>
  </sheetViews>
  <sheetFormatPr defaultColWidth="9.7109375" defaultRowHeight="12.75"/>
  <cols>
    <col min="1" max="1" width="6.7109375" style="12" customWidth="1"/>
    <col min="2" max="2" width="5.57421875" style="12" customWidth="1"/>
    <col min="3" max="3" width="9.7109375" style="12" customWidth="1"/>
    <col min="4" max="4" width="15.421875" style="12" customWidth="1"/>
    <col min="5" max="5" width="20.28125" style="12" customWidth="1"/>
    <col min="6" max="6" width="1.7109375" style="12" customWidth="1"/>
    <col min="7" max="7" width="11.28125" style="12" customWidth="1"/>
    <col min="8" max="8" width="0.85546875" style="12" customWidth="1"/>
    <col min="9" max="9" width="14.421875" style="12" customWidth="1"/>
    <col min="10" max="10" width="8.140625" style="12" customWidth="1"/>
    <col min="11" max="11" width="1.7109375" style="12" customWidth="1"/>
    <col min="12" max="12" width="10.140625" style="12" bestFit="1" customWidth="1"/>
    <col min="13" max="13" width="3.140625" style="12" customWidth="1"/>
    <col min="14" max="14" width="6.57421875" style="12" customWidth="1"/>
    <col min="15" max="16384" width="9.7109375" style="12" customWidth="1"/>
  </cols>
  <sheetData>
    <row r="1" spans="1:15" ht="12.75">
      <c r="A1" s="1107" t="s">
        <v>45</v>
      </c>
      <c r="B1" s="1107"/>
      <c r="C1" s="1107"/>
      <c r="D1" s="1107"/>
      <c r="E1" s="1107"/>
      <c r="F1" s="1107"/>
      <c r="G1" s="1107"/>
      <c r="H1" s="1107"/>
      <c r="I1" s="1107"/>
      <c r="J1" s="1107"/>
      <c r="K1" s="1107"/>
      <c r="L1" s="1107"/>
      <c r="M1" s="1107"/>
      <c r="N1" s="1107"/>
      <c r="O1" s="75"/>
    </row>
    <row r="2" spans="1:15" ht="12.75">
      <c r="A2" s="1107" t="s">
        <v>46</v>
      </c>
      <c r="B2" s="1107"/>
      <c r="C2" s="1107"/>
      <c r="D2" s="1107"/>
      <c r="E2" s="1107"/>
      <c r="F2" s="1107"/>
      <c r="G2" s="1107"/>
      <c r="H2" s="1107"/>
      <c r="I2" s="1107"/>
      <c r="J2" s="1107"/>
      <c r="K2" s="1107"/>
      <c r="L2" s="1107"/>
      <c r="M2" s="1107"/>
      <c r="N2" s="1107"/>
      <c r="O2" s="75"/>
    </row>
    <row r="3" spans="1:15" ht="12.75">
      <c r="A3" s="1107" t="s">
        <v>47</v>
      </c>
      <c r="B3" s="1107"/>
      <c r="C3" s="1107"/>
      <c r="D3" s="1107"/>
      <c r="E3" s="1107"/>
      <c r="F3" s="1107"/>
      <c r="G3" s="1107"/>
      <c r="H3" s="1107"/>
      <c r="I3" s="1107"/>
      <c r="J3" s="1107"/>
      <c r="K3" s="1107"/>
      <c r="L3" s="1107"/>
      <c r="M3" s="1107"/>
      <c r="N3" s="1107"/>
      <c r="O3" s="75"/>
    </row>
    <row r="4" spans="1:15" ht="12.75">
      <c r="A4" s="1107" t="s">
        <v>48</v>
      </c>
      <c r="B4" s="1107"/>
      <c r="C4" s="1107"/>
      <c r="D4" s="1107"/>
      <c r="E4" s="1107"/>
      <c r="F4" s="1107"/>
      <c r="G4" s="1107"/>
      <c r="H4" s="1107"/>
      <c r="I4" s="1107"/>
      <c r="J4" s="1107"/>
      <c r="K4" s="1107"/>
      <c r="L4" s="1107"/>
      <c r="M4" s="1107"/>
      <c r="N4" s="1107"/>
      <c r="O4" s="75"/>
    </row>
    <row r="5" spans="3:15" ht="13.5" thickBot="1"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1:15" ht="27.75" customHeight="1">
      <c r="A6" s="93" t="s">
        <v>54</v>
      </c>
      <c r="B6" s="79"/>
      <c r="C6" s="78"/>
      <c r="D6" s="78" t="s">
        <v>6</v>
      </c>
      <c r="E6" s="86">
        <f>'P1 Info &amp; Certification'!L20</f>
        <v>44013</v>
      </c>
      <c r="F6" s="96"/>
      <c r="G6" s="79"/>
      <c r="H6" s="79"/>
      <c r="I6" s="78" t="s">
        <v>7</v>
      </c>
      <c r="J6" s="1114">
        <f>'P1 Info &amp; Certification'!N20</f>
        <v>44377</v>
      </c>
      <c r="K6" s="1114"/>
      <c r="L6" s="1114"/>
      <c r="M6" s="96"/>
      <c r="N6" s="80"/>
      <c r="O6" s="32"/>
    </row>
    <row r="7" spans="1:15" ht="12.75">
      <c r="A7" s="83"/>
      <c r="B7" s="3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81"/>
      <c r="O7" s="13"/>
    </row>
    <row r="8" spans="1:14" ht="26.25" customHeight="1" thickBot="1">
      <c r="A8" s="97" t="s">
        <v>59</v>
      </c>
      <c r="B8" s="182"/>
      <c r="C8" s="98"/>
      <c r="D8" s="1225" t="str">
        <f>'P1 Info &amp; Certification'!E12</f>
        <v>COMMUNITY HEALTH CENTER, INC.</v>
      </c>
      <c r="E8" s="1225"/>
      <c r="F8" s="1225"/>
      <c r="G8" s="1225"/>
      <c r="H8" s="1225"/>
      <c r="I8" s="1225"/>
      <c r="J8" s="1225"/>
      <c r="K8" s="1225"/>
      <c r="L8" s="1225"/>
      <c r="M8" s="98"/>
      <c r="N8" s="99"/>
    </row>
    <row r="9" spans="1:15" ht="15.75" customHeight="1">
      <c r="A9" s="13"/>
      <c r="B9" s="1230"/>
      <c r="C9" s="1230"/>
      <c r="D9" s="1230"/>
      <c r="E9" s="1230"/>
      <c r="F9" s="1230"/>
      <c r="G9" s="1230"/>
      <c r="H9" s="1230"/>
      <c r="I9" s="1230"/>
      <c r="J9" s="1230"/>
      <c r="K9" s="1230"/>
      <c r="L9" s="1230"/>
      <c r="M9" s="1230"/>
      <c r="N9" s="1230"/>
      <c r="O9" s="13"/>
    </row>
    <row r="10" spans="2:15" ht="15.75">
      <c r="B10" s="47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336" t="s">
        <v>261</v>
      </c>
      <c r="O10" s="13"/>
    </row>
    <row r="11" spans="2:15" ht="13.5" thickBot="1">
      <c r="B11" s="157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s="15" customFormat="1" ht="30.75" customHeight="1" thickBot="1">
      <c r="A12" s="1207" t="s">
        <v>262</v>
      </c>
      <c r="B12" s="1208"/>
      <c r="C12" s="1208"/>
      <c r="D12" s="1208"/>
      <c r="E12" s="1208"/>
      <c r="F12" s="1208"/>
      <c r="G12" s="1208"/>
      <c r="H12" s="1208"/>
      <c r="I12" s="1208"/>
      <c r="J12" s="1208"/>
      <c r="K12" s="1208"/>
      <c r="L12" s="1208"/>
      <c r="M12" s="1208"/>
      <c r="N12" s="1209"/>
      <c r="O12" s="158"/>
    </row>
    <row r="13" spans="1:15" s="15" customFormat="1" ht="30.75" customHeight="1">
      <c r="A13" s="193" t="s">
        <v>126</v>
      </c>
      <c r="B13" s="1224" t="s">
        <v>148</v>
      </c>
      <c r="C13" s="1224"/>
      <c r="D13" s="1224"/>
      <c r="E13" s="1224"/>
      <c r="F13" s="1224"/>
      <c r="G13" s="1224"/>
      <c r="H13" s="1224"/>
      <c r="I13" s="1224"/>
      <c r="J13" s="1224"/>
      <c r="K13" s="1224"/>
      <c r="L13" s="89"/>
      <c r="M13" s="89"/>
      <c r="N13" s="194"/>
      <c r="O13" s="158"/>
    </row>
    <row r="14" spans="1:15" ht="21.75" customHeight="1">
      <c r="A14" s="83"/>
      <c r="B14" s="159" t="s">
        <v>83</v>
      </c>
      <c r="C14" s="1203" t="s">
        <v>239</v>
      </c>
      <c r="D14" s="1203"/>
      <c r="E14" s="1203"/>
      <c r="F14" s="1203"/>
      <c r="G14" s="1203"/>
      <c r="H14" s="1203"/>
      <c r="I14" s="1203"/>
      <c r="J14" s="1203"/>
      <c r="K14" s="1203"/>
      <c r="L14" s="1231">
        <f>'P3 Form A-1 Health Care'!J52</f>
        <v>77243610.8108617</v>
      </c>
      <c r="M14" s="1231"/>
      <c r="N14" s="1232"/>
      <c r="O14" s="13"/>
    </row>
    <row r="15" spans="1:15" ht="21.75" customHeight="1">
      <c r="A15" s="83"/>
      <c r="B15" s="159" t="s">
        <v>84</v>
      </c>
      <c r="C15" s="1203" t="s">
        <v>292</v>
      </c>
      <c r="D15" s="1203"/>
      <c r="E15" s="1203"/>
      <c r="F15" s="1203"/>
      <c r="G15" s="1203"/>
      <c r="H15" s="1203"/>
      <c r="I15" s="1203"/>
      <c r="J15" s="1203"/>
      <c r="K15" s="1203"/>
      <c r="L15" s="1204">
        <f>'P13 Form C - Adj &amp; Alloc'!L33:N33</f>
        <v>26580516</v>
      </c>
      <c r="M15" s="1204"/>
      <c r="N15" s="1205"/>
      <c r="O15" s="13"/>
    </row>
    <row r="16" spans="1:15" ht="21.75" customHeight="1">
      <c r="A16" s="83"/>
      <c r="B16" s="159" t="s">
        <v>91</v>
      </c>
      <c r="C16" s="1203" t="s">
        <v>149</v>
      </c>
      <c r="D16" s="1203"/>
      <c r="E16" s="1203"/>
      <c r="F16" s="1203"/>
      <c r="G16" s="1203"/>
      <c r="H16" s="1203"/>
      <c r="I16" s="1203"/>
      <c r="J16" s="1203"/>
      <c r="K16" s="1203"/>
      <c r="L16" s="1204">
        <f>SUM(L14:N15)</f>
        <v>103824126.8108617</v>
      </c>
      <c r="M16" s="1204"/>
      <c r="N16" s="1205"/>
      <c r="O16" s="13"/>
    </row>
    <row r="17" spans="1:15" ht="21.75" customHeight="1">
      <c r="A17" s="83"/>
      <c r="B17" s="159" t="s">
        <v>92</v>
      </c>
      <c r="C17" s="1203" t="s">
        <v>351</v>
      </c>
      <c r="D17" s="1203"/>
      <c r="E17" s="1203"/>
      <c r="F17" s="1203"/>
      <c r="G17" s="1203"/>
      <c r="H17" s="1203"/>
      <c r="I17" s="1203"/>
      <c r="J17" s="1203"/>
      <c r="K17" s="1203"/>
      <c r="L17" s="1204">
        <f>'P12 Form B-4 Summary Personnel'!K26</f>
        <v>421462.12</v>
      </c>
      <c r="M17" s="1204"/>
      <c r="N17" s="1205"/>
      <c r="O17" s="13"/>
    </row>
    <row r="18" spans="1:15" ht="21.75" customHeight="1" thickBot="1">
      <c r="A18" s="83"/>
      <c r="B18" s="159" t="s">
        <v>75</v>
      </c>
      <c r="C18" s="1203" t="s">
        <v>263</v>
      </c>
      <c r="D18" s="1203"/>
      <c r="E18" s="1203"/>
      <c r="F18" s="1203"/>
      <c r="G18" s="1203"/>
      <c r="H18" s="1203"/>
      <c r="I18" s="1203"/>
      <c r="J18" s="1203"/>
      <c r="K18" s="1203"/>
      <c r="L18" s="1226">
        <f>ROUND(L16/L17,2)</f>
        <v>246.34</v>
      </c>
      <c r="M18" s="1226"/>
      <c r="N18" s="1227"/>
      <c r="O18" s="13"/>
    </row>
    <row r="19" spans="1:15" ht="21.75" customHeight="1" thickTop="1">
      <c r="A19" s="83"/>
      <c r="B19" s="159"/>
      <c r="C19" s="162"/>
      <c r="D19" s="162"/>
      <c r="E19" s="162"/>
      <c r="F19" s="162"/>
      <c r="G19" s="162"/>
      <c r="H19" s="162"/>
      <c r="I19" s="162"/>
      <c r="J19" s="162"/>
      <c r="K19" s="162"/>
      <c r="L19" s="267"/>
      <c r="M19" s="267"/>
      <c r="N19" s="268"/>
      <c r="O19" s="13"/>
    </row>
    <row r="20" spans="1:15" ht="21.75" customHeight="1">
      <c r="A20" s="193" t="s">
        <v>128</v>
      </c>
      <c r="B20" s="1203" t="s">
        <v>24</v>
      </c>
      <c r="C20" s="1203"/>
      <c r="D20" s="1203"/>
      <c r="E20" s="1203"/>
      <c r="F20" s="1203"/>
      <c r="G20" s="1203"/>
      <c r="H20" s="1203"/>
      <c r="I20" s="1203"/>
      <c r="J20" s="1203"/>
      <c r="K20" s="162"/>
      <c r="L20" s="1228"/>
      <c r="M20" s="1228"/>
      <c r="N20" s="1229"/>
      <c r="O20" s="13"/>
    </row>
    <row r="21" spans="1:15" ht="21.75" customHeight="1">
      <c r="A21" s="83"/>
      <c r="B21" s="159" t="s">
        <v>83</v>
      </c>
      <c r="C21" s="1203" t="s">
        <v>240</v>
      </c>
      <c r="D21" s="1203"/>
      <c r="E21" s="1203"/>
      <c r="F21" s="1203"/>
      <c r="G21" s="1203"/>
      <c r="H21" s="1203"/>
      <c r="I21" s="1203"/>
      <c r="J21" s="1203"/>
      <c r="K21" s="1203"/>
      <c r="L21" s="1204">
        <f>'P4 Form A-2 - Dental'!J49</f>
        <v>6389902.025328065</v>
      </c>
      <c r="M21" s="1204"/>
      <c r="N21" s="1205"/>
      <c r="O21" s="13"/>
    </row>
    <row r="22" spans="1:15" ht="21.75" customHeight="1">
      <c r="A22" s="83"/>
      <c r="B22" s="159" t="s">
        <v>84</v>
      </c>
      <c r="C22" s="1203" t="s">
        <v>293</v>
      </c>
      <c r="D22" s="1203"/>
      <c r="E22" s="1203"/>
      <c r="F22" s="1203"/>
      <c r="G22" s="1203"/>
      <c r="H22" s="1203"/>
      <c r="I22" s="1203"/>
      <c r="J22" s="1203"/>
      <c r="K22" s="1203"/>
      <c r="L22" s="1204">
        <f>'P13 Form C - Adj &amp; Alloc'!L34:N34</f>
        <v>2198532</v>
      </c>
      <c r="M22" s="1204"/>
      <c r="N22" s="1205"/>
      <c r="O22" s="13"/>
    </row>
    <row r="23" spans="1:21" ht="21.75" customHeight="1">
      <c r="A23" s="83"/>
      <c r="B23" s="159" t="s">
        <v>91</v>
      </c>
      <c r="C23" s="1203" t="s">
        <v>150</v>
      </c>
      <c r="D23" s="1203"/>
      <c r="E23" s="1203"/>
      <c r="F23" s="1203"/>
      <c r="G23" s="1203"/>
      <c r="H23" s="1203"/>
      <c r="I23" s="1203"/>
      <c r="J23" s="1203"/>
      <c r="K23" s="1203"/>
      <c r="L23" s="1204">
        <f>SUM(L21:N22)</f>
        <v>8588434.025328066</v>
      </c>
      <c r="M23" s="1204"/>
      <c r="N23" s="1205"/>
      <c r="O23" s="13"/>
      <c r="S23" s="1217"/>
      <c r="T23" s="1217"/>
      <c r="U23" s="1217"/>
    </row>
    <row r="24" spans="1:15" ht="21.75" customHeight="1">
      <c r="A24" s="83"/>
      <c r="B24" s="159" t="s">
        <v>92</v>
      </c>
      <c r="C24" s="1203" t="s">
        <v>352</v>
      </c>
      <c r="D24" s="1203"/>
      <c r="E24" s="1203"/>
      <c r="F24" s="1203"/>
      <c r="G24" s="1203"/>
      <c r="H24" s="1203"/>
      <c r="I24" s="1203"/>
      <c r="J24" s="1203"/>
      <c r="K24" s="1203"/>
      <c r="L24" s="1204">
        <f>'P12 Form B-4 Summary Personnel'!K32</f>
        <v>28560</v>
      </c>
      <c r="M24" s="1204"/>
      <c r="N24" s="1205"/>
      <c r="O24" s="13"/>
    </row>
    <row r="25" spans="1:15" ht="21.75" customHeight="1" thickBot="1">
      <c r="A25" s="83"/>
      <c r="B25" s="159" t="s">
        <v>75</v>
      </c>
      <c r="C25" s="1203" t="s">
        <v>264</v>
      </c>
      <c r="D25" s="1203"/>
      <c r="E25" s="1203"/>
      <c r="F25" s="1203"/>
      <c r="G25" s="1203"/>
      <c r="H25" s="1203"/>
      <c r="I25" s="1203"/>
      <c r="J25" s="1203"/>
      <c r="K25" s="1203"/>
      <c r="L25" s="1226">
        <f>ROUND(L23/L24,2)</f>
        <v>300.72</v>
      </c>
      <c r="M25" s="1226"/>
      <c r="N25" s="1227"/>
      <c r="O25" s="13"/>
    </row>
    <row r="26" spans="1:15" ht="21.75" customHeight="1" thickTop="1">
      <c r="A26" s="83"/>
      <c r="B26" s="159"/>
      <c r="C26" s="162"/>
      <c r="D26" s="162"/>
      <c r="E26" s="162"/>
      <c r="F26" s="162"/>
      <c r="G26" s="162"/>
      <c r="H26" s="162"/>
      <c r="I26" s="162"/>
      <c r="J26" s="162"/>
      <c r="K26" s="162"/>
      <c r="L26" s="267"/>
      <c r="M26" s="267"/>
      <c r="N26" s="268"/>
      <c r="O26" s="13"/>
    </row>
    <row r="27" spans="1:15" ht="18" customHeight="1">
      <c r="A27" s="193" t="s">
        <v>129</v>
      </c>
      <c r="B27" s="1203" t="s">
        <v>43</v>
      </c>
      <c r="C27" s="1203"/>
      <c r="D27" s="1203"/>
      <c r="E27" s="1203"/>
      <c r="F27" s="1203"/>
      <c r="G27" s="1203"/>
      <c r="H27" s="1203"/>
      <c r="I27" s="1203"/>
      <c r="J27" s="1203"/>
      <c r="K27" s="1203"/>
      <c r="L27" s="1228"/>
      <c r="M27" s="1228"/>
      <c r="N27" s="1229"/>
      <c r="O27" s="13"/>
    </row>
    <row r="28" spans="1:15" ht="21" customHeight="1">
      <c r="A28" s="83"/>
      <c r="B28" s="159" t="s">
        <v>83</v>
      </c>
      <c r="C28" s="1203" t="s">
        <v>241</v>
      </c>
      <c r="D28" s="1203"/>
      <c r="E28" s="1203"/>
      <c r="F28" s="1203"/>
      <c r="G28" s="1203"/>
      <c r="H28" s="1203"/>
      <c r="I28" s="1203"/>
      <c r="J28" s="1203"/>
      <c r="K28" s="1203"/>
      <c r="L28" s="1204">
        <f>'P5 Form A-3 - Mental Health'!J44</f>
        <v>27101545.962371495</v>
      </c>
      <c r="M28" s="1204"/>
      <c r="N28" s="1205"/>
      <c r="O28" s="13"/>
    </row>
    <row r="29" spans="1:15" ht="18" customHeight="1">
      <c r="A29" s="83"/>
      <c r="B29" s="159" t="s">
        <v>84</v>
      </c>
      <c r="C29" s="1203" t="s">
        <v>294</v>
      </c>
      <c r="D29" s="1203"/>
      <c r="E29" s="1203"/>
      <c r="F29" s="1203"/>
      <c r="G29" s="1203"/>
      <c r="H29" s="1203"/>
      <c r="I29" s="1203"/>
      <c r="J29" s="1203"/>
      <c r="K29" s="1203"/>
      <c r="L29" s="1204">
        <f>'P13 Form C - Adj &amp; Alloc'!L35:N35</f>
        <v>9323756</v>
      </c>
      <c r="M29" s="1204"/>
      <c r="N29" s="1205"/>
      <c r="O29" s="13"/>
    </row>
    <row r="30" spans="1:15" ht="18" customHeight="1">
      <c r="A30" s="83"/>
      <c r="B30" s="159" t="s">
        <v>91</v>
      </c>
      <c r="C30" s="1203" t="s">
        <v>151</v>
      </c>
      <c r="D30" s="1203"/>
      <c r="E30" s="1203"/>
      <c r="F30" s="1203"/>
      <c r="G30" s="1203"/>
      <c r="H30" s="1203"/>
      <c r="I30" s="1203"/>
      <c r="J30" s="1203"/>
      <c r="K30" s="1203"/>
      <c r="L30" s="1204">
        <f>SUM(L28:N29)</f>
        <v>36425301.9623715</v>
      </c>
      <c r="M30" s="1204"/>
      <c r="N30" s="1205"/>
      <c r="O30" s="13"/>
    </row>
    <row r="31" spans="1:15" s="166" customFormat="1" ht="19.5" customHeight="1">
      <c r="A31" s="83"/>
      <c r="B31" s="159" t="s">
        <v>92</v>
      </c>
      <c r="C31" s="1203" t="s">
        <v>353</v>
      </c>
      <c r="D31" s="1203"/>
      <c r="E31" s="1203"/>
      <c r="F31" s="1203"/>
      <c r="G31" s="1203"/>
      <c r="H31" s="1203"/>
      <c r="I31" s="1203"/>
      <c r="J31" s="1203"/>
      <c r="K31" s="1203"/>
      <c r="L31" s="1204">
        <f>'P12 Form B-4 Summary Personnel'!K40</f>
        <v>222463</v>
      </c>
      <c r="M31" s="1204"/>
      <c r="N31" s="1205"/>
      <c r="O31" s="165"/>
    </row>
    <row r="32" spans="1:15" s="168" customFormat="1" ht="17.25" customHeight="1" thickBot="1">
      <c r="A32" s="83"/>
      <c r="B32" s="159" t="s">
        <v>75</v>
      </c>
      <c r="C32" s="1203" t="s">
        <v>265</v>
      </c>
      <c r="D32" s="1203"/>
      <c r="E32" s="1203"/>
      <c r="F32" s="1203"/>
      <c r="G32" s="1203"/>
      <c r="H32" s="1203"/>
      <c r="I32" s="1203"/>
      <c r="J32" s="1203"/>
      <c r="K32" s="1203"/>
      <c r="L32" s="1226">
        <f>ROUND(L30/L31,2)</f>
        <v>163.74</v>
      </c>
      <c r="M32" s="1226"/>
      <c r="N32" s="1227"/>
      <c r="O32" s="167"/>
    </row>
    <row r="33" spans="1:15" s="168" customFormat="1" ht="17.25" customHeight="1" thickBot="1" thickTop="1">
      <c r="A33" s="181"/>
      <c r="B33" s="185"/>
      <c r="C33" s="195"/>
      <c r="D33" s="196"/>
      <c r="E33" s="196"/>
      <c r="F33" s="196"/>
      <c r="G33" s="196"/>
      <c r="H33" s="196"/>
      <c r="I33" s="196"/>
      <c r="J33" s="196"/>
      <c r="K33" s="185"/>
      <c r="L33" s="269"/>
      <c r="M33" s="269"/>
      <c r="N33" s="270"/>
      <c r="O33" s="167"/>
    </row>
    <row r="34" spans="12:14" ht="12.75">
      <c r="L34" s="271"/>
      <c r="M34" s="271"/>
      <c r="N34" s="271"/>
    </row>
    <row r="35" spans="12:14" ht="12.75">
      <c r="L35" s="271"/>
      <c r="M35" s="271"/>
      <c r="N35" s="271"/>
    </row>
    <row r="36" spans="12:14" ht="12.75">
      <c r="L36" s="271"/>
      <c r="M36" s="271"/>
      <c r="N36" s="271"/>
    </row>
    <row r="37" spans="12:14" ht="12.75">
      <c r="L37" s="271"/>
      <c r="M37" s="271"/>
      <c r="N37" s="271"/>
    </row>
    <row r="38" spans="12:14" ht="12.75">
      <c r="L38" s="271"/>
      <c r="M38" s="271"/>
      <c r="N38" s="271"/>
    </row>
    <row r="39" spans="12:14" ht="12.75">
      <c r="L39" s="271"/>
      <c r="M39" s="271"/>
      <c r="N39" s="271"/>
    </row>
    <row r="40" spans="12:14" ht="12.75">
      <c r="L40" s="271"/>
      <c r="M40" s="271"/>
      <c r="N40" s="271"/>
    </row>
    <row r="41" spans="12:14" ht="12.75">
      <c r="L41" s="271"/>
      <c r="M41" s="271"/>
      <c r="N41" s="271"/>
    </row>
    <row r="42" spans="12:14" ht="12.75">
      <c r="L42" s="271"/>
      <c r="M42" s="271"/>
      <c r="N42" s="271"/>
    </row>
    <row r="43" spans="12:14" ht="12.75">
      <c r="L43" s="271"/>
      <c r="M43" s="271"/>
      <c r="N43" s="271"/>
    </row>
    <row r="44" spans="12:14" ht="12.75">
      <c r="L44" s="271"/>
      <c r="M44" s="271"/>
      <c r="N44" s="271"/>
    </row>
    <row r="45" spans="12:14" ht="12.75">
      <c r="L45" s="271"/>
      <c r="M45" s="271"/>
      <c r="N45" s="271"/>
    </row>
  </sheetData>
  <sheetProtection password="E1AE" sheet="1"/>
  <mergeCells count="44">
    <mergeCell ref="B9:N9"/>
    <mergeCell ref="C14:K14"/>
    <mergeCell ref="L14:N14"/>
    <mergeCell ref="C15:K15"/>
    <mergeCell ref="L15:N15"/>
    <mergeCell ref="B20:J20"/>
    <mergeCell ref="C16:K16"/>
    <mergeCell ref="L16:N16"/>
    <mergeCell ref="C17:K17"/>
    <mergeCell ref="L17:N17"/>
    <mergeCell ref="C18:K18"/>
    <mergeCell ref="L18:N18"/>
    <mergeCell ref="S23:U23"/>
    <mergeCell ref="C24:K24"/>
    <mergeCell ref="L24:N24"/>
    <mergeCell ref="C25:K25"/>
    <mergeCell ref="L25:N25"/>
    <mergeCell ref="L20:N20"/>
    <mergeCell ref="C21:K21"/>
    <mergeCell ref="L21:N21"/>
    <mergeCell ref="C22:K22"/>
    <mergeCell ref="L22:N22"/>
    <mergeCell ref="L32:N32"/>
    <mergeCell ref="L27:N27"/>
    <mergeCell ref="L28:N28"/>
    <mergeCell ref="L29:N29"/>
    <mergeCell ref="C23:K23"/>
    <mergeCell ref="L23:N23"/>
    <mergeCell ref="A1:N1"/>
    <mergeCell ref="A2:N2"/>
    <mergeCell ref="A3:N3"/>
    <mergeCell ref="A4:N4"/>
    <mergeCell ref="J6:L6"/>
    <mergeCell ref="D8:L8"/>
    <mergeCell ref="A12:N12"/>
    <mergeCell ref="B13:K13"/>
    <mergeCell ref="C32:K32"/>
    <mergeCell ref="C30:K30"/>
    <mergeCell ref="C29:K29"/>
    <mergeCell ref="C28:K28"/>
    <mergeCell ref="B27:K27"/>
    <mergeCell ref="L30:N30"/>
    <mergeCell ref="C31:K31"/>
    <mergeCell ref="L31:N31"/>
  </mergeCells>
  <printOptions horizontalCentered="1" verticalCentered="1"/>
  <pageMargins left="0.25" right="0.25" top="0.5" bottom="0" header="0.5" footer="0.25"/>
  <pageSetup fitToHeight="0" fitToWidth="1" horizontalDpi="600" verticalDpi="600" orientation="portrait" scale="89" r:id="rId1"/>
  <headerFooter alignWithMargins="0">
    <oddFooter>&amp;LDSS-16 10-24-2016&amp;RPage 14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R46"/>
  <sheetViews>
    <sheetView zoomScalePageLayoutView="0" workbookViewId="0" topLeftCell="A1">
      <selection activeCell="B14" sqref="B14:C14"/>
    </sheetView>
  </sheetViews>
  <sheetFormatPr defaultColWidth="9.140625" defaultRowHeight="12.75"/>
  <cols>
    <col min="1" max="1" width="3.57421875" style="155" customWidth="1"/>
    <col min="2" max="2" width="16.421875" style="14" customWidth="1"/>
    <col min="3" max="3" width="28.421875" style="14" customWidth="1"/>
    <col min="4" max="4" width="17.00390625" style="14" customWidth="1"/>
    <col min="5" max="5" width="16.421875" style="14" customWidth="1"/>
    <col min="6" max="6" width="17.421875" style="14" customWidth="1"/>
    <col min="7" max="7" width="17.7109375" style="14" customWidth="1"/>
    <col min="8" max="8" width="16.28125" style="14" customWidth="1"/>
    <col min="9" max="10" width="9.140625" style="14" customWidth="1"/>
    <col min="11" max="11" width="30.7109375" style="14" customWidth="1"/>
    <col min="12" max="16384" width="9.140625" style="14" customWidth="1"/>
  </cols>
  <sheetData>
    <row r="1" spans="1:17" ht="12.75">
      <c r="A1" s="1107" t="s">
        <v>45</v>
      </c>
      <c r="B1" s="1107"/>
      <c r="C1" s="1107"/>
      <c r="D1" s="1107"/>
      <c r="E1" s="1107"/>
      <c r="F1" s="1107"/>
      <c r="G1" s="1107"/>
      <c r="H1" s="1107"/>
      <c r="I1" s="75"/>
      <c r="J1" s="75"/>
      <c r="K1" s="75"/>
      <c r="L1" s="75"/>
      <c r="M1" s="75"/>
      <c r="N1" s="75"/>
      <c r="O1" s="75"/>
      <c r="P1" s="75"/>
      <c r="Q1" s="75"/>
    </row>
    <row r="2" spans="1:17" ht="12.75">
      <c r="A2" s="1107" t="s">
        <v>46</v>
      </c>
      <c r="B2" s="1107"/>
      <c r="C2" s="1107"/>
      <c r="D2" s="1107"/>
      <c r="E2" s="1107"/>
      <c r="F2" s="1107"/>
      <c r="G2" s="1107"/>
      <c r="H2" s="1107"/>
      <c r="I2" s="75"/>
      <c r="J2" s="75"/>
      <c r="K2" s="75"/>
      <c r="L2" s="75"/>
      <c r="M2" s="75"/>
      <c r="N2" s="75"/>
      <c r="O2" s="75"/>
      <c r="P2" s="75"/>
      <c r="Q2" s="75"/>
    </row>
    <row r="3" spans="1:17" ht="12.75">
      <c r="A3" s="1107" t="s">
        <v>47</v>
      </c>
      <c r="B3" s="1107"/>
      <c r="C3" s="1107"/>
      <c r="D3" s="1107"/>
      <c r="E3" s="1107"/>
      <c r="F3" s="1107"/>
      <c r="G3" s="1107"/>
      <c r="H3" s="1107"/>
      <c r="I3" s="75"/>
      <c r="J3" s="75"/>
      <c r="K3" s="75"/>
      <c r="L3" s="75"/>
      <c r="M3" s="75"/>
      <c r="N3" s="75"/>
      <c r="O3" s="75"/>
      <c r="P3" s="75"/>
      <c r="Q3" s="75"/>
    </row>
    <row r="4" spans="1:17" ht="12.75">
      <c r="A4" s="1107" t="s">
        <v>48</v>
      </c>
      <c r="B4" s="1107"/>
      <c r="C4" s="1107"/>
      <c r="D4" s="1107"/>
      <c r="E4" s="1107"/>
      <c r="F4" s="1107"/>
      <c r="G4" s="1107"/>
      <c r="H4" s="1107"/>
      <c r="I4" s="75"/>
      <c r="J4" s="75"/>
      <c r="K4" s="75"/>
      <c r="L4" s="75"/>
      <c r="M4" s="75"/>
      <c r="N4" s="75"/>
      <c r="O4" s="75"/>
      <c r="P4" s="75"/>
      <c r="Q4" s="75"/>
    </row>
    <row r="5" spans="1:17" ht="13.5" thickBot="1">
      <c r="A5" s="151"/>
      <c r="B5" s="12"/>
      <c r="C5" s="12"/>
      <c r="D5" s="12"/>
      <c r="E5" s="440"/>
      <c r="F5" s="440"/>
      <c r="G5" s="440"/>
      <c r="H5" s="440"/>
      <c r="I5" s="85"/>
      <c r="J5" s="85"/>
      <c r="K5" s="85"/>
      <c r="L5" s="85"/>
      <c r="M5" s="85"/>
      <c r="N5" s="85"/>
      <c r="O5" s="85"/>
      <c r="P5" s="85"/>
      <c r="Q5" s="85"/>
    </row>
    <row r="6" spans="1:18" ht="21.75" customHeight="1">
      <c r="A6" s="152"/>
      <c r="B6" s="77" t="s">
        <v>54</v>
      </c>
      <c r="C6" s="77"/>
      <c r="D6" s="78" t="s">
        <v>6</v>
      </c>
      <c r="E6" s="94">
        <f>'P1 Info &amp; Certification'!L20</f>
        <v>44013</v>
      </c>
      <c r="F6" s="148"/>
      <c r="G6" s="95" t="str">
        <f>'P1 Info &amp; Certification'!M20</f>
        <v>To</v>
      </c>
      <c r="H6" s="443">
        <f>'P1 Info &amp; Certification'!N20</f>
        <v>44377</v>
      </c>
      <c r="I6" s="147"/>
      <c r="J6" s="89"/>
      <c r="K6" s="13"/>
      <c r="L6" s="88"/>
      <c r="M6" s="32"/>
      <c r="N6" s="147"/>
      <c r="O6" s="147"/>
      <c r="P6" s="32"/>
      <c r="Q6" s="146"/>
      <c r="R6" s="146"/>
    </row>
    <row r="7" spans="1:18" ht="8.25" customHeight="1">
      <c r="A7" s="153"/>
      <c r="B7" s="458"/>
      <c r="C7" s="458"/>
      <c r="D7" s="458"/>
      <c r="E7" s="13"/>
      <c r="F7" s="13"/>
      <c r="G7" s="13"/>
      <c r="H7" s="81"/>
      <c r="I7" s="13"/>
      <c r="J7" s="13"/>
      <c r="K7" s="13"/>
      <c r="L7" s="13"/>
      <c r="M7" s="13"/>
      <c r="N7" s="13"/>
      <c r="O7" s="13"/>
      <c r="P7" s="13"/>
      <c r="Q7" s="146"/>
      <c r="R7" s="146"/>
    </row>
    <row r="8" spans="1:18" ht="16.5" customHeight="1" thickBot="1">
      <c r="A8" s="154"/>
      <c r="B8" s="84" t="s">
        <v>59</v>
      </c>
      <c r="C8" s="489" t="str">
        <f>'P1 Info &amp; Certification'!E12</f>
        <v>COMMUNITY HEALTH CENTER, INC.</v>
      </c>
      <c r="D8" s="210"/>
      <c r="E8" s="490"/>
      <c r="F8" s="490"/>
      <c r="G8" s="490"/>
      <c r="H8" s="491"/>
      <c r="I8" s="145"/>
      <c r="J8" s="145"/>
      <c r="K8" s="145"/>
      <c r="L8" s="145"/>
      <c r="M8" s="145"/>
      <c r="N8" s="145"/>
      <c r="O8" s="145"/>
      <c r="P8" s="145"/>
      <c r="Q8" s="146"/>
      <c r="R8" s="146"/>
    </row>
    <row r="9" spans="1:18" ht="7.5" customHeight="1">
      <c r="A9" s="471"/>
      <c r="B9" s="472"/>
      <c r="C9" s="472"/>
      <c r="D9" s="472"/>
      <c r="E9" s="472"/>
      <c r="F9" s="472"/>
      <c r="G9" s="472"/>
      <c r="H9" s="472"/>
      <c r="I9" s="43"/>
      <c r="J9" s="43"/>
      <c r="K9" s="43"/>
      <c r="L9" s="43"/>
      <c r="M9" s="43"/>
      <c r="N9" s="43"/>
      <c r="O9" s="43"/>
      <c r="P9" s="43"/>
      <c r="Q9" s="146"/>
      <c r="R9" s="146"/>
    </row>
    <row r="10" spans="7:8" ht="13.5" thickBot="1">
      <c r="G10" s="1237" t="s">
        <v>153</v>
      </c>
      <c r="H10" s="1237"/>
    </row>
    <row r="11" spans="1:8" ht="12.75">
      <c r="A11" s="201"/>
      <c r="B11" s="202"/>
      <c r="C11" s="202"/>
      <c r="D11" s="202"/>
      <c r="E11" s="202"/>
      <c r="F11" s="202"/>
      <c r="G11" s="202"/>
      <c r="H11" s="203"/>
    </row>
    <row r="12" spans="1:8" ht="12.75" customHeight="1">
      <c r="A12" s="1234" t="s">
        <v>152</v>
      </c>
      <c r="B12" s="1185"/>
      <c r="C12" s="1186"/>
      <c r="D12" s="143" t="s">
        <v>60</v>
      </c>
      <c r="E12" s="143" t="s">
        <v>61</v>
      </c>
      <c r="F12" s="143" t="s">
        <v>62</v>
      </c>
      <c r="G12" s="144" t="s">
        <v>63</v>
      </c>
      <c r="H12" s="206" t="s">
        <v>64</v>
      </c>
    </row>
    <row r="13" spans="1:8" ht="39.75" customHeight="1">
      <c r="A13" s="207" t="s">
        <v>83</v>
      </c>
      <c r="B13" s="1185" t="s">
        <v>243</v>
      </c>
      <c r="C13" s="1185"/>
      <c r="D13" s="171" t="s">
        <v>154</v>
      </c>
      <c r="E13" s="172" t="s">
        <v>24</v>
      </c>
      <c r="F13" s="172" t="s">
        <v>43</v>
      </c>
      <c r="G13" s="172" t="s">
        <v>14</v>
      </c>
      <c r="H13" s="251" t="s">
        <v>155</v>
      </c>
    </row>
    <row r="14" spans="1:8" ht="12.75">
      <c r="A14" s="492" t="s">
        <v>49</v>
      </c>
      <c r="B14" s="1236" t="s">
        <v>157</v>
      </c>
      <c r="C14" s="1236"/>
      <c r="D14" s="349">
        <v>48995968.81</v>
      </c>
      <c r="E14" s="349">
        <v>2708138.08</v>
      </c>
      <c r="F14" s="349">
        <v>18201939.27</v>
      </c>
      <c r="G14" s="349">
        <v>599006.62</v>
      </c>
      <c r="H14" s="350">
        <f>SUM(D14:G14)</f>
        <v>70505052.78</v>
      </c>
    </row>
    <row r="15" spans="1:8" ht="12.75">
      <c r="A15" s="492" t="s">
        <v>50</v>
      </c>
      <c r="B15" s="1236" t="s">
        <v>158</v>
      </c>
      <c r="C15" s="1236"/>
      <c r="D15" s="349">
        <v>4245410.67</v>
      </c>
      <c r="E15" s="349">
        <v>5065.32</v>
      </c>
      <c r="F15" s="349">
        <v>1887495.5779</v>
      </c>
      <c r="G15" s="349">
        <v>20937.86</v>
      </c>
      <c r="H15" s="350">
        <f>SUM(D15:G15)</f>
        <v>6158909.4279000005</v>
      </c>
    </row>
    <row r="16" spans="1:8" ht="12.75">
      <c r="A16" s="492" t="s">
        <v>82</v>
      </c>
      <c r="B16" s="1236" t="s">
        <v>159</v>
      </c>
      <c r="C16" s="1236"/>
      <c r="D16" s="349">
        <v>5227772.5</v>
      </c>
      <c r="E16" s="349">
        <v>150860.34</v>
      </c>
      <c r="F16" s="349">
        <v>4498788.0600000005</v>
      </c>
      <c r="G16" s="349">
        <v>76116.07</v>
      </c>
      <c r="H16" s="350">
        <f>SUM(D16:G16)</f>
        <v>9953536.97</v>
      </c>
    </row>
    <row r="17" spans="1:8" ht="12.75">
      <c r="A17" s="492" t="s">
        <v>51</v>
      </c>
      <c r="B17" s="493" t="s">
        <v>242</v>
      </c>
      <c r="C17" s="493"/>
      <c r="D17" s="349">
        <v>1278362.07</v>
      </c>
      <c r="E17" s="349">
        <v>110505.86</v>
      </c>
      <c r="F17" s="349">
        <v>284975.34</v>
      </c>
      <c r="G17" s="349">
        <v>313.14</v>
      </c>
      <c r="H17" s="350">
        <f>SUM(D17:G17)</f>
        <v>1674156.4100000001</v>
      </c>
    </row>
    <row r="18" spans="1:8" ht="12.75">
      <c r="A18" s="492" t="s">
        <v>156</v>
      </c>
      <c r="B18" s="494" t="s">
        <v>169</v>
      </c>
      <c r="C18" s="493"/>
      <c r="D18" s="349">
        <v>9212.9</v>
      </c>
      <c r="E18" s="349">
        <v>162.07</v>
      </c>
      <c r="F18" s="351">
        <v>11322.46</v>
      </c>
      <c r="G18" s="349">
        <v>84090</v>
      </c>
      <c r="H18" s="350">
        <f>SUM(D18:G18)</f>
        <v>104787.43</v>
      </c>
    </row>
    <row r="19" spans="1:8" ht="13.5" thickBot="1">
      <c r="A19" s="252" t="s">
        <v>55</v>
      </c>
      <c r="B19" s="363" t="s">
        <v>355</v>
      </c>
      <c r="C19" s="174"/>
      <c r="D19" s="352">
        <f>SUM(D14:D18)</f>
        <v>59756726.95</v>
      </c>
      <c r="E19" s="352">
        <f>SUM(E14:E18)</f>
        <v>2974731.6699999995</v>
      </c>
      <c r="F19" s="352">
        <f>SUM(F14:F18)</f>
        <v>24884520.7079</v>
      </c>
      <c r="G19" s="352">
        <f>SUM(G14:G18)</f>
        <v>780463.6900000001</v>
      </c>
      <c r="H19" s="353">
        <f>SUM(H14:H18)</f>
        <v>88396443.0179</v>
      </c>
    </row>
    <row r="20" spans="1:8" ht="6.75" customHeight="1" thickTop="1">
      <c r="A20" s="253"/>
      <c r="B20" s="150"/>
      <c r="C20" s="150"/>
      <c r="D20" s="354"/>
      <c r="E20" s="355"/>
      <c r="F20" s="355"/>
      <c r="G20" s="355"/>
      <c r="H20" s="350"/>
    </row>
    <row r="21" spans="1:8" s="149" customFormat="1" ht="16.5" customHeight="1">
      <c r="A21" s="207" t="s">
        <v>84</v>
      </c>
      <c r="B21" s="1185" t="s">
        <v>244</v>
      </c>
      <c r="C21" s="1186"/>
      <c r="D21" s="355"/>
      <c r="E21" s="355"/>
      <c r="F21" s="355"/>
      <c r="G21" s="355"/>
      <c r="H21" s="350"/>
    </row>
    <row r="22" spans="1:8" ht="12.75">
      <c r="A22" s="492" t="s">
        <v>49</v>
      </c>
      <c r="B22" s="493" t="s">
        <v>962</v>
      </c>
      <c r="C22" s="493"/>
      <c r="D22" s="349"/>
      <c r="E22" s="349"/>
      <c r="F22" s="349"/>
      <c r="G22" s="964">
        <v>18379083.709999993</v>
      </c>
      <c r="H22" s="350">
        <f aca="true" t="shared" si="0" ref="H22:H31">SUM(D22:G22)</f>
        <v>18379083.709999993</v>
      </c>
    </row>
    <row r="23" spans="1:8" ht="12.75">
      <c r="A23" s="492" t="s">
        <v>50</v>
      </c>
      <c r="B23" s="1236" t="s">
        <v>166</v>
      </c>
      <c r="C23" s="1236"/>
      <c r="D23" s="349">
        <v>10056520.92</v>
      </c>
      <c r="E23" s="349">
        <v>2192972.34</v>
      </c>
      <c r="F23" s="349">
        <v>5771928.46</v>
      </c>
      <c r="G23" s="349">
        <v>7056062</v>
      </c>
      <c r="H23" s="350">
        <f t="shared" si="0"/>
        <v>25077483.72</v>
      </c>
    </row>
    <row r="24" spans="1:8" ht="12.75">
      <c r="A24" s="492" t="s">
        <v>82</v>
      </c>
      <c r="B24" s="495" t="s">
        <v>167</v>
      </c>
      <c r="C24" s="493"/>
      <c r="D24" s="349"/>
      <c r="E24" s="349"/>
      <c r="F24" s="349"/>
      <c r="G24" s="963">
        <f>73131+44</f>
        <v>73175</v>
      </c>
      <c r="H24" s="350">
        <f t="shared" si="0"/>
        <v>73175</v>
      </c>
    </row>
    <row r="25" spans="1:8" ht="12.75">
      <c r="A25" s="492" t="s">
        <v>51</v>
      </c>
      <c r="B25" s="495" t="s">
        <v>168</v>
      </c>
      <c r="C25" s="496"/>
      <c r="D25" s="351"/>
      <c r="E25" s="349"/>
      <c r="F25" s="349"/>
      <c r="G25" s="349">
        <v>3163113</v>
      </c>
      <c r="H25" s="350">
        <f t="shared" si="0"/>
        <v>3163113</v>
      </c>
    </row>
    <row r="26" spans="1:8" ht="12.75">
      <c r="A26" s="492" t="s">
        <v>156</v>
      </c>
      <c r="B26" s="495" t="s">
        <v>169</v>
      </c>
      <c r="C26" s="497" t="s">
        <v>483</v>
      </c>
      <c r="D26" s="349"/>
      <c r="E26" s="349"/>
      <c r="F26" s="349"/>
      <c r="G26" s="349">
        <v>0</v>
      </c>
      <c r="H26" s="350">
        <f t="shared" si="0"/>
        <v>0</v>
      </c>
    </row>
    <row r="27" spans="1:8" ht="12.75">
      <c r="A27" s="492" t="s">
        <v>55</v>
      </c>
      <c r="B27" s="495" t="s">
        <v>169</v>
      </c>
      <c r="C27" s="498" t="s">
        <v>484</v>
      </c>
      <c r="D27" s="349">
        <v>13234603.02</v>
      </c>
      <c r="E27" s="349">
        <v>108553.43</v>
      </c>
      <c r="F27" s="349">
        <v>267823.61</v>
      </c>
      <c r="G27" s="349">
        <v>23832</v>
      </c>
      <c r="H27" s="350">
        <f t="shared" si="0"/>
        <v>13634812.059999999</v>
      </c>
    </row>
    <row r="28" spans="1:8" s="149" customFormat="1" ht="12.75">
      <c r="A28" s="492" t="s">
        <v>56</v>
      </c>
      <c r="B28" s="495" t="s">
        <v>169</v>
      </c>
      <c r="C28" s="498" t="s">
        <v>485</v>
      </c>
      <c r="D28" s="349"/>
      <c r="E28" s="349"/>
      <c r="F28" s="349"/>
      <c r="G28" s="962">
        <v>749022.74</v>
      </c>
      <c r="H28" s="350">
        <f t="shared" si="0"/>
        <v>749022.74</v>
      </c>
    </row>
    <row r="29" spans="1:8" s="149" customFormat="1" ht="12.75">
      <c r="A29" s="492" t="s">
        <v>161</v>
      </c>
      <c r="B29" s="495" t="s">
        <v>169</v>
      </c>
      <c r="C29" s="498" t="s">
        <v>14</v>
      </c>
      <c r="D29" s="349"/>
      <c r="E29" s="349"/>
      <c r="F29" s="349"/>
      <c r="G29" s="349">
        <f>550573+38849</f>
        <v>589422</v>
      </c>
      <c r="H29" s="350">
        <f t="shared" si="0"/>
        <v>589422</v>
      </c>
    </row>
    <row r="30" spans="1:8" s="149" customFormat="1" ht="12.75">
      <c r="A30" s="492" t="s">
        <v>162</v>
      </c>
      <c r="B30" s="495" t="s">
        <v>169</v>
      </c>
      <c r="C30" s="498" t="s">
        <v>486</v>
      </c>
      <c r="D30" s="349"/>
      <c r="E30" s="349"/>
      <c r="F30" s="349"/>
      <c r="G30" s="349">
        <v>579914</v>
      </c>
      <c r="H30" s="350">
        <f t="shared" si="0"/>
        <v>579914</v>
      </c>
    </row>
    <row r="31" spans="1:8" s="149" customFormat="1" ht="12.75">
      <c r="A31" s="492" t="s">
        <v>163</v>
      </c>
      <c r="B31" s="495" t="s">
        <v>169</v>
      </c>
      <c r="C31" s="498" t="s">
        <v>664</v>
      </c>
      <c r="D31" s="349"/>
      <c r="E31" s="349"/>
      <c r="F31" s="349"/>
      <c r="G31" s="349">
        <v>4538787.5</v>
      </c>
      <c r="H31" s="350">
        <f t="shared" si="0"/>
        <v>4538787.5</v>
      </c>
    </row>
    <row r="32" spans="1:8" s="149" customFormat="1" ht="13.5" thickBot="1">
      <c r="A32" s="252" t="s">
        <v>164</v>
      </c>
      <c r="B32" s="173" t="s">
        <v>356</v>
      </c>
      <c r="C32" s="174"/>
      <c r="D32" s="352">
        <f>SUM(D22:D31)</f>
        <v>23291123.939999998</v>
      </c>
      <c r="E32" s="352">
        <f>SUM(E22:E31)</f>
        <v>2301525.77</v>
      </c>
      <c r="F32" s="352">
        <f>SUM(F22:F31)</f>
        <v>6039752.07</v>
      </c>
      <c r="G32" s="352">
        <f>SUM(G22:G31)</f>
        <v>35152411.94999999</v>
      </c>
      <c r="H32" s="353">
        <f>SUM(H22:H31)</f>
        <v>66784813.73</v>
      </c>
    </row>
    <row r="33" spans="1:8" s="149" customFormat="1" ht="5.25" customHeight="1" thickTop="1">
      <c r="A33" s="253"/>
      <c r="B33" s="1235"/>
      <c r="C33" s="1235"/>
      <c r="D33" s="356"/>
      <c r="E33" s="356"/>
      <c r="F33" s="357"/>
      <c r="G33" s="356"/>
      <c r="H33" s="358"/>
    </row>
    <row r="34" spans="1:8" ht="42" customHeight="1">
      <c r="A34" s="207" t="s">
        <v>91</v>
      </c>
      <c r="B34" s="1185" t="s">
        <v>245</v>
      </c>
      <c r="C34" s="1186"/>
      <c r="D34" s="355"/>
      <c r="E34" s="355"/>
      <c r="F34" s="355"/>
      <c r="G34" s="355"/>
      <c r="H34" s="350"/>
    </row>
    <row r="35" spans="1:8" ht="12.75">
      <c r="A35" s="492" t="s">
        <v>49</v>
      </c>
      <c r="B35" s="495" t="s">
        <v>169</v>
      </c>
      <c r="C35" s="498"/>
      <c r="D35" s="349"/>
      <c r="E35" s="349"/>
      <c r="F35" s="349"/>
      <c r="G35" s="349"/>
      <c r="H35" s="350">
        <f aca="true" t="shared" si="1" ref="H35:H40">SUM(D35:G35)</f>
        <v>0</v>
      </c>
    </row>
    <row r="36" spans="1:8" ht="12.75">
      <c r="A36" s="492" t="s">
        <v>50</v>
      </c>
      <c r="B36" s="495" t="s">
        <v>169</v>
      </c>
      <c r="C36" s="1318"/>
      <c r="D36" s="349"/>
      <c r="E36" s="349"/>
      <c r="F36" s="349"/>
      <c r="G36" s="349"/>
      <c r="H36" s="350">
        <f t="shared" si="1"/>
        <v>0</v>
      </c>
    </row>
    <row r="37" spans="1:8" ht="12.75">
      <c r="A37" s="492" t="s">
        <v>82</v>
      </c>
      <c r="B37" s="495" t="s">
        <v>169</v>
      </c>
      <c r="C37" s="498"/>
      <c r="D37" s="349"/>
      <c r="E37" s="349"/>
      <c r="F37" s="349"/>
      <c r="G37" s="349"/>
      <c r="H37" s="350">
        <f t="shared" si="1"/>
        <v>0</v>
      </c>
    </row>
    <row r="38" spans="1:8" ht="12.75">
      <c r="A38" s="492" t="s">
        <v>51</v>
      </c>
      <c r="B38" s="495" t="s">
        <v>169</v>
      </c>
      <c r="C38" s="498"/>
      <c r="D38" s="349"/>
      <c r="E38" s="349"/>
      <c r="F38" s="349"/>
      <c r="G38" s="349"/>
      <c r="H38" s="350">
        <f t="shared" si="1"/>
        <v>0</v>
      </c>
    </row>
    <row r="39" spans="1:8" ht="12.75">
      <c r="A39" s="492" t="s">
        <v>156</v>
      </c>
      <c r="B39" s="495" t="s">
        <v>169</v>
      </c>
      <c r="C39" s="498"/>
      <c r="D39" s="349"/>
      <c r="E39" s="349"/>
      <c r="F39" s="349"/>
      <c r="G39" s="349"/>
      <c r="H39" s="350">
        <f t="shared" si="1"/>
        <v>0</v>
      </c>
    </row>
    <row r="40" spans="1:8" ht="12.75">
      <c r="A40" s="492" t="s">
        <v>55</v>
      </c>
      <c r="B40" s="495" t="s">
        <v>169</v>
      </c>
      <c r="C40" s="498"/>
      <c r="D40" s="349"/>
      <c r="E40" s="349"/>
      <c r="F40" s="349"/>
      <c r="G40" s="349"/>
      <c r="H40" s="350">
        <f t="shared" si="1"/>
        <v>0</v>
      </c>
    </row>
    <row r="41" spans="1:8" ht="13.5" thickBot="1">
      <c r="A41" s="252" t="s">
        <v>56</v>
      </c>
      <c r="B41" s="173" t="s">
        <v>170</v>
      </c>
      <c r="C41" s="174"/>
      <c r="D41" s="352">
        <f>SUM(D35:D40)</f>
        <v>0</v>
      </c>
      <c r="E41" s="352">
        <f>SUM(E35:E40)</f>
        <v>0</v>
      </c>
      <c r="F41" s="352">
        <f>SUM(F35:F40)</f>
        <v>0</v>
      </c>
      <c r="G41" s="352">
        <f>SUM(G35:G40)</f>
        <v>0</v>
      </c>
      <c r="H41" s="353">
        <f>SUM(H35:H40)</f>
        <v>0</v>
      </c>
    </row>
    <row r="42" spans="1:8" ht="21" customHeight="1" thickBot="1" thickTop="1">
      <c r="A42" s="208" t="s">
        <v>92</v>
      </c>
      <c r="B42" s="1233" t="s">
        <v>357</v>
      </c>
      <c r="C42" s="1233"/>
      <c r="D42" s="359">
        <f>D41+D32+D19</f>
        <v>83047850.89</v>
      </c>
      <c r="E42" s="359">
        <f>E41+E32+E19</f>
        <v>5276257.4399999995</v>
      </c>
      <c r="F42" s="359">
        <f>F41+F32+F19</f>
        <v>30924272.7779</v>
      </c>
      <c r="G42" s="359">
        <f>G41+G32+G19</f>
        <v>35932875.639999986</v>
      </c>
      <c r="H42" s="360">
        <f>H41+H32+H19</f>
        <v>155181256.7479</v>
      </c>
    </row>
    <row r="43" spans="1:8" ht="14.25" thickBot="1" thickTop="1">
      <c r="A43" s="209"/>
      <c r="B43" s="210"/>
      <c r="C43" s="210"/>
      <c r="D43" s="210"/>
      <c r="E43" s="210"/>
      <c r="F43" s="210"/>
      <c r="G43" s="210"/>
      <c r="H43" s="211"/>
    </row>
    <row r="44" spans="1:8" ht="12.75">
      <c r="A44" s="156"/>
      <c r="B44" s="146"/>
      <c r="C44" s="146"/>
      <c r="D44" s="146"/>
      <c r="E44" s="146"/>
      <c r="F44" s="146"/>
      <c r="G44" s="146"/>
      <c r="H44" s="146"/>
    </row>
    <row r="45" spans="1:8" ht="12.75">
      <c r="A45" s="156"/>
      <c r="B45" s="146"/>
      <c r="C45" s="146"/>
      <c r="D45" s="146"/>
      <c r="E45" s="146"/>
      <c r="F45" s="146"/>
      <c r="G45" s="146"/>
      <c r="H45" s="146"/>
    </row>
    <row r="46" spans="1:8" ht="12.75">
      <c r="A46" s="156"/>
      <c r="B46" s="146"/>
      <c r="C46" s="146"/>
      <c r="D46" s="146"/>
      <c r="E46" s="146"/>
      <c r="F46" s="146"/>
      <c r="G46" s="146"/>
      <c r="H46" s="146"/>
    </row>
  </sheetData>
  <sheetProtection password="E1AE" sheet="1" formatColumns="0" formatRows="0"/>
  <mergeCells count="15">
    <mergeCell ref="A1:H1"/>
    <mergeCell ref="A2:H2"/>
    <mergeCell ref="A3:H3"/>
    <mergeCell ref="A4:H4"/>
    <mergeCell ref="G10:H10"/>
    <mergeCell ref="B42:C42"/>
    <mergeCell ref="A12:C12"/>
    <mergeCell ref="B33:C33"/>
    <mergeCell ref="B34:C34"/>
    <mergeCell ref="B16:C16"/>
    <mergeCell ref="B21:C21"/>
    <mergeCell ref="B23:C23"/>
    <mergeCell ref="B13:C13"/>
    <mergeCell ref="B14:C14"/>
    <mergeCell ref="B15:C15"/>
  </mergeCells>
  <printOptions horizontalCentered="1" verticalCentered="1"/>
  <pageMargins left="0" right="0" top="0.25" bottom="0.25" header="0.5" footer="0.25"/>
  <pageSetup horizontalDpi="600" verticalDpi="600" orientation="landscape" scale="90" r:id="rId1"/>
  <headerFooter alignWithMargins="0">
    <oddFooter>&amp;LDSS-16 10-24-2016&amp;RPage 15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V35"/>
  <sheetViews>
    <sheetView zoomScale="85" zoomScaleNormal="85" zoomScalePageLayoutView="0" workbookViewId="0" topLeftCell="A19">
      <selection activeCell="T14" sqref="T14"/>
    </sheetView>
  </sheetViews>
  <sheetFormatPr defaultColWidth="9.7109375" defaultRowHeight="12.75"/>
  <cols>
    <col min="1" max="1" width="9.7109375" style="12" customWidth="1"/>
    <col min="2" max="2" width="2.7109375" style="12" customWidth="1"/>
    <col min="3" max="3" width="9.7109375" style="12" customWidth="1"/>
    <col min="4" max="4" width="7.57421875" style="12" customWidth="1"/>
    <col min="5" max="5" width="9.7109375" style="12" customWidth="1"/>
    <col min="6" max="6" width="1.7109375" style="12" customWidth="1"/>
    <col min="7" max="7" width="11.28125" style="12" customWidth="1"/>
    <col min="8" max="8" width="0.85546875" style="12" customWidth="1"/>
    <col min="9" max="9" width="5.140625" style="12" customWidth="1"/>
    <col min="10" max="10" width="9.7109375" style="12" customWidth="1"/>
    <col min="11" max="11" width="1.7109375" style="12" customWidth="1"/>
    <col min="12" max="12" width="10.140625" style="12" bestFit="1" customWidth="1"/>
    <col min="13" max="13" width="12.57421875" style="12" customWidth="1"/>
    <col min="14" max="14" width="12.140625" style="12" customWidth="1"/>
    <col min="15" max="15" width="10.8515625" style="12" customWidth="1"/>
    <col min="16" max="16384" width="9.7109375" style="12" customWidth="1"/>
  </cols>
  <sheetData>
    <row r="1" spans="1:16" ht="12.75">
      <c r="A1" s="1107" t="s">
        <v>45</v>
      </c>
      <c r="B1" s="1107"/>
      <c r="C1" s="1107"/>
      <c r="D1" s="1107"/>
      <c r="E1" s="1107"/>
      <c r="F1" s="1107"/>
      <c r="G1" s="1107"/>
      <c r="H1" s="1107"/>
      <c r="I1" s="1107"/>
      <c r="J1" s="1107"/>
      <c r="K1" s="1107"/>
      <c r="L1" s="1107"/>
      <c r="M1" s="1107"/>
      <c r="N1" s="1107"/>
      <c r="O1" s="1107"/>
      <c r="P1" s="75"/>
    </row>
    <row r="2" spans="1:16" ht="12.75">
      <c r="A2" s="1107" t="s">
        <v>46</v>
      </c>
      <c r="B2" s="1107"/>
      <c r="C2" s="1107"/>
      <c r="D2" s="1107"/>
      <c r="E2" s="1107"/>
      <c r="F2" s="1107"/>
      <c r="G2" s="1107"/>
      <c r="H2" s="1107"/>
      <c r="I2" s="1107"/>
      <c r="J2" s="1107"/>
      <c r="K2" s="1107"/>
      <c r="L2" s="1107"/>
      <c r="M2" s="1107"/>
      <c r="N2" s="1107"/>
      <c r="O2" s="1107"/>
      <c r="P2" s="75"/>
    </row>
    <row r="3" spans="1:16" ht="12.75">
      <c r="A3" s="1107" t="s">
        <v>47</v>
      </c>
      <c r="B3" s="1107"/>
      <c r="C3" s="1107"/>
      <c r="D3" s="1107"/>
      <c r="E3" s="1107"/>
      <c r="F3" s="1107"/>
      <c r="G3" s="1107"/>
      <c r="H3" s="1107"/>
      <c r="I3" s="1107"/>
      <c r="J3" s="1107"/>
      <c r="K3" s="1107"/>
      <c r="L3" s="1107"/>
      <c r="M3" s="1107"/>
      <c r="N3" s="1107"/>
      <c r="O3" s="1107"/>
      <c r="P3" s="75"/>
    </row>
    <row r="4" spans="1:16" ht="12.75">
      <c r="A4" s="1107" t="s">
        <v>48</v>
      </c>
      <c r="B4" s="1107"/>
      <c r="C4" s="1107"/>
      <c r="D4" s="1107"/>
      <c r="E4" s="1107"/>
      <c r="F4" s="1107"/>
      <c r="G4" s="1107"/>
      <c r="H4" s="1107"/>
      <c r="I4" s="1107"/>
      <c r="J4" s="1107"/>
      <c r="K4" s="1107"/>
      <c r="L4" s="1107"/>
      <c r="M4" s="1107"/>
      <c r="N4" s="1107"/>
      <c r="O4" s="1107"/>
      <c r="P4" s="75"/>
    </row>
    <row r="5" spans="2:16" ht="13.5" thickBot="1"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38"/>
    </row>
    <row r="6" spans="1:16" ht="27.75" customHeight="1">
      <c r="A6" s="93" t="s">
        <v>54</v>
      </c>
      <c r="B6" s="77"/>
      <c r="C6" s="77"/>
      <c r="D6" s="78" t="s">
        <v>6</v>
      </c>
      <c r="E6" s="1200">
        <f>'P1 Info &amp; Certification'!L20</f>
        <v>44013</v>
      </c>
      <c r="F6" s="1200"/>
      <c r="G6" s="1200"/>
      <c r="H6" s="82"/>
      <c r="I6" s="79"/>
      <c r="J6" s="78" t="s">
        <v>7</v>
      </c>
      <c r="K6" s="77"/>
      <c r="L6" s="1200">
        <f>'P1 Info &amp; Certification'!N20</f>
        <v>44377</v>
      </c>
      <c r="M6" s="1200"/>
      <c r="N6" s="1200"/>
      <c r="O6" s="80"/>
      <c r="P6" s="439"/>
    </row>
    <row r="7" spans="1:16" ht="12.75">
      <c r="A7" s="123"/>
      <c r="B7" s="458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81"/>
      <c r="P7" s="13"/>
    </row>
    <row r="8" spans="1:15" ht="26.25" customHeight="1">
      <c r="A8" s="124" t="s">
        <v>59</v>
      </c>
      <c r="B8" s="90"/>
      <c r="C8" s="90"/>
      <c r="D8" s="1253" t="str">
        <f>'P1 Info &amp; Certification'!E12</f>
        <v>COMMUNITY HEALTH CENTER, INC.</v>
      </c>
      <c r="E8" s="1253"/>
      <c r="F8" s="1253"/>
      <c r="G8" s="1253"/>
      <c r="H8" s="1253"/>
      <c r="I8" s="1253"/>
      <c r="J8" s="1253"/>
      <c r="K8" s="1253"/>
      <c r="L8" s="1253"/>
      <c r="M8" s="1253"/>
      <c r="N8" s="1253"/>
      <c r="O8" s="1254"/>
    </row>
    <row r="9" spans="1:16" ht="15.75" customHeight="1" thickBot="1">
      <c r="A9" s="1255"/>
      <c r="B9" s="1256"/>
      <c r="C9" s="1256"/>
      <c r="D9" s="1256"/>
      <c r="E9" s="1256"/>
      <c r="F9" s="1256"/>
      <c r="G9" s="1256"/>
      <c r="H9" s="1256"/>
      <c r="I9" s="1256"/>
      <c r="J9" s="1256"/>
      <c r="K9" s="1256"/>
      <c r="L9" s="1256"/>
      <c r="M9" s="1256"/>
      <c r="N9" s="1256"/>
      <c r="O9" s="1257"/>
      <c r="P9" s="13"/>
    </row>
    <row r="10" spans="1:16" ht="15.75">
      <c r="A10" s="47"/>
      <c r="B10" s="4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456" t="s">
        <v>246</v>
      </c>
      <c r="P10" s="13"/>
    </row>
    <row r="11" spans="1:16" ht="13.5" thickBot="1">
      <c r="A11" s="157"/>
      <c r="B11" s="4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s="15" customFormat="1" ht="30.75" customHeight="1" thickBot="1">
      <c r="A12" s="1258" t="s">
        <v>247</v>
      </c>
      <c r="B12" s="1259"/>
      <c r="C12" s="1259"/>
      <c r="D12" s="1259"/>
      <c r="E12" s="1259"/>
      <c r="F12" s="1259"/>
      <c r="G12" s="1259"/>
      <c r="H12" s="1259"/>
      <c r="I12" s="1259"/>
      <c r="J12" s="1259"/>
      <c r="K12" s="1259"/>
      <c r="L12" s="1259"/>
      <c r="M12" s="1259"/>
      <c r="N12" s="1260"/>
      <c r="O12" s="1261"/>
      <c r="P12" s="158"/>
    </row>
    <row r="13" spans="1:16" s="15" customFormat="1" ht="39" customHeight="1" thickBot="1">
      <c r="A13" s="175" t="s">
        <v>83</v>
      </c>
      <c r="B13" s="459"/>
      <c r="C13" s="1251" t="s">
        <v>165</v>
      </c>
      <c r="D13" s="1251"/>
      <c r="E13" s="1251"/>
      <c r="F13" s="1251"/>
      <c r="G13" s="1251"/>
      <c r="H13" s="1251"/>
      <c r="I13" s="1251"/>
      <c r="J13" s="1251"/>
      <c r="K13" s="1252"/>
      <c r="L13" s="1264" t="s">
        <v>171</v>
      </c>
      <c r="M13" s="1261"/>
      <c r="N13" s="1262"/>
      <c r="O13" s="1263"/>
      <c r="P13" s="158"/>
    </row>
    <row r="14" spans="1:16" ht="21.75" customHeight="1">
      <c r="A14" s="499"/>
      <c r="B14" s="500" t="s">
        <v>49</v>
      </c>
      <c r="C14" s="1245" t="s">
        <v>172</v>
      </c>
      <c r="D14" s="1245"/>
      <c r="E14" s="1245"/>
      <c r="F14" s="1245"/>
      <c r="G14" s="1245"/>
      <c r="H14" s="1245"/>
      <c r="I14" s="1245"/>
      <c r="J14" s="1245"/>
      <c r="K14" s="1245"/>
      <c r="L14" s="1246"/>
      <c r="M14" s="1246"/>
      <c r="N14" s="1238"/>
      <c r="O14" s="1239"/>
      <c r="P14" s="13"/>
    </row>
    <row r="15" spans="1:16" ht="21.75" customHeight="1">
      <c r="A15" s="499"/>
      <c r="B15" s="500" t="s">
        <v>50</v>
      </c>
      <c r="C15" s="1245" t="s">
        <v>24</v>
      </c>
      <c r="D15" s="1245"/>
      <c r="E15" s="1245"/>
      <c r="F15" s="1245"/>
      <c r="G15" s="1245"/>
      <c r="H15" s="1245"/>
      <c r="I15" s="1245"/>
      <c r="J15" s="1245"/>
      <c r="K15" s="1245"/>
      <c r="L15" s="1246"/>
      <c r="M15" s="1246"/>
      <c r="N15" s="1238"/>
      <c r="O15" s="1239"/>
      <c r="P15" s="13"/>
    </row>
    <row r="16" spans="1:16" ht="21.75" customHeight="1">
      <c r="A16" s="499"/>
      <c r="B16" s="500" t="s">
        <v>82</v>
      </c>
      <c r="C16" s="1245" t="s">
        <v>43</v>
      </c>
      <c r="D16" s="1245"/>
      <c r="E16" s="1245"/>
      <c r="F16" s="1245"/>
      <c r="G16" s="1245"/>
      <c r="H16" s="1245"/>
      <c r="I16" s="1245"/>
      <c r="J16" s="1245"/>
      <c r="K16" s="1245"/>
      <c r="L16" s="1246"/>
      <c r="M16" s="1246"/>
      <c r="N16" s="1238"/>
      <c r="O16" s="1239"/>
      <c r="P16" s="13"/>
    </row>
    <row r="17" spans="1:16" ht="21.75" customHeight="1">
      <c r="A17" s="499"/>
      <c r="B17" s="500" t="s">
        <v>51</v>
      </c>
      <c r="C17" s="1245" t="s">
        <v>169</v>
      </c>
      <c r="D17" s="1245"/>
      <c r="E17" s="1244"/>
      <c r="F17" s="1244"/>
      <c r="G17" s="1244"/>
      <c r="H17" s="1244"/>
      <c r="I17" s="1244"/>
      <c r="J17" s="1244"/>
      <c r="K17" s="501"/>
      <c r="L17" s="1246"/>
      <c r="M17" s="1246"/>
      <c r="N17" s="1238"/>
      <c r="O17" s="1239"/>
      <c r="P17" s="13"/>
    </row>
    <row r="18" spans="1:16" ht="21.75" customHeight="1">
      <c r="A18" s="499"/>
      <c r="B18" s="502"/>
      <c r="C18" s="1245" t="s">
        <v>169</v>
      </c>
      <c r="D18" s="1245"/>
      <c r="E18" s="1244"/>
      <c r="F18" s="1244"/>
      <c r="G18" s="1244"/>
      <c r="H18" s="1244"/>
      <c r="I18" s="1244"/>
      <c r="J18" s="1244"/>
      <c r="K18" s="501"/>
      <c r="L18" s="1246"/>
      <c r="M18" s="1246"/>
      <c r="N18" s="1238"/>
      <c r="O18" s="1239"/>
      <c r="P18" s="13"/>
    </row>
    <row r="19" spans="1:16" ht="21.75" customHeight="1">
      <c r="A19" s="499"/>
      <c r="B19" s="503"/>
      <c r="C19" s="1245" t="s">
        <v>169</v>
      </c>
      <c r="D19" s="1245"/>
      <c r="E19" s="1244"/>
      <c r="F19" s="1244"/>
      <c r="G19" s="1244"/>
      <c r="H19" s="1244"/>
      <c r="I19" s="1244"/>
      <c r="J19" s="1244"/>
      <c r="K19" s="501"/>
      <c r="L19" s="1246"/>
      <c r="M19" s="1246"/>
      <c r="N19" s="1238"/>
      <c r="O19" s="1239"/>
      <c r="P19" s="13"/>
    </row>
    <row r="20" spans="1:16" ht="21.75" customHeight="1">
      <c r="A20" s="499"/>
      <c r="B20" s="503"/>
      <c r="C20" s="1245" t="s">
        <v>169</v>
      </c>
      <c r="D20" s="1245"/>
      <c r="E20" s="1243"/>
      <c r="F20" s="1243"/>
      <c r="G20" s="1243"/>
      <c r="H20" s="1243"/>
      <c r="I20" s="1243"/>
      <c r="J20" s="1243"/>
      <c r="K20" s="501"/>
      <c r="L20" s="1248"/>
      <c r="M20" s="1249"/>
      <c r="N20" s="1239"/>
      <c r="O20" s="1250"/>
      <c r="P20" s="13"/>
    </row>
    <row r="21" spans="1:16" ht="21.75" customHeight="1">
      <c r="A21" s="499"/>
      <c r="B21" s="503"/>
      <c r="C21" s="1245" t="s">
        <v>169</v>
      </c>
      <c r="D21" s="1245"/>
      <c r="E21" s="1244"/>
      <c r="F21" s="1244"/>
      <c r="G21" s="1244"/>
      <c r="H21" s="1244"/>
      <c r="I21" s="1244"/>
      <c r="J21" s="1244"/>
      <c r="K21" s="501"/>
      <c r="L21" s="1246"/>
      <c r="M21" s="1246"/>
      <c r="N21" s="1238"/>
      <c r="O21" s="1239"/>
      <c r="P21" s="13"/>
    </row>
    <row r="22" spans="1:22" ht="21.75" customHeight="1" thickBot="1">
      <c r="A22" s="177"/>
      <c r="B22" s="163" t="s">
        <v>156</v>
      </c>
      <c r="C22" s="1203" t="s">
        <v>173</v>
      </c>
      <c r="D22" s="1203"/>
      <c r="E22" s="1203"/>
      <c r="F22" s="1203"/>
      <c r="G22" s="1203"/>
      <c r="H22" s="1203"/>
      <c r="I22" s="1203"/>
      <c r="J22" s="1203"/>
      <c r="K22" s="1203"/>
      <c r="L22" s="1240">
        <f>SUM(L14:M21)</f>
        <v>0</v>
      </c>
      <c r="M22" s="1240"/>
      <c r="N22" s="1241"/>
      <c r="O22" s="1242"/>
      <c r="P22" s="13"/>
      <c r="T22" s="1217"/>
      <c r="U22" s="1217"/>
      <c r="V22" s="1217"/>
    </row>
    <row r="23" spans="1:16" ht="21.75" customHeight="1" thickBot="1" thickTop="1">
      <c r="A23" s="177"/>
      <c r="B23" s="457"/>
      <c r="C23" s="1203"/>
      <c r="D23" s="1203"/>
      <c r="E23" s="1203"/>
      <c r="F23" s="1203"/>
      <c r="G23" s="1203"/>
      <c r="H23" s="1203"/>
      <c r="I23" s="1203"/>
      <c r="J23" s="1203"/>
      <c r="K23" s="1203"/>
      <c r="L23" s="1247"/>
      <c r="M23" s="1247"/>
      <c r="N23" s="1247"/>
      <c r="O23" s="1247"/>
      <c r="P23" s="13"/>
    </row>
    <row r="24" spans="1:16" ht="21.75" customHeight="1" thickBot="1">
      <c r="A24" s="175" t="s">
        <v>84</v>
      </c>
      <c r="B24" s="459"/>
      <c r="C24" s="1251" t="s">
        <v>174</v>
      </c>
      <c r="D24" s="1251"/>
      <c r="E24" s="1251"/>
      <c r="F24" s="1251"/>
      <c r="G24" s="1251"/>
      <c r="H24" s="1251"/>
      <c r="I24" s="1251"/>
      <c r="J24" s="1251"/>
      <c r="K24" s="1252"/>
      <c r="L24" s="1247"/>
      <c r="M24" s="1247"/>
      <c r="N24" s="1247"/>
      <c r="O24" s="1247"/>
      <c r="P24" s="13"/>
    </row>
    <row r="25" spans="1:16" ht="18" customHeight="1">
      <c r="A25" s="499"/>
      <c r="B25" s="500" t="s">
        <v>49</v>
      </c>
      <c r="C25" s="1245" t="s">
        <v>172</v>
      </c>
      <c r="D25" s="1245"/>
      <c r="E25" s="1245"/>
      <c r="F25" s="1245"/>
      <c r="G25" s="1245"/>
      <c r="H25" s="1245"/>
      <c r="I25" s="1245"/>
      <c r="J25" s="1245"/>
      <c r="K25" s="1245"/>
      <c r="L25" s="1246"/>
      <c r="M25" s="1246"/>
      <c r="N25" s="1238"/>
      <c r="O25" s="1239"/>
      <c r="P25" s="13"/>
    </row>
    <row r="26" spans="1:16" ht="18" customHeight="1">
      <c r="A26" s="504"/>
      <c r="B26" s="500" t="s">
        <v>50</v>
      </c>
      <c r="C26" s="1245" t="s">
        <v>24</v>
      </c>
      <c r="D26" s="1245"/>
      <c r="E26" s="1245"/>
      <c r="F26" s="1245"/>
      <c r="G26" s="1245"/>
      <c r="H26" s="1245"/>
      <c r="I26" s="1245"/>
      <c r="J26" s="1245"/>
      <c r="K26" s="1245"/>
      <c r="L26" s="1246"/>
      <c r="M26" s="1246"/>
      <c r="N26" s="1238"/>
      <c r="O26" s="1239"/>
      <c r="P26" s="13"/>
    </row>
    <row r="27" spans="1:16" ht="18" customHeight="1">
      <c r="A27" s="179"/>
      <c r="B27" s="500" t="s">
        <v>82</v>
      </c>
      <c r="C27" s="1245" t="s">
        <v>43</v>
      </c>
      <c r="D27" s="1245"/>
      <c r="E27" s="1245"/>
      <c r="F27" s="1245"/>
      <c r="G27" s="1245"/>
      <c r="H27" s="1245"/>
      <c r="I27" s="1245"/>
      <c r="J27" s="1245"/>
      <c r="K27" s="1245"/>
      <c r="L27" s="1246"/>
      <c r="M27" s="1246"/>
      <c r="N27" s="1238"/>
      <c r="O27" s="1239"/>
      <c r="P27" s="13"/>
    </row>
    <row r="28" spans="1:16" ht="18" customHeight="1">
      <c r="A28" s="505"/>
      <c r="B28" s="500" t="s">
        <v>51</v>
      </c>
      <c r="C28" s="1245" t="s">
        <v>169</v>
      </c>
      <c r="D28" s="1245"/>
      <c r="E28" s="1244"/>
      <c r="F28" s="1244"/>
      <c r="G28" s="1244"/>
      <c r="H28" s="1244"/>
      <c r="I28" s="1244"/>
      <c r="J28" s="1244"/>
      <c r="K28" s="501"/>
      <c r="L28" s="1246"/>
      <c r="M28" s="1246"/>
      <c r="N28" s="1238"/>
      <c r="O28" s="1239"/>
      <c r="P28" s="13"/>
    </row>
    <row r="29" spans="1:16" s="15" customFormat="1" ht="19.5" customHeight="1">
      <c r="A29" s="499"/>
      <c r="B29" s="502"/>
      <c r="C29" s="1245" t="s">
        <v>169</v>
      </c>
      <c r="D29" s="1245"/>
      <c r="E29" s="1244"/>
      <c r="F29" s="1244"/>
      <c r="G29" s="1244"/>
      <c r="H29" s="1244"/>
      <c r="I29" s="1244"/>
      <c r="J29" s="1244"/>
      <c r="K29" s="501"/>
      <c r="L29" s="1246"/>
      <c r="M29" s="1246"/>
      <c r="N29" s="1238"/>
      <c r="O29" s="1239"/>
      <c r="P29" s="158"/>
    </row>
    <row r="30" spans="1:16" ht="17.25" customHeight="1">
      <c r="A30" s="499"/>
      <c r="B30" s="503"/>
      <c r="C30" s="1245" t="s">
        <v>169</v>
      </c>
      <c r="D30" s="1245"/>
      <c r="E30" s="1243"/>
      <c r="F30" s="1243"/>
      <c r="G30" s="1243"/>
      <c r="H30" s="1243"/>
      <c r="I30" s="1243"/>
      <c r="J30" s="1243"/>
      <c r="K30" s="501"/>
      <c r="L30" s="1248"/>
      <c r="M30" s="1249"/>
      <c r="N30" s="1239"/>
      <c r="O30" s="1250"/>
      <c r="P30" s="13"/>
    </row>
    <row r="31" spans="1:16" ht="17.25" customHeight="1">
      <c r="A31" s="504"/>
      <c r="B31" s="503"/>
      <c r="C31" s="1245" t="s">
        <v>169</v>
      </c>
      <c r="D31" s="1245"/>
      <c r="E31" s="1244"/>
      <c r="F31" s="1244"/>
      <c r="G31" s="1244"/>
      <c r="H31" s="1244"/>
      <c r="I31" s="1244"/>
      <c r="J31" s="1244"/>
      <c r="K31" s="501"/>
      <c r="L31" s="1246"/>
      <c r="M31" s="1246"/>
      <c r="N31" s="1238"/>
      <c r="O31" s="1239"/>
      <c r="P31" s="13"/>
    </row>
    <row r="32" spans="1:16" ht="17.25" customHeight="1">
      <c r="A32" s="179"/>
      <c r="B32" s="503"/>
      <c r="C32" s="1245" t="s">
        <v>169</v>
      </c>
      <c r="D32" s="1245"/>
      <c r="E32" s="1244"/>
      <c r="F32" s="1244"/>
      <c r="G32" s="1244"/>
      <c r="H32" s="1244"/>
      <c r="I32" s="1244"/>
      <c r="J32" s="1244"/>
      <c r="K32" s="501"/>
      <c r="L32" s="1246"/>
      <c r="M32" s="1246"/>
      <c r="N32" s="1238"/>
      <c r="O32" s="1239"/>
      <c r="P32" s="13"/>
    </row>
    <row r="33" spans="1:16" ht="28.5" customHeight="1" thickBot="1">
      <c r="A33" s="177"/>
      <c r="B33" s="163" t="s">
        <v>156</v>
      </c>
      <c r="C33" s="1203" t="s">
        <v>173</v>
      </c>
      <c r="D33" s="1203"/>
      <c r="E33" s="1203"/>
      <c r="F33" s="1203"/>
      <c r="G33" s="1203"/>
      <c r="H33" s="1203"/>
      <c r="I33" s="1203"/>
      <c r="J33" s="1203"/>
      <c r="K33" s="1203"/>
      <c r="L33" s="1240">
        <f>SUM(L25:M32)</f>
        <v>0</v>
      </c>
      <c r="M33" s="1240"/>
      <c r="N33" s="1241"/>
      <c r="O33" s="1242"/>
      <c r="P33" s="13"/>
    </row>
    <row r="34" spans="1:15" ht="13.5" thickTop="1">
      <c r="A34" s="8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81"/>
    </row>
    <row r="35" spans="1:15" ht="13.5" thickBot="1">
      <c r="A35" s="181"/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3"/>
    </row>
  </sheetData>
  <sheetProtection password="E1AE" sheet="1"/>
  <mergeCells count="83">
    <mergeCell ref="A1:O1"/>
    <mergeCell ref="A2:O2"/>
    <mergeCell ref="A3:O3"/>
    <mergeCell ref="A4:O4"/>
    <mergeCell ref="E6:G6"/>
    <mergeCell ref="C16:K16"/>
    <mergeCell ref="N15:O15"/>
    <mergeCell ref="L6:N6"/>
    <mergeCell ref="C13:K13"/>
    <mergeCell ref="L13:M13"/>
    <mergeCell ref="C17:D17"/>
    <mergeCell ref="E17:J17"/>
    <mergeCell ref="N13:O13"/>
    <mergeCell ref="L14:M14"/>
    <mergeCell ref="N14:O14"/>
    <mergeCell ref="C18:D18"/>
    <mergeCell ref="E18:J18"/>
    <mergeCell ref="L17:M17"/>
    <mergeCell ref="N17:O17"/>
    <mergeCell ref="L18:M18"/>
    <mergeCell ref="D8:O8"/>
    <mergeCell ref="A9:O9"/>
    <mergeCell ref="A12:O12"/>
    <mergeCell ref="C14:K14"/>
    <mergeCell ref="C15:K15"/>
    <mergeCell ref="L15:M15"/>
    <mergeCell ref="T22:V22"/>
    <mergeCell ref="C23:K23"/>
    <mergeCell ref="C24:K24"/>
    <mergeCell ref="L23:M23"/>
    <mergeCell ref="N23:O23"/>
    <mergeCell ref="L24:M24"/>
    <mergeCell ref="L22:M22"/>
    <mergeCell ref="N22:O22"/>
    <mergeCell ref="C31:D31"/>
    <mergeCell ref="E31:J31"/>
    <mergeCell ref="C32:D32"/>
    <mergeCell ref="E32:J32"/>
    <mergeCell ref="C33:K33"/>
    <mergeCell ref="N30:O30"/>
    <mergeCell ref="L30:M30"/>
    <mergeCell ref="L31:M31"/>
    <mergeCell ref="N31:O31"/>
    <mergeCell ref="L32:M32"/>
    <mergeCell ref="C29:D29"/>
    <mergeCell ref="E29:J29"/>
    <mergeCell ref="C30:D30"/>
    <mergeCell ref="E30:J30"/>
    <mergeCell ref="C22:K22"/>
    <mergeCell ref="C19:D19"/>
    <mergeCell ref="C20:D20"/>
    <mergeCell ref="C21:D21"/>
    <mergeCell ref="E19:J19"/>
    <mergeCell ref="N18:O18"/>
    <mergeCell ref="L16:M16"/>
    <mergeCell ref="N16:O16"/>
    <mergeCell ref="L19:M19"/>
    <mergeCell ref="N19:O19"/>
    <mergeCell ref="N27:O27"/>
    <mergeCell ref="L20:M20"/>
    <mergeCell ref="N20:O20"/>
    <mergeCell ref="L21:M21"/>
    <mergeCell ref="N21:O21"/>
    <mergeCell ref="L28:M28"/>
    <mergeCell ref="N28:O28"/>
    <mergeCell ref="L29:M29"/>
    <mergeCell ref="N29:O29"/>
    <mergeCell ref="N24:O24"/>
    <mergeCell ref="L25:M25"/>
    <mergeCell ref="N25:O25"/>
    <mergeCell ref="L26:M26"/>
    <mergeCell ref="N26:O26"/>
    <mergeCell ref="L27:M27"/>
    <mergeCell ref="N32:O32"/>
    <mergeCell ref="L33:M33"/>
    <mergeCell ref="N33:O33"/>
    <mergeCell ref="E20:J20"/>
    <mergeCell ref="E21:J21"/>
    <mergeCell ref="C25:K25"/>
    <mergeCell ref="C26:K26"/>
    <mergeCell ref="C27:K27"/>
    <mergeCell ref="C28:D28"/>
    <mergeCell ref="E28:J28"/>
  </mergeCells>
  <printOptions horizontalCentered="1" verticalCentered="1"/>
  <pageMargins left="0.25" right="0.25" top="0.5" bottom="0" header="0.5" footer="0.25"/>
  <pageSetup horizontalDpi="600" verticalDpi="600" orientation="portrait" scale="90" r:id="rId1"/>
  <headerFooter alignWithMargins="0">
    <oddFooter xml:space="preserve">&amp;LDSS-16 10-24-2016&amp;RPage16  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V42"/>
  <sheetViews>
    <sheetView zoomScalePageLayoutView="0" workbookViewId="0" topLeftCell="A1">
      <selection activeCell="M10" sqref="M10"/>
    </sheetView>
  </sheetViews>
  <sheetFormatPr defaultColWidth="9.7109375" defaultRowHeight="12.75"/>
  <cols>
    <col min="1" max="1" width="7.57421875" style="12" customWidth="1"/>
    <col min="2" max="2" width="4.421875" style="12" customWidth="1"/>
    <col min="3" max="3" width="9.7109375" style="12" customWidth="1"/>
    <col min="4" max="4" width="7.57421875" style="12" customWidth="1"/>
    <col min="5" max="5" width="9.7109375" style="12" customWidth="1"/>
    <col min="6" max="6" width="1.7109375" style="12" customWidth="1"/>
    <col min="7" max="7" width="11.28125" style="12" customWidth="1"/>
    <col min="8" max="8" width="0.85546875" style="12" customWidth="1"/>
    <col min="9" max="9" width="5.140625" style="12" customWidth="1"/>
    <col min="10" max="10" width="9.7109375" style="12" customWidth="1"/>
    <col min="11" max="11" width="1.7109375" style="12" customWidth="1"/>
    <col min="12" max="12" width="10.140625" style="12" bestFit="1" customWidth="1"/>
    <col min="13" max="13" width="12.57421875" style="12" customWidth="1"/>
    <col min="14" max="14" width="12.140625" style="12" customWidth="1"/>
    <col min="15" max="15" width="10.8515625" style="12" customWidth="1"/>
    <col min="16" max="16384" width="9.7109375" style="12" customWidth="1"/>
  </cols>
  <sheetData>
    <row r="1" spans="1:16" ht="12.75">
      <c r="A1" s="1107" t="s">
        <v>45</v>
      </c>
      <c r="B1" s="1107"/>
      <c r="C1" s="1107"/>
      <c r="D1" s="1107"/>
      <c r="E1" s="1107"/>
      <c r="F1" s="1107"/>
      <c r="G1" s="1107"/>
      <c r="H1" s="1107"/>
      <c r="I1" s="1107"/>
      <c r="J1" s="1107"/>
      <c r="K1" s="1107"/>
      <c r="L1" s="1107"/>
      <c r="M1" s="1107"/>
      <c r="N1" s="1107"/>
      <c r="O1" s="1107"/>
      <c r="P1" s="75"/>
    </row>
    <row r="2" spans="1:16" ht="12.75">
      <c r="A2" s="1107" t="s">
        <v>46</v>
      </c>
      <c r="B2" s="1107"/>
      <c r="C2" s="1107"/>
      <c r="D2" s="1107"/>
      <c r="E2" s="1107"/>
      <c r="F2" s="1107"/>
      <c r="G2" s="1107"/>
      <c r="H2" s="1107"/>
      <c r="I2" s="1107"/>
      <c r="J2" s="1107"/>
      <c r="K2" s="1107"/>
      <c r="L2" s="1107"/>
      <c r="M2" s="1107"/>
      <c r="N2" s="1107"/>
      <c r="O2" s="1107"/>
      <c r="P2" s="75"/>
    </row>
    <row r="3" spans="1:16" ht="12.75">
      <c r="A3" s="1107" t="s">
        <v>47</v>
      </c>
      <c r="B3" s="1107"/>
      <c r="C3" s="1107"/>
      <c r="D3" s="1107"/>
      <c r="E3" s="1107"/>
      <c r="F3" s="1107"/>
      <c r="G3" s="1107"/>
      <c r="H3" s="1107"/>
      <c r="I3" s="1107"/>
      <c r="J3" s="1107"/>
      <c r="K3" s="1107"/>
      <c r="L3" s="1107"/>
      <c r="M3" s="1107"/>
      <c r="N3" s="1107"/>
      <c r="O3" s="1107"/>
      <c r="P3" s="75"/>
    </row>
    <row r="4" spans="1:16" ht="12.75">
      <c r="A4" s="1107" t="s">
        <v>48</v>
      </c>
      <c r="B4" s="1107"/>
      <c r="C4" s="1107"/>
      <c r="D4" s="1107"/>
      <c r="E4" s="1107"/>
      <c r="F4" s="1107"/>
      <c r="G4" s="1107"/>
      <c r="H4" s="1107"/>
      <c r="I4" s="1107"/>
      <c r="J4" s="1107"/>
      <c r="K4" s="1107"/>
      <c r="L4" s="1107"/>
      <c r="M4" s="1107"/>
      <c r="N4" s="1107"/>
      <c r="O4" s="1107"/>
      <c r="P4" s="75"/>
    </row>
    <row r="5" spans="2:16" ht="13.5" thickBot="1"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85"/>
    </row>
    <row r="6" spans="1:16" ht="27.75" customHeight="1">
      <c r="A6" s="93" t="s">
        <v>54</v>
      </c>
      <c r="B6" s="77"/>
      <c r="C6" s="77"/>
      <c r="D6" s="78" t="s">
        <v>6</v>
      </c>
      <c r="E6" s="1200">
        <f>'P1 Info &amp; Certification'!L20</f>
        <v>44013</v>
      </c>
      <c r="F6" s="1200"/>
      <c r="G6" s="1200"/>
      <c r="H6" s="82"/>
      <c r="I6" s="79"/>
      <c r="J6" s="78" t="s">
        <v>7</v>
      </c>
      <c r="K6" s="77"/>
      <c r="L6" s="1200">
        <f>'P1 Info &amp; Certification'!N20</f>
        <v>44377</v>
      </c>
      <c r="M6" s="1200"/>
      <c r="N6" s="1200"/>
      <c r="O6" s="80"/>
      <c r="P6" s="32"/>
    </row>
    <row r="7" spans="1:16" ht="12.75">
      <c r="A7" s="123"/>
      <c r="B7" s="458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81"/>
      <c r="P7" s="13"/>
    </row>
    <row r="8" spans="1:15" ht="21" customHeight="1">
      <c r="A8" s="124" t="s">
        <v>59</v>
      </c>
      <c r="B8" s="90"/>
      <c r="C8" s="90"/>
      <c r="D8" s="1253" t="str">
        <f>'P1 Info &amp; Certification'!E12</f>
        <v>COMMUNITY HEALTH CENTER, INC.</v>
      </c>
      <c r="E8" s="1253"/>
      <c r="F8" s="1253"/>
      <c r="G8" s="1253"/>
      <c r="H8" s="1253"/>
      <c r="I8" s="1253"/>
      <c r="J8" s="1253"/>
      <c r="K8" s="1253"/>
      <c r="L8" s="1253"/>
      <c r="M8" s="1253"/>
      <c r="N8" s="1253"/>
      <c r="O8" s="1254"/>
    </row>
    <row r="9" spans="1:16" ht="8.25" customHeight="1" thickBot="1">
      <c r="A9" s="1255"/>
      <c r="B9" s="1256"/>
      <c r="C9" s="1256"/>
      <c r="D9" s="1256"/>
      <c r="E9" s="1256"/>
      <c r="F9" s="1256"/>
      <c r="G9" s="1256"/>
      <c r="H9" s="1256"/>
      <c r="I9" s="1256"/>
      <c r="J9" s="1256"/>
      <c r="K9" s="1256"/>
      <c r="L9" s="1256"/>
      <c r="M9" s="1256"/>
      <c r="N9" s="1256"/>
      <c r="O9" s="1257"/>
      <c r="P9" s="13"/>
    </row>
    <row r="10" spans="1:16" ht="15.75">
      <c r="A10" s="47"/>
      <c r="B10" s="4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456" t="s">
        <v>248</v>
      </c>
      <c r="P10" s="13"/>
    </row>
    <row r="11" spans="1:16" ht="13.5" thickBot="1">
      <c r="A11" s="157"/>
      <c r="B11" s="4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s="15" customFormat="1" ht="30.75" customHeight="1" thickBot="1">
      <c r="A12" s="1207" t="s">
        <v>175</v>
      </c>
      <c r="B12" s="1208"/>
      <c r="C12" s="1208"/>
      <c r="D12" s="1208"/>
      <c r="E12" s="1208"/>
      <c r="F12" s="1208"/>
      <c r="G12" s="1208"/>
      <c r="H12" s="1208"/>
      <c r="I12" s="1208"/>
      <c r="J12" s="1208"/>
      <c r="K12" s="1208"/>
      <c r="L12" s="1208"/>
      <c r="M12" s="1208"/>
      <c r="N12" s="1208"/>
      <c r="O12" s="1209"/>
      <c r="P12" s="158"/>
    </row>
    <row r="13" spans="1:16" s="15" customFormat="1" ht="16.5" customHeight="1" thickBot="1">
      <c r="A13" s="184" t="s">
        <v>83</v>
      </c>
      <c r="B13" s="1278" t="s">
        <v>201</v>
      </c>
      <c r="C13" s="1251"/>
      <c r="D13" s="1251"/>
      <c r="E13" s="1251"/>
      <c r="F13" s="1251"/>
      <c r="G13" s="1251"/>
      <c r="H13" s="1251"/>
      <c r="I13" s="1251"/>
      <c r="J13" s="1251"/>
      <c r="K13" s="1252"/>
      <c r="L13" s="1283"/>
      <c r="M13" s="1283"/>
      <c r="N13" s="1247"/>
      <c r="O13" s="1277"/>
      <c r="P13" s="158"/>
    </row>
    <row r="14" spans="1:16" ht="21.75" customHeight="1">
      <c r="A14" s="187"/>
      <c r="B14" s="163" t="s">
        <v>49</v>
      </c>
      <c r="C14" s="1203" t="s">
        <v>176</v>
      </c>
      <c r="D14" s="1203"/>
      <c r="E14" s="1203"/>
      <c r="F14" s="1203"/>
      <c r="G14" s="1203"/>
      <c r="H14" s="1203"/>
      <c r="I14" s="1203"/>
      <c r="J14" s="1203"/>
      <c r="K14" s="1203"/>
      <c r="L14" s="1246"/>
      <c r="M14" s="1246"/>
      <c r="N14" s="1281"/>
      <c r="O14" s="1282"/>
      <c r="P14" s="13"/>
    </row>
    <row r="15" spans="1:16" ht="21.75" customHeight="1">
      <c r="A15" s="177"/>
      <c r="B15" s="163" t="s">
        <v>50</v>
      </c>
      <c r="C15" s="1203" t="s">
        <v>177</v>
      </c>
      <c r="D15" s="1203"/>
      <c r="E15" s="1203"/>
      <c r="F15" s="1203"/>
      <c r="G15" s="1203"/>
      <c r="H15" s="1203"/>
      <c r="I15" s="1203"/>
      <c r="J15" s="1203"/>
      <c r="K15" s="1203"/>
      <c r="L15" s="1246"/>
      <c r="M15" s="1246"/>
      <c r="N15" s="1281"/>
      <c r="O15" s="1282"/>
      <c r="P15" s="13"/>
    </row>
    <row r="16" spans="1:16" ht="21.75" customHeight="1">
      <c r="A16" s="177"/>
      <c r="B16" s="163" t="s">
        <v>82</v>
      </c>
      <c r="C16" s="1203" t="s">
        <v>178</v>
      </c>
      <c r="D16" s="1203"/>
      <c r="E16" s="1203"/>
      <c r="F16" s="1203"/>
      <c r="G16" s="1203"/>
      <c r="H16" s="1203"/>
      <c r="I16" s="1203"/>
      <c r="J16" s="1203"/>
      <c r="K16" s="176"/>
      <c r="L16" s="1246"/>
      <c r="M16" s="1246"/>
      <c r="N16" s="1281"/>
      <c r="O16" s="1282"/>
      <c r="P16" s="13"/>
    </row>
    <row r="17" spans="1:16" ht="21.75" customHeight="1">
      <c r="A17" s="177"/>
      <c r="B17" s="163" t="s">
        <v>51</v>
      </c>
      <c r="C17" s="1203" t="s">
        <v>249</v>
      </c>
      <c r="D17" s="1203"/>
      <c r="E17" s="1203"/>
      <c r="F17" s="1203"/>
      <c r="G17" s="1203"/>
      <c r="H17" s="1203"/>
      <c r="I17" s="1203"/>
      <c r="J17" s="1203"/>
      <c r="K17" s="176"/>
      <c r="L17" s="1246"/>
      <c r="M17" s="1246"/>
      <c r="N17" s="1281"/>
      <c r="O17" s="1282"/>
      <c r="P17" s="13"/>
    </row>
    <row r="18" spans="1:16" ht="21.75" customHeight="1">
      <c r="A18" s="177"/>
      <c r="B18" s="163" t="s">
        <v>156</v>
      </c>
      <c r="C18" s="1203" t="s">
        <v>184</v>
      </c>
      <c r="D18" s="1203"/>
      <c r="E18" s="1203"/>
      <c r="F18" s="1203"/>
      <c r="G18" s="1203"/>
      <c r="H18" s="1203"/>
      <c r="I18" s="1203"/>
      <c r="J18" s="1203"/>
      <c r="K18" s="176"/>
      <c r="L18" s="1246"/>
      <c r="M18" s="1246"/>
      <c r="N18" s="1281"/>
      <c r="O18" s="1282"/>
      <c r="P18" s="13"/>
    </row>
    <row r="19" spans="1:16" ht="21.75" customHeight="1">
      <c r="A19" s="177"/>
      <c r="B19" s="163" t="s">
        <v>55</v>
      </c>
      <c r="C19" s="1203" t="s">
        <v>185</v>
      </c>
      <c r="D19" s="1203"/>
      <c r="E19" s="1203"/>
      <c r="F19" s="1203"/>
      <c r="G19" s="1203"/>
      <c r="H19" s="1203"/>
      <c r="I19" s="1203"/>
      <c r="J19" s="1203"/>
      <c r="K19" s="176"/>
      <c r="L19" s="1246"/>
      <c r="M19" s="1246"/>
      <c r="N19" s="507"/>
      <c r="O19" s="508"/>
      <c r="P19" s="13"/>
    </row>
    <row r="20" spans="1:16" ht="51.75" customHeight="1">
      <c r="A20" s="177"/>
      <c r="B20" s="188" t="s">
        <v>56</v>
      </c>
      <c r="C20" s="1203" t="s">
        <v>186</v>
      </c>
      <c r="D20" s="1203"/>
      <c r="E20" s="1203"/>
      <c r="F20" s="1203"/>
      <c r="G20" s="1203"/>
      <c r="H20" s="1203"/>
      <c r="I20" s="1203"/>
      <c r="J20" s="1203"/>
      <c r="K20" s="176"/>
      <c r="L20" s="1246"/>
      <c r="M20" s="1246"/>
      <c r="N20" s="507"/>
      <c r="O20" s="508"/>
      <c r="P20" s="13"/>
    </row>
    <row r="21" spans="1:16" ht="21.75" customHeight="1">
      <c r="A21" s="177"/>
      <c r="B21" s="163" t="s">
        <v>161</v>
      </c>
      <c r="C21" s="1203" t="s">
        <v>187</v>
      </c>
      <c r="D21" s="1203"/>
      <c r="E21" s="1203"/>
      <c r="F21" s="1203"/>
      <c r="G21" s="1203"/>
      <c r="H21" s="1203"/>
      <c r="I21" s="1203"/>
      <c r="J21" s="1203"/>
      <c r="K21" s="176"/>
      <c r="L21" s="1246"/>
      <c r="M21" s="1246"/>
      <c r="N21" s="507"/>
      <c r="O21" s="508"/>
      <c r="P21" s="13"/>
    </row>
    <row r="22" spans="1:16" ht="21.75" customHeight="1">
      <c r="A22" s="177"/>
      <c r="B22" s="163" t="s">
        <v>162</v>
      </c>
      <c r="C22" s="1203" t="s">
        <v>188</v>
      </c>
      <c r="D22" s="1203"/>
      <c r="E22" s="1203"/>
      <c r="F22" s="1203"/>
      <c r="G22" s="1203"/>
      <c r="H22" s="1203"/>
      <c r="I22" s="1203"/>
      <c r="J22" s="1203"/>
      <c r="K22" s="176"/>
      <c r="L22" s="1246"/>
      <c r="M22" s="1246"/>
      <c r="N22" s="507"/>
      <c r="O22" s="508"/>
      <c r="P22" s="13"/>
    </row>
    <row r="23" spans="1:16" ht="21.75" customHeight="1">
      <c r="A23" s="177"/>
      <c r="B23" s="163" t="s">
        <v>163</v>
      </c>
      <c r="C23" s="1203" t="s">
        <v>189</v>
      </c>
      <c r="D23" s="1203"/>
      <c r="E23" s="1203"/>
      <c r="F23" s="1203"/>
      <c r="G23" s="1203"/>
      <c r="H23" s="1203"/>
      <c r="I23" s="1203"/>
      <c r="J23" s="1203"/>
      <c r="K23" s="176"/>
      <c r="L23" s="1246"/>
      <c r="M23" s="1246"/>
      <c r="N23" s="507"/>
      <c r="O23" s="508"/>
      <c r="P23" s="13"/>
    </row>
    <row r="24" spans="1:16" ht="21.75" customHeight="1">
      <c r="A24" s="177"/>
      <c r="B24" s="163" t="s">
        <v>164</v>
      </c>
      <c r="C24" s="1203" t="s">
        <v>165</v>
      </c>
      <c r="D24" s="1203"/>
      <c r="E24" s="1203"/>
      <c r="F24" s="1203"/>
      <c r="G24" s="1203"/>
      <c r="H24" s="1203"/>
      <c r="I24" s="1203"/>
      <c r="J24" s="1203"/>
      <c r="K24" s="176"/>
      <c r="L24" s="1246"/>
      <c r="M24" s="1246"/>
      <c r="N24" s="507"/>
      <c r="O24" s="508"/>
      <c r="P24" s="13"/>
    </row>
    <row r="25" spans="1:16" ht="21.75" customHeight="1">
      <c r="A25" s="177"/>
      <c r="B25" s="163" t="s">
        <v>179</v>
      </c>
      <c r="C25" s="1203" t="s">
        <v>190</v>
      </c>
      <c r="D25" s="1203"/>
      <c r="E25" s="1203"/>
      <c r="F25" s="1203"/>
      <c r="G25" s="1203"/>
      <c r="H25" s="1203"/>
      <c r="I25" s="1203"/>
      <c r="J25" s="1203"/>
      <c r="K25" s="176"/>
      <c r="L25" s="1246"/>
      <c r="M25" s="1246"/>
      <c r="N25" s="507"/>
      <c r="O25" s="508"/>
      <c r="P25" s="13"/>
    </row>
    <row r="26" spans="1:16" ht="21.75" customHeight="1">
      <c r="A26" s="177"/>
      <c r="B26" s="163" t="s">
        <v>180</v>
      </c>
      <c r="C26" s="1203" t="s">
        <v>191</v>
      </c>
      <c r="D26" s="1203"/>
      <c r="E26" s="1203"/>
      <c r="F26" s="1203"/>
      <c r="G26" s="1203"/>
      <c r="H26" s="1203"/>
      <c r="I26" s="1203"/>
      <c r="J26" s="1203"/>
      <c r="K26" s="176"/>
      <c r="L26" s="1246"/>
      <c r="M26" s="1246"/>
      <c r="N26" s="507"/>
      <c r="O26" s="508"/>
      <c r="P26" s="13"/>
    </row>
    <row r="27" spans="1:16" ht="21.75" customHeight="1">
      <c r="A27" s="177"/>
      <c r="B27" s="163" t="s">
        <v>181</v>
      </c>
      <c r="C27" s="1203" t="s">
        <v>167</v>
      </c>
      <c r="D27" s="1203"/>
      <c r="E27" s="1203"/>
      <c r="F27" s="1203"/>
      <c r="G27" s="1203"/>
      <c r="H27" s="1203"/>
      <c r="I27" s="1203"/>
      <c r="J27" s="1203"/>
      <c r="K27" s="176"/>
      <c r="L27" s="1246"/>
      <c r="M27" s="1246"/>
      <c r="N27" s="507"/>
      <c r="O27" s="508"/>
      <c r="P27" s="13"/>
    </row>
    <row r="28" spans="1:16" ht="21.75" customHeight="1">
      <c r="A28" s="177"/>
      <c r="B28" s="163" t="s">
        <v>182</v>
      </c>
      <c r="C28" s="1203" t="s">
        <v>192</v>
      </c>
      <c r="D28" s="1203"/>
      <c r="E28" s="1203"/>
      <c r="F28" s="1203"/>
      <c r="G28" s="1203"/>
      <c r="H28" s="1203"/>
      <c r="I28" s="1203"/>
      <c r="J28" s="1203"/>
      <c r="K28" s="176"/>
      <c r="L28" s="1246"/>
      <c r="M28" s="1246"/>
      <c r="N28" s="507"/>
      <c r="O28" s="508"/>
      <c r="P28" s="13"/>
    </row>
    <row r="29" spans="1:22" ht="21.75" customHeight="1">
      <c r="A29" s="177"/>
      <c r="B29" s="163" t="s">
        <v>183</v>
      </c>
      <c r="C29" s="1203" t="s">
        <v>193</v>
      </c>
      <c r="D29" s="1203"/>
      <c r="E29" s="1203"/>
      <c r="F29" s="1203"/>
      <c r="G29" s="1203"/>
      <c r="H29" s="1203"/>
      <c r="I29" s="1203"/>
      <c r="J29" s="1203"/>
      <c r="K29" s="457"/>
      <c r="L29" s="1247"/>
      <c r="M29" s="1247"/>
      <c r="N29" s="1275">
        <f>SUM(L14:M28)</f>
        <v>0</v>
      </c>
      <c r="O29" s="1276"/>
      <c r="P29" s="13"/>
      <c r="T29" s="1217"/>
      <c r="U29" s="1217"/>
      <c r="V29" s="1217"/>
    </row>
    <row r="30" spans="1:16" ht="6" customHeight="1" thickBot="1">
      <c r="A30" s="177"/>
      <c r="B30" s="457"/>
      <c r="C30" s="185"/>
      <c r="D30" s="185"/>
      <c r="E30" s="185"/>
      <c r="F30" s="185"/>
      <c r="G30" s="185"/>
      <c r="H30" s="185"/>
      <c r="I30" s="185"/>
      <c r="J30" s="185"/>
      <c r="K30" s="185"/>
      <c r="L30" s="1247"/>
      <c r="M30" s="1247"/>
      <c r="N30" s="1247"/>
      <c r="O30" s="1277"/>
      <c r="P30" s="13"/>
    </row>
    <row r="31" spans="1:16" ht="18" customHeight="1" thickBot="1">
      <c r="A31" s="175" t="s">
        <v>84</v>
      </c>
      <c r="B31" s="1278" t="s">
        <v>250</v>
      </c>
      <c r="C31" s="1251"/>
      <c r="D31" s="1251"/>
      <c r="E31" s="1251"/>
      <c r="F31" s="1251"/>
      <c r="G31" s="1251"/>
      <c r="H31" s="1251"/>
      <c r="I31" s="1251"/>
      <c r="J31" s="1251"/>
      <c r="K31" s="1252"/>
      <c r="L31" s="1247"/>
      <c r="M31" s="1247"/>
      <c r="N31" s="1247"/>
      <c r="O31" s="1277"/>
      <c r="P31" s="13"/>
    </row>
    <row r="32" spans="1:16" ht="18" customHeight="1">
      <c r="A32" s="177"/>
      <c r="B32" s="163" t="s">
        <v>49</v>
      </c>
      <c r="C32" s="1203" t="s">
        <v>194</v>
      </c>
      <c r="D32" s="1203"/>
      <c r="E32" s="1203"/>
      <c r="F32" s="1203"/>
      <c r="G32" s="1203"/>
      <c r="H32" s="1203"/>
      <c r="I32" s="1203"/>
      <c r="J32" s="1203"/>
      <c r="K32" s="186"/>
      <c r="L32" s="1246"/>
      <c r="M32" s="1246"/>
      <c r="N32" s="1279"/>
      <c r="O32" s="1280"/>
      <c r="P32" s="13"/>
    </row>
    <row r="33" spans="1:16" ht="18" customHeight="1">
      <c r="A33" s="178"/>
      <c r="B33" s="163" t="s">
        <v>50</v>
      </c>
      <c r="C33" s="1203" t="s">
        <v>195</v>
      </c>
      <c r="D33" s="1203"/>
      <c r="E33" s="1203"/>
      <c r="F33" s="1203"/>
      <c r="G33" s="1203"/>
      <c r="H33" s="1203"/>
      <c r="I33" s="1203"/>
      <c r="J33" s="1203"/>
      <c r="K33" s="176"/>
      <c r="L33" s="1246"/>
      <c r="M33" s="1246"/>
      <c r="N33" s="1273"/>
      <c r="O33" s="1274"/>
      <c r="P33" s="13"/>
    </row>
    <row r="34" spans="1:16" ht="18" customHeight="1">
      <c r="A34" s="506"/>
      <c r="B34" s="163" t="s">
        <v>82</v>
      </c>
      <c r="C34" s="1203" t="s">
        <v>196</v>
      </c>
      <c r="D34" s="1203"/>
      <c r="E34" s="1203"/>
      <c r="F34" s="1203"/>
      <c r="G34" s="1203"/>
      <c r="H34" s="1203"/>
      <c r="I34" s="1203"/>
      <c r="J34" s="1203"/>
      <c r="K34" s="176"/>
      <c r="L34" s="1246"/>
      <c r="M34" s="1246"/>
      <c r="N34" s="1273"/>
      <c r="O34" s="1274"/>
      <c r="P34" s="13"/>
    </row>
    <row r="35" spans="1:16" ht="18" customHeight="1">
      <c r="A35" s="180"/>
      <c r="B35" s="163" t="s">
        <v>51</v>
      </c>
      <c r="C35" s="1203" t="s">
        <v>197</v>
      </c>
      <c r="D35" s="1203"/>
      <c r="E35" s="1203"/>
      <c r="F35" s="1203"/>
      <c r="G35" s="1203"/>
      <c r="H35" s="1203"/>
      <c r="I35" s="1203"/>
      <c r="J35" s="1203"/>
      <c r="K35" s="176"/>
      <c r="L35" s="1246"/>
      <c r="M35" s="1246"/>
      <c r="N35" s="1273"/>
      <c r="O35" s="1274"/>
      <c r="P35" s="13"/>
    </row>
    <row r="36" spans="1:16" s="166" customFormat="1" ht="19.5" customHeight="1">
      <c r="A36" s="177"/>
      <c r="B36" s="163" t="s">
        <v>156</v>
      </c>
      <c r="C36" s="1203" t="s">
        <v>198</v>
      </c>
      <c r="D36" s="1203"/>
      <c r="E36" s="1203"/>
      <c r="F36" s="1203"/>
      <c r="G36" s="1203"/>
      <c r="H36" s="1203"/>
      <c r="I36" s="1203"/>
      <c r="J36" s="1203"/>
      <c r="K36" s="176"/>
      <c r="L36" s="1246"/>
      <c r="M36" s="1246"/>
      <c r="N36" s="1273"/>
      <c r="O36" s="1274"/>
      <c r="P36" s="165"/>
    </row>
    <row r="37" spans="1:16" s="168" customFormat="1" ht="17.25" customHeight="1">
      <c r="A37" s="177"/>
      <c r="B37" s="163" t="s">
        <v>55</v>
      </c>
      <c r="C37" s="1203" t="s">
        <v>199</v>
      </c>
      <c r="D37" s="1203"/>
      <c r="E37" s="1203"/>
      <c r="F37" s="1203"/>
      <c r="G37" s="1203"/>
      <c r="H37" s="1203"/>
      <c r="I37" s="1203"/>
      <c r="J37" s="1203"/>
      <c r="K37" s="176"/>
      <c r="L37" s="1248"/>
      <c r="M37" s="1249"/>
      <c r="N37" s="1271"/>
      <c r="O37" s="1272"/>
      <c r="P37" s="167"/>
    </row>
    <row r="38" spans="1:16" s="168" customFormat="1" ht="21" customHeight="1">
      <c r="A38" s="177"/>
      <c r="B38" s="163" t="s">
        <v>56</v>
      </c>
      <c r="C38" s="1203" t="s">
        <v>160</v>
      </c>
      <c r="D38" s="1203"/>
      <c r="E38" s="1203"/>
      <c r="F38" s="1203"/>
      <c r="G38" s="1203"/>
      <c r="H38" s="1203"/>
      <c r="I38" s="1203"/>
      <c r="J38" s="1203"/>
      <c r="K38" s="457"/>
      <c r="L38" s="1247"/>
      <c r="M38" s="1247"/>
      <c r="N38" s="1269">
        <f>SUM(L32:M37)</f>
        <v>0</v>
      </c>
      <c r="O38" s="1270"/>
      <c r="P38" s="167"/>
    </row>
    <row r="39" spans="1:15" ht="9" customHeight="1" thickBot="1">
      <c r="A39" s="8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361"/>
      <c r="O39" s="362"/>
    </row>
    <row r="40" spans="1:15" ht="31.5" customHeight="1" thickBot="1">
      <c r="A40" s="175" t="s">
        <v>91</v>
      </c>
      <c r="B40" s="1265" t="s">
        <v>200</v>
      </c>
      <c r="C40" s="1266"/>
      <c r="D40" s="1266"/>
      <c r="E40" s="1266"/>
      <c r="F40" s="1266"/>
      <c r="G40" s="1266"/>
      <c r="H40" s="1266"/>
      <c r="I40" s="1266"/>
      <c r="J40" s="1266"/>
      <c r="K40" s="1267"/>
      <c r="L40" s="182"/>
      <c r="M40" s="182"/>
      <c r="N40" s="1240">
        <f>N29+N38</f>
        <v>0</v>
      </c>
      <c r="O40" s="1268"/>
    </row>
    <row r="41" spans="1:15" ht="13.5" thickBot="1">
      <c r="A41" s="181"/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3"/>
    </row>
    <row r="42" spans="1:15" ht="13.5" thickBot="1">
      <c r="A42" s="181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3"/>
    </row>
  </sheetData>
  <sheetProtection password="E1AE" sheet="1"/>
  <mergeCells count="79">
    <mergeCell ref="A1:O1"/>
    <mergeCell ref="A2:O2"/>
    <mergeCell ref="A3:O3"/>
    <mergeCell ref="A4:O4"/>
    <mergeCell ref="E6:G6"/>
    <mergeCell ref="L6:N6"/>
    <mergeCell ref="D8:O8"/>
    <mergeCell ref="A9:O9"/>
    <mergeCell ref="A12:O12"/>
    <mergeCell ref="L13:M13"/>
    <mergeCell ref="N13:O13"/>
    <mergeCell ref="B13:K13"/>
    <mergeCell ref="C14:K14"/>
    <mergeCell ref="L14:M14"/>
    <mergeCell ref="N14:O14"/>
    <mergeCell ref="C15:K15"/>
    <mergeCell ref="L15:M15"/>
    <mergeCell ref="N15:O15"/>
    <mergeCell ref="L18:M18"/>
    <mergeCell ref="N18:O18"/>
    <mergeCell ref="C18:J18"/>
    <mergeCell ref="C32:J32"/>
    <mergeCell ref="L16:M16"/>
    <mergeCell ref="N16:O16"/>
    <mergeCell ref="L17:M17"/>
    <mergeCell ref="N17:O17"/>
    <mergeCell ref="C16:J16"/>
    <mergeCell ref="C17:J17"/>
    <mergeCell ref="T29:V29"/>
    <mergeCell ref="L30:M30"/>
    <mergeCell ref="N30:O30"/>
    <mergeCell ref="C29:J29"/>
    <mergeCell ref="B31:K31"/>
    <mergeCell ref="C33:J33"/>
    <mergeCell ref="N31:O31"/>
    <mergeCell ref="L32:M32"/>
    <mergeCell ref="N32:O32"/>
    <mergeCell ref="L33:M33"/>
    <mergeCell ref="C25:J25"/>
    <mergeCell ref="L25:M25"/>
    <mergeCell ref="L28:M28"/>
    <mergeCell ref="L29:M29"/>
    <mergeCell ref="N29:O29"/>
    <mergeCell ref="C28:J28"/>
    <mergeCell ref="N33:O33"/>
    <mergeCell ref="L34:M34"/>
    <mergeCell ref="N34:O34"/>
    <mergeCell ref="C26:J26"/>
    <mergeCell ref="C27:J27"/>
    <mergeCell ref="L26:M26"/>
    <mergeCell ref="L27:M27"/>
    <mergeCell ref="L31:M31"/>
    <mergeCell ref="C34:J34"/>
    <mergeCell ref="N37:O37"/>
    <mergeCell ref="C38:J38"/>
    <mergeCell ref="L35:M35"/>
    <mergeCell ref="N35:O35"/>
    <mergeCell ref="L36:M36"/>
    <mergeCell ref="N36:O36"/>
    <mergeCell ref="C21:J21"/>
    <mergeCell ref="C22:J22"/>
    <mergeCell ref="C23:J23"/>
    <mergeCell ref="C24:J24"/>
    <mergeCell ref="L38:M38"/>
    <mergeCell ref="N38:O38"/>
    <mergeCell ref="C35:J35"/>
    <mergeCell ref="C36:J36"/>
    <mergeCell ref="C37:J37"/>
    <mergeCell ref="L37:M37"/>
    <mergeCell ref="B40:K40"/>
    <mergeCell ref="N40:O40"/>
    <mergeCell ref="L19:M19"/>
    <mergeCell ref="L20:M20"/>
    <mergeCell ref="L21:M21"/>
    <mergeCell ref="L22:M22"/>
    <mergeCell ref="L23:M23"/>
    <mergeCell ref="L24:M24"/>
    <mergeCell ref="C19:J19"/>
    <mergeCell ref="C20:J20"/>
  </mergeCells>
  <printOptions horizontalCentered="1" verticalCentered="1"/>
  <pageMargins left="0.25" right="0.25" top="0.5" bottom="0" header="0.5" footer="0.25"/>
  <pageSetup horizontalDpi="600" verticalDpi="600" orientation="portrait" scale="90" r:id="rId1"/>
  <headerFooter alignWithMargins="0">
    <oddFooter>&amp;LDSS-16 10-24-2016&amp;RPage 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1"/>
  <sheetViews>
    <sheetView zoomScalePageLayoutView="0" workbookViewId="0" topLeftCell="A19">
      <selection activeCell="G28" sqref="G28"/>
    </sheetView>
  </sheetViews>
  <sheetFormatPr defaultColWidth="9.140625" defaultRowHeight="12.75"/>
  <cols>
    <col min="2" max="2" width="37.57421875" style="0" customWidth="1"/>
    <col min="3" max="3" width="36.7109375" style="0" customWidth="1"/>
    <col min="6" max="6" width="3.8515625" style="0" customWidth="1"/>
    <col min="7" max="7" width="20.421875" style="0" customWidth="1"/>
    <col min="8" max="8" width="5.8515625" style="0" customWidth="1"/>
    <col min="11" max="11" width="15.140625" style="0" customWidth="1"/>
  </cols>
  <sheetData>
    <row r="2" ht="15.75">
      <c r="B2" s="613" t="s">
        <v>575</v>
      </c>
    </row>
    <row r="4" spans="2:7" ht="16.5" thickBot="1">
      <c r="B4" s="276" t="s">
        <v>59</v>
      </c>
      <c r="C4" s="276" t="s">
        <v>572</v>
      </c>
      <c r="D4" s="611"/>
      <c r="E4" s="611"/>
      <c r="F4" s="611"/>
      <c r="G4" s="611"/>
    </row>
    <row r="5" spans="4:15" ht="20.25" thickBot="1">
      <c r="D5" s="276"/>
      <c r="E5" s="600"/>
      <c r="F5" s="600"/>
      <c r="G5" s="600"/>
      <c r="I5" s="601"/>
      <c r="J5" s="601"/>
      <c r="K5" s="601"/>
      <c r="L5" s="601"/>
      <c r="M5" s="601"/>
      <c r="N5" s="601"/>
      <c r="O5" s="601"/>
    </row>
    <row r="6" spans="2:15" ht="9" customHeight="1">
      <c r="B6" s="605"/>
      <c r="C6" s="606"/>
      <c r="D6" s="607"/>
      <c r="E6" s="608"/>
      <c r="F6" s="608"/>
      <c r="G6" s="609"/>
      <c r="H6" s="601"/>
      <c r="I6" s="601"/>
      <c r="J6" s="601"/>
      <c r="K6" s="601"/>
      <c r="L6" s="601"/>
      <c r="M6" s="601"/>
      <c r="N6" s="601"/>
      <c r="O6" s="601"/>
    </row>
    <row r="7" spans="2:7" ht="39" thickBot="1">
      <c r="B7" s="610" t="s">
        <v>32</v>
      </c>
      <c r="C7" s="603" t="s">
        <v>58</v>
      </c>
      <c r="D7" s="603"/>
      <c r="E7" s="604" t="s">
        <v>573</v>
      </c>
      <c r="F7" s="611"/>
      <c r="G7" s="612" t="s">
        <v>57</v>
      </c>
    </row>
    <row r="8" spans="2:7" ht="12.75">
      <c r="B8" t="s">
        <v>367</v>
      </c>
      <c r="C8" t="str">
        <f>'P2 Service Sites &amp; Rel. Parties'!F12</f>
        <v>675 Main Street, Middletown CT 06457</v>
      </c>
      <c r="E8" s="581" t="str">
        <f>'P2 Service Sites &amp; Rel. Parties'!K12</f>
        <v>Yes</v>
      </c>
      <c r="G8" s="581" t="str">
        <f>'P2 Service Sites &amp; Rel. Parties'!N12</f>
        <v>1164463840</v>
      </c>
    </row>
    <row r="9" spans="2:7" ht="12.75">
      <c r="B9" t="s">
        <v>367</v>
      </c>
      <c r="C9" t="str">
        <f>'P2 Service Sites &amp; Rel. Parties'!F13</f>
        <v>One Shaw's Cove, New London CT 06320</v>
      </c>
      <c r="E9" s="581" t="str">
        <f>'P2 Service Sites &amp; Rel. Parties'!K13</f>
        <v>Yes</v>
      </c>
      <c r="G9" s="581" t="str">
        <f>'P2 Service Sites &amp; Rel. Parties'!N13</f>
        <v>1982889309</v>
      </c>
    </row>
    <row r="10" spans="2:7" ht="12.75">
      <c r="B10" t="s">
        <v>367</v>
      </c>
      <c r="C10" t="str">
        <f>'P2 Service Sites &amp; Rel. Parties'!F14</f>
        <v>85 Lafayette Street, New Britain CT 06051</v>
      </c>
      <c r="E10" s="581" t="str">
        <f>'P2 Service Sites &amp; Rel. Parties'!K14</f>
        <v>Yes</v>
      </c>
      <c r="G10" s="581" t="str">
        <f>'P2 Service Sites &amp; Rel. Parties'!N14</f>
        <v>1912182338</v>
      </c>
    </row>
    <row r="11" spans="2:7" ht="12.75">
      <c r="B11" t="s">
        <v>367</v>
      </c>
      <c r="C11" t="str">
        <f>'P2 Service Sites &amp; Rel. Parties'!F15</f>
        <v>134 State Street, Meriden CT 06450</v>
      </c>
      <c r="E11" s="581" t="str">
        <f>'P2 Service Sites &amp; Rel. Parties'!K15</f>
        <v>Yes</v>
      </c>
      <c r="G11" s="581" t="str">
        <f>'P2 Service Sites &amp; Rel. Parties'!N15</f>
        <v>1720263148</v>
      </c>
    </row>
    <row r="12" spans="2:7" ht="12.75">
      <c r="B12" t="s">
        <v>367</v>
      </c>
      <c r="C12" t="str">
        <f>'P2 Service Sites &amp; Rel. Parties'!F16</f>
        <v>114 East Main Street, Clinton CT 06413</v>
      </c>
      <c r="E12" s="581" t="str">
        <f>'P2 Service Sites &amp; Rel. Parties'!K16</f>
        <v>Yes</v>
      </c>
      <c r="G12" s="581" t="str">
        <f>'P2 Service Sites &amp; Rel. Parties'!N16</f>
        <v>144735862</v>
      </c>
    </row>
    <row r="13" spans="2:7" ht="12.75">
      <c r="B13" t="s">
        <v>367</v>
      </c>
      <c r="C13" t="str">
        <f>'P2 Service Sites &amp; Rel. Parties'!F17</f>
        <v>49 Day Street, Norwalk CT 06854</v>
      </c>
      <c r="E13" s="581" t="str">
        <f>'P2 Service Sites &amp; Rel. Parties'!K17</f>
        <v>Yes</v>
      </c>
      <c r="G13" s="581" t="str">
        <f>'P2 Service Sites &amp; Rel. Parties'!N17</f>
        <v>1972788321</v>
      </c>
    </row>
    <row r="14" spans="2:7" ht="12.75">
      <c r="B14" t="s">
        <v>367</v>
      </c>
      <c r="C14" t="str">
        <f>'P2 Service Sites &amp; Rel. Parties'!F18</f>
        <v>481 Gold Star Hwy, Groton CT 06340</v>
      </c>
      <c r="E14" s="581" t="str">
        <f>'P2 Service Sites &amp; Rel. Parties'!K18</f>
        <v>Yes</v>
      </c>
      <c r="G14" s="581" t="str">
        <f>'P2 Service Sites &amp; Rel. Parties'!N18</f>
        <v>147334851</v>
      </c>
    </row>
    <row r="15" spans="2:7" ht="12.75">
      <c r="B15" t="s">
        <v>367</v>
      </c>
      <c r="C15" t="str">
        <f>'P2 Service Sites &amp; Rel. Parties'!F19</f>
        <v>8 Delay Street, Danbury CT 06810</v>
      </c>
      <c r="E15" s="581" t="str">
        <f>'P2 Service Sites &amp; Rel. Parties'!K19</f>
        <v>Yes</v>
      </c>
      <c r="G15" s="581" t="str">
        <f>'P2 Service Sites &amp; Rel. Parties'!N19</f>
        <v>1518139500</v>
      </c>
    </row>
    <row r="16" spans="2:7" ht="12.75">
      <c r="B16" t="s">
        <v>367</v>
      </c>
      <c r="C16" t="str">
        <f>'P2 Service Sites &amp; Rel. Parties'!F20</f>
        <v>5 N. Main Street, Enfield CT 06082</v>
      </c>
      <c r="E16" s="581" t="str">
        <f>'P2 Service Sites &amp; Rel. Parties'!K20</f>
        <v>Yes</v>
      </c>
      <c r="G16" s="581" t="str">
        <f>'P2 Service Sites &amp; Rel. Parties'!N20</f>
        <v>1679761027</v>
      </c>
    </row>
    <row r="17" spans="2:7" ht="12.75">
      <c r="B17" t="s">
        <v>367</v>
      </c>
      <c r="C17" t="str">
        <f>'P2 Service Sites &amp; Rel. Parties'!F21</f>
        <v>141 Franklin Street, Stamford CT 06901</v>
      </c>
      <c r="E17" s="581" t="str">
        <f>'P2 Service Sites &amp; Rel. Parties'!K21</f>
        <v>Yes</v>
      </c>
      <c r="G17" s="581" t="str">
        <f>'P2 Service Sites &amp; Rel. Parties'!N21</f>
        <v>1730311143</v>
      </c>
    </row>
    <row r="18" spans="2:7" ht="12.75">
      <c r="B18" t="s">
        <v>367</v>
      </c>
      <c r="C18" t="str">
        <f>'P2 Service Sites &amp; Rel. Parties'!F22</f>
        <v>59 North Main Street, Bristol CT 06010</v>
      </c>
      <c r="E18" s="581" t="str">
        <f>'P2 Service Sites &amp; Rel. Parties'!K22</f>
        <v>Yes</v>
      </c>
      <c r="G18" s="581" t="str">
        <f>'P2 Service Sites &amp; Rel. Parties'!N22</f>
        <v>1356676514</v>
      </c>
    </row>
    <row r="19" spans="2:7" ht="12.75">
      <c r="B19" t="s">
        <v>367</v>
      </c>
      <c r="C19" t="str">
        <f>'P2 Service Sites &amp; Rel. Parties'!F23</f>
        <v>51 North Elm Street, Waterbury CT 06702</v>
      </c>
      <c r="E19" s="581" t="str">
        <f>'P2 Service Sites &amp; Rel. Parties'!K23</f>
        <v>Yes</v>
      </c>
      <c r="G19" s="581" t="str">
        <f>'P2 Service Sites &amp; Rel. Parties'!N23</f>
        <v>1972866556</v>
      </c>
    </row>
    <row r="20" spans="2:7" ht="12.75">
      <c r="B20" t="s">
        <v>367</v>
      </c>
      <c r="C20" t="s">
        <v>574</v>
      </c>
      <c r="E20" s="581" t="str">
        <f>'P2 Service Sites &amp; Rel. Parties'!K24</f>
        <v>Yes</v>
      </c>
      <c r="G20" s="581">
        <v>1457822934</v>
      </c>
    </row>
    <row r="21" spans="2:7" ht="12.75">
      <c r="B21" t="str">
        <f>'P2 Service Sites &amp; Rel. Parties'!A31</f>
        <v>Community Health Center Inc.</v>
      </c>
      <c r="C21" t="str">
        <f>'P2 Service Sites &amp; Rel. Parties'!F31</f>
        <v>76 New Britain Avenue, Hartford, CT 06106</v>
      </c>
      <c r="E21" s="581" t="str">
        <f>'P2 Service Sites &amp; Rel. Parties'!K31</f>
        <v>Yes</v>
      </c>
      <c r="G21" s="581">
        <f>'P2 Service Sites &amp; Rel. Parties'!N31</f>
        <v>1093163883</v>
      </c>
    </row>
    <row r="22" spans="2:7" ht="25.5">
      <c r="B22" s="602" t="str">
        <f>'P2 Service Sites &amp; Rel. Parties'!A24</f>
        <v>Community Health Center Inc., W.Y.A. Masters Manna</v>
      </c>
      <c r="C22" t="str">
        <f>'P2 Service Sites &amp; Rel. Parties'!F24</f>
        <v>46 N. Plains Industrial Road, Wallingford CT 06492</v>
      </c>
      <c r="E22" s="581" t="str">
        <f>'P2 Service Sites &amp; Rel. Parties'!K24</f>
        <v>Yes</v>
      </c>
      <c r="G22" s="581" t="str">
        <f>'P2 Service Sites &amp; Rel. Parties'!N24</f>
        <v>1952591851</v>
      </c>
    </row>
    <row r="23" spans="2:7" ht="25.5">
      <c r="B23" s="602" t="str">
        <f>'P2 Service Sites &amp; Rel. Parties'!A25</f>
        <v>Community Health Center Inc., W.Y.A. Prudence Crandall</v>
      </c>
      <c r="C23" t="str">
        <f>'P2 Service Sites &amp; Rel. Parties'!F25</f>
        <v>594 Burritt Street, New Britain CT 06051</v>
      </c>
      <c r="E23" s="581" t="str">
        <f>'P2 Service Sites &amp; Rel. Parties'!K25</f>
        <v>Yes</v>
      </c>
      <c r="G23" s="581" t="str">
        <f>'P2 Service Sites &amp; Rel. Parties'!N25</f>
        <v>1952591851</v>
      </c>
    </row>
    <row r="24" spans="2:7" ht="25.5">
      <c r="B24" s="602" t="str">
        <f>'P2 Service Sites &amp; Rel. Parties'!A26</f>
        <v>Community Health Center Inc., W.Y.A. Shelter Now</v>
      </c>
      <c r="C24" t="str">
        <f>'P2 Service Sites &amp; Rel. Parties'!F26</f>
        <v>43 St. Casimir Drive, Meriden CT 06450</v>
      </c>
      <c r="E24" s="581" t="str">
        <f>'P2 Service Sites &amp; Rel. Parties'!K26</f>
        <v>Yes</v>
      </c>
      <c r="G24" s="581" t="str">
        <f>'P2 Service Sites &amp; Rel. Parties'!N26</f>
        <v>1952591851</v>
      </c>
    </row>
    <row r="25" spans="2:7" ht="25.5">
      <c r="B25" s="602" t="str">
        <f>'P2 Service Sites &amp; Rel. Parties'!A27</f>
        <v>Community Health Center Inc., W.Y.A. Friendship Center</v>
      </c>
      <c r="C25" t="str">
        <f>'P2 Service Sites &amp; Rel. Parties'!F27</f>
        <v>241 Arch Street, New Britain CT 06050</v>
      </c>
      <c r="E25" s="581" t="str">
        <f>'P2 Service Sites &amp; Rel. Parties'!K27</f>
        <v>Yes</v>
      </c>
      <c r="G25" s="581" t="str">
        <f>'P2 Service Sites &amp; Rel. Parties'!N27</f>
        <v>1952591851</v>
      </c>
    </row>
    <row r="26" spans="2:7" ht="25.5">
      <c r="B26" s="602" t="str">
        <f>'P2 Service Sites &amp; Rel. Parties'!A28</f>
        <v>Community Health Center Inc., W.Y.A. Eddy Shelter</v>
      </c>
      <c r="C26" t="str">
        <f>'P2 Service Sites &amp; Rel. Parties'!F28</f>
        <v>1 LaBella Circle, Middletown CT 06457</v>
      </c>
      <c r="E26" s="581" t="str">
        <f>'P2 Service Sites &amp; Rel. Parties'!K28</f>
        <v>Yes</v>
      </c>
      <c r="G26" s="581" t="str">
        <f>'P2 Service Sites &amp; Rel. Parties'!N28</f>
        <v>1952591851</v>
      </c>
    </row>
    <row r="27" spans="2:7" ht="25.5">
      <c r="B27" s="602" t="str">
        <f>'P2 Service Sites &amp; Rel. Parties'!A29</f>
        <v>Community Health Center Inc., W.Y.A. New London</v>
      </c>
      <c r="C27" t="str">
        <f>'P2 Service Sites &amp; Rel. Parties'!F29</f>
        <v>427 Huntington Avenue,  New London CT 06320</v>
      </c>
      <c r="E27" s="581" t="str">
        <f>'P2 Service Sites &amp; Rel. Parties'!K29</f>
        <v>Yes</v>
      </c>
      <c r="G27" s="581" t="str">
        <f>'P2 Service Sites &amp; Rel. Parties'!N29</f>
        <v>1548677982</v>
      </c>
    </row>
    <row r="28" spans="2:7" ht="25.5">
      <c r="B28" s="602" t="str">
        <f>'P2 Service Sites &amp; Rel. Parties'!A30</f>
        <v>Community Health Center Inc., W.Y.A. City of Danbury Emergency Shelter</v>
      </c>
      <c r="C28" t="str">
        <f>'P2 Service Sites &amp; Rel. Parties'!F30</f>
        <v>41 New Street, Danbury, CT 06810</v>
      </c>
      <c r="E28" s="581" t="str">
        <f>'P2 Service Sites &amp; Rel. Parties'!K30</f>
        <v>Yes</v>
      </c>
      <c r="G28" s="581" t="str">
        <f>'P2 Service Sites &amp; Rel. Parties'!N30</f>
        <v>1952591851</v>
      </c>
    </row>
    <row r="29" spans="2:7" ht="12.75">
      <c r="B29" t="s">
        <v>367</v>
      </c>
      <c r="C29" s="536" t="s">
        <v>686</v>
      </c>
      <c r="E29" s="581" t="str">
        <f>'P2 Service Sites &amp; Rel. Parties'!K31</f>
        <v>Yes</v>
      </c>
      <c r="G29" s="581">
        <v>1952591851</v>
      </c>
    </row>
    <row r="30" spans="2:7" ht="12.75">
      <c r="B30" t="s">
        <v>367</v>
      </c>
      <c r="C30" s="536" t="s">
        <v>687</v>
      </c>
      <c r="E30" s="617" t="s">
        <v>369</v>
      </c>
      <c r="G30" s="581">
        <v>1952591851</v>
      </c>
    </row>
    <row r="31" spans="2:7" ht="12.75">
      <c r="B31" t="s">
        <v>367</v>
      </c>
      <c r="C31" s="536" t="s">
        <v>688</v>
      </c>
      <c r="E31" s="617" t="s">
        <v>369</v>
      </c>
      <c r="G31" s="581">
        <v>1952591851</v>
      </c>
    </row>
  </sheetData>
  <sheetProtection/>
  <printOptions gridLines="1"/>
  <pageMargins left="0.7" right="0.7" top="0.75" bottom="0.75" header="0.3" footer="0.3"/>
  <pageSetup fitToHeight="1" fitToWidth="1" horizontalDpi="600" verticalDpi="600" orientation="portrait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67.00390625" style="0" bestFit="1" customWidth="1"/>
    <col min="3" max="3" width="12.28125" style="0" bestFit="1" customWidth="1"/>
  </cols>
  <sheetData>
    <row r="1" ht="12.75">
      <c r="C1" s="764"/>
    </row>
    <row r="2" spans="1:3" ht="12.75">
      <c r="A2" s="565" t="s">
        <v>572</v>
      </c>
      <c r="C2" s="764"/>
    </row>
    <row r="3" spans="1:3" ht="12.75">
      <c r="A3" s="565"/>
      <c r="C3" s="764"/>
    </row>
    <row r="4" spans="1:3" ht="12.75">
      <c r="A4" s="565" t="s">
        <v>734</v>
      </c>
      <c r="C4" s="764"/>
    </row>
    <row r="5" spans="1:3" ht="12.75">
      <c r="A5" s="565"/>
      <c r="C5" s="764"/>
    </row>
    <row r="6" spans="1:3" ht="12.75">
      <c r="A6" s="534" t="s">
        <v>754</v>
      </c>
      <c r="B6" s="534"/>
      <c r="C6" s="917">
        <f>178204239</f>
        <v>178204239</v>
      </c>
    </row>
    <row r="7" spans="1:3" ht="12.75">
      <c r="A7" s="598" t="s">
        <v>667</v>
      </c>
      <c r="C7" s="918">
        <v>2139394.33</v>
      </c>
    </row>
    <row r="8" spans="1:3" ht="12.75">
      <c r="A8" s="561"/>
      <c r="C8" s="764"/>
    </row>
    <row r="9" spans="1:3" ht="12.75">
      <c r="A9" s="598"/>
      <c r="C9" s="764"/>
    </row>
    <row r="10" spans="1:3" ht="12.75">
      <c r="A10" s="629" t="s">
        <v>668</v>
      </c>
      <c r="C10" s="764"/>
    </row>
    <row r="11" spans="1:3" ht="12.75">
      <c r="A11" s="536" t="s">
        <v>671</v>
      </c>
      <c r="C11" s="764">
        <v>865824</v>
      </c>
    </row>
    <row r="12" spans="1:3" ht="12.75">
      <c r="A12" s="536" t="s">
        <v>672</v>
      </c>
      <c r="C12" s="764">
        <v>2139457</v>
      </c>
    </row>
    <row r="13" spans="1:3" ht="12.75">
      <c r="A13" s="598" t="s">
        <v>669</v>
      </c>
      <c r="C13" s="764">
        <v>2066053</v>
      </c>
    </row>
    <row r="14" spans="1:3" ht="12.75">
      <c r="A14" s="598" t="s">
        <v>673</v>
      </c>
      <c r="C14" s="764">
        <v>1455896</v>
      </c>
    </row>
    <row r="15" spans="1:3" ht="12.75">
      <c r="A15" s="536" t="s">
        <v>674</v>
      </c>
      <c r="C15" s="764">
        <v>344407</v>
      </c>
    </row>
    <row r="16" spans="1:3" ht="12.75">
      <c r="A16" s="636" t="s">
        <v>670</v>
      </c>
      <c r="B16" s="717"/>
      <c r="C16" s="919">
        <v>208537</v>
      </c>
    </row>
    <row r="17" spans="1:3" ht="12.75">
      <c r="A17" s="636" t="s">
        <v>909</v>
      </c>
      <c r="C17" s="764">
        <v>-1428477</v>
      </c>
    </row>
    <row r="18" spans="1:3" ht="12.75">
      <c r="A18" s="534" t="s">
        <v>675</v>
      </c>
      <c r="B18" s="534"/>
      <c r="C18" s="920">
        <f>+C6+C7-C11-C12-C13-C14-C15-C16-C17</f>
        <v>174691936.33</v>
      </c>
    </row>
    <row r="19" ht="12.75">
      <c r="C19" s="764"/>
    </row>
    <row r="20" ht="12.75">
      <c r="C20" s="764"/>
    </row>
    <row r="21" spans="1:3" ht="12.75">
      <c r="A21" s="534" t="s">
        <v>732</v>
      </c>
      <c r="C21" s="917">
        <f>+'Attachment A'!C50</f>
        <v>174691936.8983415</v>
      </c>
    </row>
    <row r="22" spans="1:3" ht="12.75">
      <c r="A22" s="623" t="s">
        <v>680</v>
      </c>
      <c r="B22" s="623"/>
      <c r="C22" s="921">
        <f>+C18-C21</f>
        <v>-0.5683414936065674</v>
      </c>
    </row>
    <row r="23" ht="12.75">
      <c r="C23" s="764"/>
    </row>
    <row r="24" spans="1:3" ht="12.75">
      <c r="A24" s="922" t="s">
        <v>910</v>
      </c>
      <c r="B24" s="923"/>
      <c r="C24" s="924">
        <f>+'Attachment A'!C46</f>
        <v>174691936.02999976</v>
      </c>
    </row>
    <row r="25" ht="12.75">
      <c r="C25" s="925"/>
    </row>
    <row r="26" spans="1:3" ht="12.75">
      <c r="A26" t="s">
        <v>911</v>
      </c>
      <c r="C26" s="764">
        <f>+C21-C24</f>
        <v>0.8683417439460754</v>
      </c>
    </row>
    <row r="27" ht="12.75">
      <c r="C27" s="764"/>
    </row>
    <row r="28" spans="1:3" ht="13.5" thickBot="1">
      <c r="A28" s="534" t="s">
        <v>912</v>
      </c>
      <c r="C28" s="855">
        <f>+C22+C26</f>
        <v>0.30000025033950806</v>
      </c>
    </row>
    <row r="29" ht="13.5" thickTop="1">
      <c r="C29" s="764"/>
    </row>
    <row r="30" ht="12.75">
      <c r="C30" s="76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Q60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U66" sqref="U66:AB75"/>
    </sheetView>
  </sheetViews>
  <sheetFormatPr defaultColWidth="9.140625" defaultRowHeight="12.75"/>
  <cols>
    <col min="1" max="1" width="27.7109375" style="0" customWidth="1"/>
    <col min="2" max="2" width="26.8515625" style="0" customWidth="1"/>
    <col min="3" max="3" width="15.00390625" style="0" bestFit="1" customWidth="1"/>
    <col min="4" max="4" width="14.421875" style="674" customWidth="1"/>
    <col min="5" max="5" width="10.00390625" style="674" customWidth="1"/>
    <col min="6" max="6" width="35.140625" style="0" bestFit="1" customWidth="1"/>
    <col min="7" max="7" width="14.421875" style="0" bestFit="1" customWidth="1"/>
    <col min="8" max="8" width="2.28125" style="0" customWidth="1"/>
    <col min="9" max="9" width="35.140625" style="0" customWidth="1"/>
    <col min="10" max="10" width="12.7109375" style="0" bestFit="1" customWidth="1"/>
    <col min="11" max="11" width="3.140625" style="0" customWidth="1"/>
    <col min="12" max="12" width="25.00390625" style="0" customWidth="1"/>
    <col min="13" max="13" width="14.140625" style="0" bestFit="1" customWidth="1"/>
    <col min="14" max="14" width="3.00390625" style="0" customWidth="1"/>
    <col min="15" max="15" width="29.28125" style="0" customWidth="1"/>
    <col min="16" max="16" width="21.00390625" style="0" bestFit="1" customWidth="1"/>
    <col min="17" max="17" width="3.00390625" style="0" customWidth="1"/>
    <col min="18" max="18" width="35.421875" style="0" bestFit="1" customWidth="1"/>
    <col min="19" max="19" width="11.28125" style="0" bestFit="1" customWidth="1"/>
    <col min="20" max="20" width="3.421875" style="0" customWidth="1"/>
    <col min="21" max="21" width="28.28125" style="0" customWidth="1"/>
    <col min="22" max="22" width="12.8515625" style="0" bestFit="1" customWidth="1"/>
    <col min="23" max="23" width="2.8515625" style="0" customWidth="1"/>
    <col min="24" max="24" width="16.140625" style="0" bestFit="1" customWidth="1"/>
    <col min="25" max="25" width="13.7109375" style="0" bestFit="1" customWidth="1"/>
    <col min="27" max="27" width="2.421875" style="0" customWidth="1"/>
    <col min="28" max="28" width="26.421875" style="581" customWidth="1"/>
    <col min="29" max="29" width="12.421875" style="0" customWidth="1"/>
    <col min="30" max="30" width="14.140625" style="0" bestFit="1" customWidth="1"/>
    <col min="31" max="31" width="13.57421875" style="0" customWidth="1"/>
    <col min="32" max="32" width="2.8515625" style="0" customWidth="1"/>
    <col min="33" max="33" width="5.57421875" style="0" customWidth="1"/>
    <col min="34" max="34" width="15.421875" style="0" customWidth="1"/>
    <col min="35" max="35" width="13.28125" style="0" customWidth="1"/>
    <col min="36" max="36" width="3.7109375" style="676" customWidth="1"/>
    <col min="37" max="37" width="16.140625" style="0" customWidth="1"/>
    <col min="38" max="40" width="13.28125" style="0" customWidth="1"/>
    <col min="41" max="41" width="11.8515625" style="581" customWidth="1"/>
    <col min="42" max="42" width="2.28125" style="0" customWidth="1"/>
    <col min="43" max="43" width="39.7109375" style="0" customWidth="1"/>
    <col min="44" max="44" width="15.7109375" style="0" bestFit="1" customWidth="1"/>
    <col min="45" max="45" width="14.7109375" style="0" bestFit="1" customWidth="1"/>
    <col min="46" max="46" width="3.00390625" style="0" customWidth="1"/>
    <col min="47" max="47" width="31.57421875" style="0" bestFit="1" customWidth="1"/>
    <col min="48" max="48" width="12.8515625" style="0" bestFit="1" customWidth="1"/>
    <col min="49" max="49" width="11.28125" style="0" bestFit="1" customWidth="1"/>
    <col min="50" max="50" width="2.8515625" style="0" customWidth="1"/>
    <col min="51" max="51" width="37.28125" style="0" customWidth="1"/>
    <col min="52" max="52" width="12.8515625" style="0" bestFit="1" customWidth="1"/>
    <col min="53" max="53" width="13.7109375" style="0" customWidth="1"/>
    <col min="54" max="54" width="4.57421875" style="0" customWidth="1"/>
    <col min="55" max="55" width="19.140625" style="0" bestFit="1" customWidth="1"/>
    <col min="56" max="56" width="12.8515625" style="558" bestFit="1" customWidth="1"/>
    <col min="57" max="57" width="12.8515625" style="558" customWidth="1"/>
    <col min="58" max="58" width="8.140625" style="0" customWidth="1"/>
    <col min="59" max="59" width="24.8515625" style="0" bestFit="1" customWidth="1"/>
    <col min="60" max="60" width="12.28125" style="0" bestFit="1" customWidth="1"/>
    <col min="61" max="61" width="10.28125" style="0" bestFit="1" customWidth="1"/>
    <col min="62" max="62" width="15.7109375" style="0" bestFit="1" customWidth="1"/>
    <col min="63" max="63" width="12.28125" style="0" bestFit="1" customWidth="1"/>
    <col min="64" max="64" width="17.00390625" style="0" bestFit="1" customWidth="1"/>
    <col min="65" max="65" width="14.00390625" style="0" bestFit="1" customWidth="1"/>
    <col min="66" max="66" width="40.00390625" style="0" bestFit="1" customWidth="1"/>
    <col min="67" max="67" width="22.7109375" style="0" bestFit="1" customWidth="1"/>
    <col min="68" max="68" width="11.28125" style="0" bestFit="1" customWidth="1"/>
    <col min="69" max="69" width="10.28125" style="0" bestFit="1" customWidth="1"/>
  </cols>
  <sheetData>
    <row r="1" spans="1:59" s="534" customFormat="1" ht="15">
      <c r="A1" s="534" t="s">
        <v>734</v>
      </c>
      <c r="C1"/>
      <c r="D1" s="674"/>
      <c r="E1" s="674"/>
      <c r="F1" s="528" t="s">
        <v>411</v>
      </c>
      <c r="G1" s="618" t="s">
        <v>593</v>
      </c>
      <c r="H1"/>
      <c r="I1" s="528" t="s">
        <v>412</v>
      </c>
      <c r="J1" s="618" t="s">
        <v>592</v>
      </c>
      <c r="K1"/>
      <c r="L1" s="528" t="s">
        <v>413</v>
      </c>
      <c r="M1" s="748" t="s">
        <v>591</v>
      </c>
      <c r="N1"/>
      <c r="O1" s="528" t="s">
        <v>414</v>
      </c>
      <c r="P1" s="534" t="s">
        <v>590</v>
      </c>
      <c r="Q1"/>
      <c r="R1" s="528" t="s">
        <v>415</v>
      </c>
      <c r="S1" s="618" t="s">
        <v>589</v>
      </c>
      <c r="T1"/>
      <c r="U1" s="528" t="s">
        <v>416</v>
      </c>
      <c r="V1"/>
      <c r="W1"/>
      <c r="X1"/>
      <c r="Y1"/>
      <c r="Z1"/>
      <c r="AB1" s="763" t="s">
        <v>472</v>
      </c>
      <c r="AC1" s="760"/>
      <c r="AD1" s="760"/>
      <c r="AE1" s="760"/>
      <c r="AF1"/>
      <c r="AG1"/>
      <c r="AH1" s="528" t="s">
        <v>490</v>
      </c>
      <c r="AI1"/>
      <c r="AJ1" s="676"/>
      <c r="AK1" s="1128" t="s">
        <v>536</v>
      </c>
      <c r="AL1" s="1128"/>
      <c r="AM1" s="1128"/>
      <c r="AN1" s="1128"/>
      <c r="AO1" s="581"/>
      <c r="AQ1" s="753" t="s">
        <v>550</v>
      </c>
      <c r="AS1" s="681" t="s">
        <v>555</v>
      </c>
      <c r="AU1" s="753" t="s">
        <v>448</v>
      </c>
      <c r="AW1" s="682" t="s">
        <v>554</v>
      </c>
      <c r="AY1" s="753" t="s">
        <v>449</v>
      </c>
      <c r="AZ1" s="753"/>
      <c r="BA1" s="683" t="s">
        <v>556</v>
      </c>
      <c r="BC1" s="753" t="s">
        <v>735</v>
      </c>
      <c r="BD1" s="753"/>
      <c r="BE1" s="754"/>
      <c r="BG1" s="570" t="s">
        <v>152</v>
      </c>
    </row>
    <row r="2" spans="1:66" s="534" customFormat="1" ht="13.5" thickBot="1">
      <c r="A2" s="570" t="s">
        <v>729</v>
      </c>
      <c r="B2" s="570"/>
      <c r="C2" s="565" t="s">
        <v>730</v>
      </c>
      <c r="D2" s="593" t="s">
        <v>731</v>
      </c>
      <c r="E2" s="674"/>
      <c r="F2" s="533" t="s">
        <v>417</v>
      </c>
      <c r="G2" s="619" t="s">
        <v>418</v>
      </c>
      <c r="H2"/>
      <c r="I2" s="533" t="s">
        <v>417</v>
      </c>
      <c r="J2" s="619" t="s">
        <v>419</v>
      </c>
      <c r="K2"/>
      <c r="L2" s="533" t="s">
        <v>417</v>
      </c>
      <c r="M2" s="570" t="s">
        <v>420</v>
      </c>
      <c r="N2"/>
      <c r="O2" s="533" t="s">
        <v>417</v>
      </c>
      <c r="P2" s="570" t="s">
        <v>489</v>
      </c>
      <c r="Q2"/>
      <c r="R2" s="533" t="s">
        <v>417</v>
      </c>
      <c r="S2" s="619" t="s">
        <v>421</v>
      </c>
      <c r="T2"/>
      <c r="U2" s="533" t="s">
        <v>417</v>
      </c>
      <c r="V2" s="570" t="s">
        <v>422</v>
      </c>
      <c r="W2"/>
      <c r="X2"/>
      <c r="Y2"/>
      <c r="Z2"/>
      <c r="AF2"/>
      <c r="AG2"/>
      <c r="AH2" s="582" t="s">
        <v>553</v>
      </c>
      <c r="AI2" s="619" t="s">
        <v>720</v>
      </c>
      <c r="AJ2" s="676"/>
      <c r="AK2" s="580"/>
      <c r="AL2" s="534" t="s">
        <v>928</v>
      </c>
      <c r="AM2"/>
      <c r="AN2"/>
      <c r="AO2" s="581"/>
      <c r="BD2" s="556"/>
      <c r="BE2" s="556"/>
      <c r="BN2" s="534" t="s">
        <v>974</v>
      </c>
    </row>
    <row r="3" spans="25:57" ht="15">
      <c r="Y3" s="529" t="s">
        <v>423</v>
      </c>
      <c r="Z3" s="529" t="s">
        <v>424</v>
      </c>
      <c r="AC3" s="838" t="s">
        <v>885</v>
      </c>
      <c r="AD3" s="838" t="s">
        <v>769</v>
      </c>
      <c r="AE3" s="838" t="s">
        <v>770</v>
      </c>
      <c r="AH3" s="530" t="s">
        <v>637</v>
      </c>
      <c r="AI3" s="537">
        <v>0</v>
      </c>
      <c r="AK3" s="534"/>
      <c r="AM3" s="681" t="s">
        <v>736</v>
      </c>
      <c r="AN3" s="765">
        <v>0.23141802367630648</v>
      </c>
      <c r="AQ3" s="546" t="s">
        <v>34</v>
      </c>
      <c r="AR3" s="679" t="s">
        <v>446</v>
      </c>
      <c r="AS3" s="679" t="s">
        <v>447</v>
      </c>
      <c r="AU3" s="546" t="s">
        <v>34</v>
      </c>
      <c r="AV3" s="546" t="s">
        <v>446</v>
      </c>
      <c r="AW3" s="546" t="s">
        <v>447</v>
      </c>
      <c r="AX3" s="552"/>
      <c r="AY3" s="546" t="s">
        <v>34</v>
      </c>
      <c r="AZ3" s="546" t="s">
        <v>446</v>
      </c>
      <c r="BA3" s="546" t="s">
        <v>447</v>
      </c>
      <c r="BC3" s="546" t="s">
        <v>445</v>
      </c>
      <c r="BD3" s="557" t="s">
        <v>446</v>
      </c>
      <c r="BE3" s="557" t="s">
        <v>447</v>
      </c>
    </row>
    <row r="4" spans="1:67" ht="15">
      <c r="A4" s="573" t="s">
        <v>426</v>
      </c>
      <c r="B4" s="573"/>
      <c r="C4" s="726">
        <v>84649577.36999983</v>
      </c>
      <c r="F4" s="530" t="s">
        <v>749</v>
      </c>
      <c r="G4" s="537">
        <v>287.52</v>
      </c>
      <c r="I4" s="530" t="s">
        <v>747</v>
      </c>
      <c r="J4" s="538">
        <v>31369.16</v>
      </c>
      <c r="L4" s="530" t="s">
        <v>595</v>
      </c>
      <c r="M4" s="537">
        <v>595</v>
      </c>
      <c r="O4" s="530" t="s">
        <v>747</v>
      </c>
      <c r="P4" s="537">
        <v>4404.139999999999</v>
      </c>
      <c r="R4" s="530" t="s">
        <v>749</v>
      </c>
      <c r="S4" s="537">
        <v>7975.37</v>
      </c>
      <c r="U4" s="530" t="s">
        <v>749</v>
      </c>
      <c r="V4" s="537">
        <v>7113.5</v>
      </c>
      <c r="X4" s="528" t="s">
        <v>42</v>
      </c>
      <c r="Y4" s="806">
        <v>422338</v>
      </c>
      <c r="Z4" s="733">
        <f>+Y4/Y7</f>
        <v>0.6292610609909635</v>
      </c>
      <c r="AB4" s="719" t="s">
        <v>709</v>
      </c>
      <c r="AC4" s="839" t="s">
        <v>451</v>
      </c>
      <c r="AD4" s="839" t="s">
        <v>429</v>
      </c>
      <c r="AE4" s="839" t="s">
        <v>418</v>
      </c>
      <c r="AG4" s="534"/>
      <c r="AH4" s="530" t="s">
        <v>454</v>
      </c>
      <c r="AI4" s="537">
        <v>152873.27</v>
      </c>
      <c r="AK4" s="717"/>
      <c r="AL4" s="585" t="s">
        <v>534</v>
      </c>
      <c r="AM4" s="586" t="s">
        <v>535</v>
      </c>
      <c r="AN4" s="586" t="s">
        <v>447</v>
      </c>
      <c r="AO4" s="587"/>
      <c r="AQ4" s="624" t="s">
        <v>650</v>
      </c>
      <c r="AR4" s="555">
        <v>0</v>
      </c>
      <c r="AS4" s="537">
        <f>ROUND(AR4*$AN$3,2)</f>
        <v>0</v>
      </c>
      <c r="AU4" s="624" t="s">
        <v>656</v>
      </c>
      <c r="AV4" s="680">
        <v>1008370.87</v>
      </c>
      <c r="AW4" s="635">
        <f>ROUND(AV4*$AN$3,2)</f>
        <v>233355.19</v>
      </c>
      <c r="AX4" s="537"/>
      <c r="AY4" s="624" t="s">
        <v>738</v>
      </c>
      <c r="AZ4" s="537">
        <v>86293.8780919922</v>
      </c>
      <c r="BA4" s="537">
        <v>19969.958723412954</v>
      </c>
      <c r="BC4" s="716" t="s">
        <v>563</v>
      </c>
      <c r="BD4" s="635">
        <v>474615.69312064606</v>
      </c>
      <c r="BE4" s="635">
        <v>109834.62570774031</v>
      </c>
      <c r="BG4" s="534" t="s">
        <v>733</v>
      </c>
      <c r="BH4" s="864" t="s">
        <v>537</v>
      </c>
      <c r="BI4" s="864" t="s">
        <v>538</v>
      </c>
      <c r="BJ4" s="864" t="s">
        <v>705</v>
      </c>
      <c r="BK4" s="864" t="s">
        <v>31</v>
      </c>
      <c r="BL4" s="864" t="s">
        <v>558</v>
      </c>
      <c r="BN4" s="1037" t="s">
        <v>975</v>
      </c>
      <c r="BO4" s="1040" t="s">
        <v>874</v>
      </c>
    </row>
    <row r="5" spans="1:67" ht="15.75" thickBot="1">
      <c r="A5" s="727" t="s">
        <v>427</v>
      </c>
      <c r="B5" s="727"/>
      <c r="C5" s="740">
        <v>19589437.899999958</v>
      </c>
      <c r="F5" s="530" t="s">
        <v>595</v>
      </c>
      <c r="G5" s="537">
        <v>4514.23</v>
      </c>
      <c r="I5" s="530" t="s">
        <v>748</v>
      </c>
      <c r="J5" s="538">
        <v>774.74</v>
      </c>
      <c r="L5" s="530" t="s">
        <v>747</v>
      </c>
      <c r="M5" s="537">
        <v>36200.89</v>
      </c>
      <c r="O5" s="530" t="s">
        <v>744</v>
      </c>
      <c r="P5" s="537">
        <v>41.06</v>
      </c>
      <c r="R5" s="530" t="s">
        <v>595</v>
      </c>
      <c r="S5" s="537">
        <v>45410.07</v>
      </c>
      <c r="U5" s="530" t="s">
        <v>595</v>
      </c>
      <c r="V5" s="537">
        <v>2002772.59</v>
      </c>
      <c r="X5" s="528" t="s">
        <v>24</v>
      </c>
      <c r="Y5" s="806">
        <v>22438</v>
      </c>
      <c r="Z5" s="733">
        <f>+Y5/Y7</f>
        <v>0.033431421483539815</v>
      </c>
      <c r="AB5" s="530" t="s">
        <v>749</v>
      </c>
      <c r="AC5" s="537"/>
      <c r="AD5" s="537"/>
      <c r="AE5" s="537">
        <v>287.52</v>
      </c>
      <c r="AF5" s="559"/>
      <c r="AG5" s="559"/>
      <c r="AH5" s="530" t="s">
        <v>455</v>
      </c>
      <c r="AI5" s="537">
        <v>216132.31</v>
      </c>
      <c r="AK5" s="719" t="s">
        <v>521</v>
      </c>
      <c r="AL5" s="635">
        <v>77052</v>
      </c>
      <c r="AM5" s="680">
        <v>8514278</v>
      </c>
      <c r="AN5" s="635">
        <f>ROUND(AM5*$AN$3,2)</f>
        <v>1970357.39</v>
      </c>
      <c r="AO5" s="950" t="s">
        <v>567</v>
      </c>
      <c r="AQ5" s="624" t="s">
        <v>577</v>
      </c>
      <c r="AR5" s="555">
        <v>178055.3482651391</v>
      </c>
      <c r="AS5" s="537">
        <v>41205.21680051496</v>
      </c>
      <c r="AU5" s="624"/>
      <c r="AV5" s="555"/>
      <c r="AW5" s="537"/>
      <c r="AX5" s="537"/>
      <c r="AY5" s="624" t="s">
        <v>901</v>
      </c>
      <c r="AZ5" s="537">
        <v>197434.96461758728</v>
      </c>
      <c r="BA5" s="537">
        <v>45690.00931640354</v>
      </c>
      <c r="BC5" s="716" t="s">
        <v>657</v>
      </c>
      <c r="BD5" s="635">
        <v>327414.780069455</v>
      </c>
      <c r="BE5" s="635">
        <v>75769.68132608582</v>
      </c>
      <c r="BG5" s="684" t="s">
        <v>659</v>
      </c>
      <c r="BH5" s="555"/>
      <c r="BI5" s="555"/>
      <c r="BJ5" s="555"/>
      <c r="BK5" s="555"/>
      <c r="BL5" s="555"/>
      <c r="BN5" s="530" t="s">
        <v>749</v>
      </c>
      <c r="BO5" s="537">
        <v>37056.96</v>
      </c>
    </row>
    <row r="6" spans="1:67" ht="15">
      <c r="A6" s="741" t="s">
        <v>524</v>
      </c>
      <c r="B6" s="741" t="s">
        <v>716</v>
      </c>
      <c r="C6" s="742">
        <f>G49</f>
        <v>4246032</v>
      </c>
      <c r="D6" s="674">
        <f>SUM(C6)</f>
        <v>4246032</v>
      </c>
      <c r="F6" s="530" t="s">
        <v>747</v>
      </c>
      <c r="G6" s="537">
        <v>1356867.72</v>
      </c>
      <c r="I6" s="530" t="s">
        <v>596</v>
      </c>
      <c r="J6" s="538">
        <v>9306</v>
      </c>
      <c r="L6" s="530" t="s">
        <v>596</v>
      </c>
      <c r="M6" s="537">
        <v>6514.94</v>
      </c>
      <c r="O6" s="530" t="s">
        <v>745</v>
      </c>
      <c r="P6" s="537">
        <v>50018.43</v>
      </c>
      <c r="R6" s="530" t="s">
        <v>624</v>
      </c>
      <c r="S6" s="537">
        <v>-95728.34000000017</v>
      </c>
      <c r="U6" s="530" t="s">
        <v>747</v>
      </c>
      <c r="V6" s="537">
        <v>5600.76</v>
      </c>
      <c r="X6" s="528" t="s">
        <v>43</v>
      </c>
      <c r="Y6" s="806">
        <v>226389</v>
      </c>
      <c r="Z6" s="733">
        <f>+Y6/Y7</f>
        <v>0.3373075175254967</v>
      </c>
      <c r="AB6" s="530" t="s">
        <v>747</v>
      </c>
      <c r="AC6" s="537"/>
      <c r="AD6" s="537"/>
      <c r="AE6" s="537">
        <v>199.43</v>
      </c>
      <c r="AF6" s="559"/>
      <c r="AG6" s="559"/>
      <c r="AH6" s="530" t="s">
        <v>456</v>
      </c>
      <c r="AI6" s="537">
        <v>195403.43</v>
      </c>
      <c r="AK6" s="719" t="s">
        <v>522</v>
      </c>
      <c r="AL6" s="635">
        <v>69139</v>
      </c>
      <c r="AM6" s="680">
        <v>3603639</v>
      </c>
      <c r="AN6" s="635">
        <f>ROUND(AM6*$AN$3,2)</f>
        <v>833947.02</v>
      </c>
      <c r="AO6" s="950" t="s">
        <v>567</v>
      </c>
      <c r="AQ6" s="624" t="s">
        <v>651</v>
      </c>
      <c r="AR6" s="555">
        <v>38906.924205880554</v>
      </c>
      <c r="AS6" s="537">
        <v>9003.763507048727</v>
      </c>
      <c r="AU6" s="624"/>
      <c r="AV6" s="555"/>
      <c r="AW6" s="537"/>
      <c r="AX6" s="537"/>
      <c r="AY6" s="624" t="s">
        <v>739</v>
      </c>
      <c r="AZ6" s="537">
        <v>100508.64137812608</v>
      </c>
      <c r="BA6" s="537">
        <v>23259.51115011658</v>
      </c>
      <c r="BC6" s="716" t="s">
        <v>564</v>
      </c>
      <c r="BD6" s="635">
        <v>85969.63226022062</v>
      </c>
      <c r="BE6" s="635">
        <v>19894.922393839097</v>
      </c>
      <c r="BG6" s="636" t="s">
        <v>539</v>
      </c>
      <c r="BH6" s="961">
        <f>38517680.95+10480857.86-2570</f>
        <v>48995968.81</v>
      </c>
      <c r="BI6" s="959">
        <f>2707166.08+972</f>
        <v>2708138.08</v>
      </c>
      <c r="BJ6" s="961">
        <f>17292515.33+911378.94-1955</f>
        <v>18201939.27</v>
      </c>
      <c r="BK6" s="959">
        <f>503171.29+95835.33</f>
        <v>599006.62</v>
      </c>
      <c r="BL6" s="959">
        <f>SUM(BH6:BK6)</f>
        <v>70505052.78</v>
      </c>
      <c r="BM6" s="555"/>
      <c r="BN6" s="530" t="s">
        <v>595</v>
      </c>
      <c r="BO6" s="537">
        <v>2053291.8900000001</v>
      </c>
    </row>
    <row r="7" spans="1:67" ht="15.75" thickBot="1">
      <c r="A7" s="573" t="s">
        <v>428</v>
      </c>
      <c r="B7" s="573" t="s">
        <v>76</v>
      </c>
      <c r="C7" s="671">
        <v>11039986.129999999</v>
      </c>
      <c r="F7" s="530" t="s">
        <v>744</v>
      </c>
      <c r="G7" s="537">
        <v>85899.06000000001</v>
      </c>
      <c r="I7" s="530" t="s">
        <v>597</v>
      </c>
      <c r="J7" s="538">
        <v>9173.35</v>
      </c>
      <c r="L7" s="530" t="s">
        <v>597</v>
      </c>
      <c r="M7" s="537">
        <v>63261.270000000004</v>
      </c>
      <c r="O7" s="530" t="s">
        <v>746</v>
      </c>
      <c r="P7" s="537">
        <v>7400.23</v>
      </c>
      <c r="R7" s="530" t="s">
        <v>596</v>
      </c>
      <c r="S7" s="537">
        <v>384686.7</v>
      </c>
      <c r="U7" s="530" t="s">
        <v>596</v>
      </c>
      <c r="V7" s="537">
        <v>16508.95</v>
      </c>
      <c r="X7" s="528" t="s">
        <v>558</v>
      </c>
      <c r="Y7" s="807">
        <f>SUM(Y4:Y6)</f>
        <v>671165</v>
      </c>
      <c r="Z7" s="734">
        <f>SUM(Z4:Z6)</f>
        <v>1</v>
      </c>
      <c r="AB7" s="530" t="s">
        <v>744</v>
      </c>
      <c r="AC7" s="537"/>
      <c r="AD7" s="537"/>
      <c r="AE7" s="537">
        <v>115.25</v>
      </c>
      <c r="AF7" s="559"/>
      <c r="AG7" s="559"/>
      <c r="AH7" s="530" t="s">
        <v>457</v>
      </c>
      <c r="AI7" s="537">
        <v>57617.59</v>
      </c>
      <c r="AK7" s="719" t="s">
        <v>523</v>
      </c>
      <c r="AL7" s="635">
        <v>344947</v>
      </c>
      <c r="AM7" s="680">
        <v>14232548</v>
      </c>
      <c r="AN7" s="537">
        <f>ROUND(AM7*$AN$3,2)+26.03</f>
        <v>3293694.1599999997</v>
      </c>
      <c r="AO7" s="950" t="s">
        <v>567</v>
      </c>
      <c r="AQ7" s="624" t="s">
        <v>578</v>
      </c>
      <c r="AR7" s="555">
        <v>566683.2997042259</v>
      </c>
      <c r="AS7" s="537">
        <v>131140.72926792005</v>
      </c>
      <c r="AU7" s="624"/>
      <c r="AV7" s="555"/>
      <c r="AW7" s="537"/>
      <c r="AX7" s="537"/>
      <c r="AY7" s="624" t="s">
        <v>740</v>
      </c>
      <c r="AZ7" s="537">
        <v>203596.68771191436</v>
      </c>
      <c r="BA7" s="537">
        <v>47115.94309733338</v>
      </c>
      <c r="BC7" s="716" t="s">
        <v>918</v>
      </c>
      <c r="BD7" s="635">
        <v>188156.90775870415</v>
      </c>
      <c r="BE7" s="635">
        <v>43542.89973456442</v>
      </c>
      <c r="BG7" s="636" t="s">
        <v>540</v>
      </c>
      <c r="BH7" s="961">
        <f>4233205.12+1231.55+10974</f>
        <v>4245410.67</v>
      </c>
      <c r="BI7" s="959">
        <v>5065.32</v>
      </c>
      <c r="BJ7" s="959">
        <f>1859033.78+14162.7979+14299</f>
        <v>1887495.5779</v>
      </c>
      <c r="BK7" s="959">
        <v>20937.86</v>
      </c>
      <c r="BL7" s="959">
        <f>SUM(BH7:BK7)</f>
        <v>6158909.4279000005</v>
      </c>
      <c r="BN7" s="530" t="s">
        <v>963</v>
      </c>
      <c r="BO7" s="537">
        <v>233139.46</v>
      </c>
    </row>
    <row r="8" spans="1:67" ht="13.5" thickTop="1">
      <c r="A8" s="573" t="s">
        <v>451</v>
      </c>
      <c r="B8" s="573" t="s">
        <v>77</v>
      </c>
      <c r="C8" s="833">
        <v>185870</v>
      </c>
      <c r="F8" s="530" t="s">
        <v>745</v>
      </c>
      <c r="G8" s="537">
        <v>43563.84999999999</v>
      </c>
      <c r="I8" s="530" t="s">
        <v>598</v>
      </c>
      <c r="J8" s="538">
        <v>-5172.96</v>
      </c>
      <c r="L8" s="530" t="s">
        <v>601</v>
      </c>
      <c r="M8" s="537">
        <v>6177.169999999999</v>
      </c>
      <c r="O8" s="530" t="s">
        <v>596</v>
      </c>
      <c r="P8" s="537">
        <v>2750.65</v>
      </c>
      <c r="R8" s="530" t="s">
        <v>597</v>
      </c>
      <c r="S8" s="537">
        <v>92827.6</v>
      </c>
      <c r="U8" s="530" t="s">
        <v>597</v>
      </c>
      <c r="V8" s="537">
        <v>11490.86</v>
      </c>
      <c r="Y8" s="592"/>
      <c r="AB8" s="530" t="s">
        <v>745</v>
      </c>
      <c r="AC8" s="537"/>
      <c r="AD8" s="537"/>
      <c r="AE8" s="537">
        <v>5447.849999999999</v>
      </c>
      <c r="AF8" s="559"/>
      <c r="AG8" s="559"/>
      <c r="AH8" s="530" t="s">
        <v>458</v>
      </c>
      <c r="AI8" s="537">
        <v>208298.73</v>
      </c>
      <c r="AK8" s="719" t="s">
        <v>524</v>
      </c>
      <c r="AL8" s="680">
        <v>554716</v>
      </c>
      <c r="AM8" s="538">
        <v>13730955.67</v>
      </c>
      <c r="AN8" s="538">
        <f>ROUND(AM8*$AN$3,2)</f>
        <v>3177590.62</v>
      </c>
      <c r="AO8" s="950" t="s">
        <v>567</v>
      </c>
      <c r="AQ8" s="624" t="s">
        <v>579</v>
      </c>
      <c r="AR8" s="555">
        <v>156407.17362093567</v>
      </c>
      <c r="AS8" s="537">
        <v>36195.439008153866</v>
      </c>
      <c r="AU8" s="624"/>
      <c r="AV8" s="555"/>
      <c r="AW8" s="537"/>
      <c r="AX8" s="537"/>
      <c r="AY8" s="624" t="s">
        <v>741</v>
      </c>
      <c r="AZ8" s="537">
        <v>136650.12565971096</v>
      </c>
      <c r="BA8" s="537">
        <v>31623.30201528925</v>
      </c>
      <c r="BC8" s="716" t="s">
        <v>570</v>
      </c>
      <c r="BD8" s="635">
        <v>211936.70260214465</v>
      </c>
      <c r="BE8" s="635">
        <v>49045.97286066144</v>
      </c>
      <c r="BG8" s="636" t="s">
        <v>541</v>
      </c>
      <c r="BH8" s="961">
        <f>624672.4+186108.78+5053591.49+166717.83-803318</f>
        <v>5227772.5</v>
      </c>
      <c r="BI8" s="959">
        <f>126.72+19678.11+131055.51</f>
        <v>150860.34</v>
      </c>
      <c r="BJ8" s="959">
        <f>93428.34+43849.41+2656893.22+1917255.09-212638</f>
        <v>4498788.0600000005</v>
      </c>
      <c r="BK8" s="961">
        <f>2658.01+20154.47+30062.06+4687.31+1861.68+16692.54</f>
        <v>76116.07</v>
      </c>
      <c r="BL8" s="959">
        <f aca="true" t="shared" si="0" ref="BL8:BL13">SUM(BH8:BK8)</f>
        <v>9953536.97</v>
      </c>
      <c r="BM8" s="537"/>
      <c r="BN8" s="530" t="s">
        <v>720</v>
      </c>
      <c r="BO8" s="537">
        <v>2139394.3300000005</v>
      </c>
    </row>
    <row r="9" spans="1:67" ht="12.75">
      <c r="A9" s="573" t="s">
        <v>429</v>
      </c>
      <c r="B9" s="573" t="s">
        <v>717</v>
      </c>
      <c r="C9" s="671">
        <v>1649952</v>
      </c>
      <c r="F9" s="530" t="s">
        <v>746</v>
      </c>
      <c r="G9" s="537">
        <v>9874.960000000001</v>
      </c>
      <c r="I9" s="530" t="s">
        <v>599</v>
      </c>
      <c r="J9" s="538">
        <v>102.75999999999999</v>
      </c>
      <c r="L9" s="530" t="s">
        <v>604</v>
      </c>
      <c r="M9" s="537">
        <v>39961</v>
      </c>
      <c r="O9" s="530" t="s">
        <v>598</v>
      </c>
      <c r="P9" s="537">
        <v>-8525</v>
      </c>
      <c r="R9" s="530" t="s">
        <v>599</v>
      </c>
      <c r="S9" s="537">
        <v>25172.38</v>
      </c>
      <c r="U9" s="530" t="s">
        <v>598</v>
      </c>
      <c r="V9" s="537">
        <v>1006531.1</v>
      </c>
      <c r="Y9" s="592"/>
      <c r="AB9" s="530" t="s">
        <v>596</v>
      </c>
      <c r="AC9" s="537"/>
      <c r="AD9" s="537"/>
      <c r="AE9" s="537">
        <v>18551.099999999995</v>
      </c>
      <c r="AF9" s="559"/>
      <c r="AG9" s="559"/>
      <c r="AH9" s="530" t="s">
        <v>459</v>
      </c>
      <c r="AI9" s="537">
        <v>42342.66</v>
      </c>
      <c r="AK9" s="738" t="s">
        <v>713</v>
      </c>
      <c r="AL9" s="755">
        <v>43203</v>
      </c>
      <c r="AM9" s="756">
        <f>AR62</f>
        <v>2692431.6819981486</v>
      </c>
      <c r="AN9" s="755">
        <f>AS62</f>
        <v>623077.2187314851</v>
      </c>
      <c r="AO9" s="950" t="s">
        <v>567</v>
      </c>
      <c r="AQ9" s="624" t="s">
        <v>706</v>
      </c>
      <c r="AR9" s="555">
        <v>235443.5633112444</v>
      </c>
      <c r="AS9" s="537">
        <v>54485.884108795515</v>
      </c>
      <c r="AU9" s="624"/>
      <c r="AV9" s="555"/>
      <c r="AW9" s="537"/>
      <c r="AX9" s="537"/>
      <c r="AY9" s="624" t="s">
        <v>634</v>
      </c>
      <c r="AZ9" s="537">
        <v>130310.04430773336</v>
      </c>
      <c r="BA9" s="537">
        <v>30156.092918867587</v>
      </c>
      <c r="BC9" s="716" t="s">
        <v>565</v>
      </c>
      <c r="BD9" s="635">
        <v>824268.802507468</v>
      </c>
      <c r="BE9" s="635">
        <v>190750.65725431405</v>
      </c>
      <c r="BG9" s="636" t="s">
        <v>662</v>
      </c>
      <c r="BH9" s="961">
        <f>1271058.02+681.05+6623</f>
        <v>1278362.07</v>
      </c>
      <c r="BI9" s="959">
        <f>110461.86+44</f>
        <v>110505.86</v>
      </c>
      <c r="BJ9" s="959">
        <f>276582.31+7832.03+561</f>
        <v>284975.34</v>
      </c>
      <c r="BK9" s="959">
        <f>-60+373.14</f>
        <v>313.14</v>
      </c>
      <c r="BL9" s="959">
        <f t="shared" si="0"/>
        <v>1674156.4100000001</v>
      </c>
      <c r="BN9" s="530" t="s">
        <v>877</v>
      </c>
      <c r="BO9" s="537">
        <v>19589437.899999946</v>
      </c>
    </row>
    <row r="10" spans="1:69" ht="15" customHeight="1">
      <c r="A10" s="724" t="s">
        <v>718</v>
      </c>
      <c r="B10" s="724" t="s">
        <v>719</v>
      </c>
      <c r="C10" s="833">
        <v>214397</v>
      </c>
      <c r="F10" s="530" t="s">
        <v>596</v>
      </c>
      <c r="G10" s="537">
        <v>282339.94000000006</v>
      </c>
      <c r="I10" s="530" t="s">
        <v>600</v>
      </c>
      <c r="J10" s="538">
        <v>98963.43000000001</v>
      </c>
      <c r="L10" s="530" t="s">
        <v>606</v>
      </c>
      <c r="M10" s="537">
        <v>20861.78</v>
      </c>
      <c r="O10" s="530" t="s">
        <v>623</v>
      </c>
      <c r="P10" s="537">
        <v>12539.21</v>
      </c>
      <c r="R10" s="530" t="s">
        <v>601</v>
      </c>
      <c r="S10" s="537">
        <v>1905392.94</v>
      </c>
      <c r="U10" s="530" t="s">
        <v>599</v>
      </c>
      <c r="V10" s="537">
        <v>1982.71</v>
      </c>
      <c r="X10" s="810" t="s">
        <v>763</v>
      </c>
      <c r="Y10" s="811" t="s">
        <v>759</v>
      </c>
      <c r="Z10" s="811" t="s">
        <v>762</v>
      </c>
      <c r="AB10" s="530" t="s">
        <v>597</v>
      </c>
      <c r="AC10" s="537"/>
      <c r="AD10" s="537"/>
      <c r="AE10" s="537">
        <v>98435.73</v>
      </c>
      <c r="AF10" s="559"/>
      <c r="AG10" s="559"/>
      <c r="AH10" s="530" t="s">
        <v>460</v>
      </c>
      <c r="AI10" s="537">
        <v>37423.58</v>
      </c>
      <c r="AK10" s="719" t="s">
        <v>525</v>
      </c>
      <c r="AL10" s="635">
        <v>30059</v>
      </c>
      <c r="AM10" s="680">
        <v>2416122</v>
      </c>
      <c r="AN10" s="537">
        <f aca="true" t="shared" si="1" ref="AN10:AN20">ROUND(AM10*$AN$3,2)</f>
        <v>559134.18</v>
      </c>
      <c r="AO10" s="950" t="s">
        <v>568</v>
      </c>
      <c r="AQ10" s="624" t="s">
        <v>696</v>
      </c>
      <c r="AR10" s="555">
        <v>57666.94179003877</v>
      </c>
      <c r="AS10" s="537">
        <v>13345.16970050738</v>
      </c>
      <c r="AU10" s="624"/>
      <c r="AV10" s="555"/>
      <c r="AW10" s="537"/>
      <c r="AX10" s="537"/>
      <c r="AY10" s="624" t="s">
        <v>635</v>
      </c>
      <c r="AZ10" s="537">
        <v>784670.6937022924</v>
      </c>
      <c r="BA10" s="537">
        <v>181586.94117330087</v>
      </c>
      <c r="BC10" s="716" t="s">
        <v>628</v>
      </c>
      <c r="BD10" s="635">
        <v>28249.965696708758</v>
      </c>
      <c r="BE10" s="635">
        <v>6537.551230455792</v>
      </c>
      <c r="BG10" s="636" t="s">
        <v>663</v>
      </c>
      <c r="BH10" s="961">
        <f>8726.69+486.21</f>
        <v>9212.9</v>
      </c>
      <c r="BI10" s="959">
        <v>162.07</v>
      </c>
      <c r="BJ10" s="959">
        <f>5731.01+5591.45</f>
        <v>11322.46</v>
      </c>
      <c r="BK10" s="959">
        <v>0</v>
      </c>
      <c r="BL10" s="959">
        <f t="shared" si="0"/>
        <v>20697.43</v>
      </c>
      <c r="BM10" s="537"/>
      <c r="BN10" s="530" t="s">
        <v>624</v>
      </c>
      <c r="BO10" s="537">
        <v>-95728.34000000035</v>
      </c>
      <c r="BP10" s="493"/>
      <c r="BQ10" s="493"/>
    </row>
    <row r="11" spans="1:69" ht="15">
      <c r="A11" s="724" t="s">
        <v>418</v>
      </c>
      <c r="B11" s="724" t="s">
        <v>411</v>
      </c>
      <c r="C11" s="671">
        <v>17614776</v>
      </c>
      <c r="D11" s="834"/>
      <c r="E11" s="720"/>
      <c r="F11" s="530" t="s">
        <v>597</v>
      </c>
      <c r="G11" s="537">
        <v>260410.19999999998</v>
      </c>
      <c r="I11" s="530" t="s">
        <v>601</v>
      </c>
      <c r="J11" s="538">
        <v>3259.32</v>
      </c>
      <c r="L11" s="530" t="s">
        <v>607</v>
      </c>
      <c r="M11" s="537">
        <v>51924.53</v>
      </c>
      <c r="O11" s="530" t="s">
        <v>601</v>
      </c>
      <c r="P11" s="537">
        <v>27.85</v>
      </c>
      <c r="R11" s="530" t="s">
        <v>604</v>
      </c>
      <c r="S11" s="537">
        <v>31311</v>
      </c>
      <c r="U11" s="530" t="s">
        <v>623</v>
      </c>
      <c r="V11" s="537">
        <v>20318.52</v>
      </c>
      <c r="X11" s="534" t="s">
        <v>537</v>
      </c>
      <c r="Y11" s="814">
        <v>7846</v>
      </c>
      <c r="Z11" s="815">
        <f>+Y11/Y13</f>
        <v>0.07868109387378534</v>
      </c>
      <c r="AB11" s="530" t="s">
        <v>623</v>
      </c>
      <c r="AC11" s="537">
        <v>0</v>
      </c>
      <c r="AD11" s="537">
        <v>56162.25</v>
      </c>
      <c r="AE11" s="537">
        <v>9581.349999999999</v>
      </c>
      <c r="AF11" s="559"/>
      <c r="AG11" s="559"/>
      <c r="AH11" s="530" t="s">
        <v>461</v>
      </c>
      <c r="AI11" s="537">
        <v>46018.58</v>
      </c>
      <c r="AK11" s="719" t="s">
        <v>526</v>
      </c>
      <c r="AL11" s="635">
        <v>46681.5</v>
      </c>
      <c r="AM11" s="680">
        <v>2071716.2199684754</v>
      </c>
      <c r="AN11" s="537">
        <f t="shared" si="1"/>
        <v>479432.47</v>
      </c>
      <c r="AO11" s="950" t="s">
        <v>568</v>
      </c>
      <c r="AQ11" s="636" t="s">
        <v>988</v>
      </c>
      <c r="AR11" s="555">
        <v>24060.87671411156</v>
      </c>
      <c r="AS11" s="537">
        <v>5568.12053709896</v>
      </c>
      <c r="AU11" s="624"/>
      <c r="AV11" s="555"/>
      <c r="AW11" s="537"/>
      <c r="AY11" s="624" t="s">
        <v>646</v>
      </c>
      <c r="AZ11" s="537">
        <v>1795684.3000420851</v>
      </c>
      <c r="BA11" s="537">
        <v>415553.71186231106</v>
      </c>
      <c r="BC11" s="716" t="s">
        <v>637</v>
      </c>
      <c r="BD11" s="635">
        <v>323334.948923848</v>
      </c>
      <c r="BE11" s="635">
        <v>74825.5348654364</v>
      </c>
      <c r="BG11" s="636" t="s">
        <v>540</v>
      </c>
      <c r="BH11" s="717"/>
      <c r="BI11" s="717"/>
      <c r="BJ11" s="717"/>
      <c r="BK11" s="723">
        <v>84090</v>
      </c>
      <c r="BL11" s="1296">
        <f t="shared" si="0"/>
        <v>84090</v>
      </c>
      <c r="BN11" s="530" t="s">
        <v>747</v>
      </c>
      <c r="BO11" s="537">
        <v>1668306.6400000001</v>
      </c>
      <c r="BP11" s="495"/>
      <c r="BQ11" s="495"/>
    </row>
    <row r="12" spans="1:69" ht="15">
      <c r="A12" s="724" t="s">
        <v>422</v>
      </c>
      <c r="B12" s="724" t="s">
        <v>721</v>
      </c>
      <c r="C12" s="835">
        <f>G42</f>
        <v>2426099.326354712</v>
      </c>
      <c r="D12" s="869">
        <f>SUM(C11:C13)</f>
        <v>21454779.88401955</v>
      </c>
      <c r="E12" s="720" t="s">
        <v>887</v>
      </c>
      <c r="F12" s="530" t="s">
        <v>599</v>
      </c>
      <c r="G12" s="537">
        <v>20200.42</v>
      </c>
      <c r="I12" s="530" t="s">
        <v>604</v>
      </c>
      <c r="J12" s="538">
        <v>25113.97</v>
      </c>
      <c r="L12" s="530" t="s">
        <v>608</v>
      </c>
      <c r="M12" s="537">
        <v>751.99</v>
      </c>
      <c r="O12" s="530" t="s">
        <v>606</v>
      </c>
      <c r="P12" s="537">
        <v>12548.09</v>
      </c>
      <c r="R12" s="530" t="s">
        <v>605</v>
      </c>
      <c r="S12" s="537">
        <v>3815.41</v>
      </c>
      <c r="U12" s="530" t="s">
        <v>601</v>
      </c>
      <c r="V12" s="537">
        <v>2280.4900000000002</v>
      </c>
      <c r="X12" s="534" t="s">
        <v>764</v>
      </c>
      <c r="Y12" s="812">
        <v>91873</v>
      </c>
      <c r="Z12" s="808">
        <f>+Y12/Y13</f>
        <v>0.9213189061262147</v>
      </c>
      <c r="AB12" s="530" t="s">
        <v>601</v>
      </c>
      <c r="AC12" s="537"/>
      <c r="AD12" s="537"/>
      <c r="AE12" s="537">
        <v>653.0799999999998</v>
      </c>
      <c r="AF12" s="559"/>
      <c r="AG12" s="559"/>
      <c r="AH12" s="530" t="s">
        <v>462</v>
      </c>
      <c r="AI12" s="537">
        <v>40685.15</v>
      </c>
      <c r="AK12" s="719" t="s">
        <v>527</v>
      </c>
      <c r="AL12" s="635">
        <v>40222.14</v>
      </c>
      <c r="AM12" s="680">
        <v>1008370.87</v>
      </c>
      <c r="AN12" s="635">
        <f t="shared" si="1"/>
        <v>233355.19</v>
      </c>
      <c r="AO12" s="950" t="s">
        <v>568</v>
      </c>
      <c r="AQ12" s="636" t="s">
        <v>989</v>
      </c>
      <c r="AR12" s="555">
        <v>18854.042260973438</v>
      </c>
      <c r="AS12" s="537">
        <v>4363.165198344033</v>
      </c>
      <c r="AU12" s="551" t="s">
        <v>554</v>
      </c>
      <c r="AV12" s="692">
        <f>SUM(AV4:AV11)</f>
        <v>1008370.87</v>
      </c>
      <c r="AW12" s="692">
        <f>SUM(AW4:AW11)</f>
        <v>233355.19</v>
      </c>
      <c r="AY12" s="624" t="s">
        <v>647</v>
      </c>
      <c r="AZ12" s="537">
        <v>282290.241101949</v>
      </c>
      <c r="BA12" s="537">
        <v>65327.04969892111</v>
      </c>
      <c r="BC12" s="716" t="s">
        <v>919</v>
      </c>
      <c r="BD12" s="635">
        <v>8818.135683398159</v>
      </c>
      <c r="BE12" s="635">
        <v>2040.6755323615191</v>
      </c>
      <c r="BG12" s="1295" t="s">
        <v>660</v>
      </c>
      <c r="BH12" s="723"/>
      <c r="BI12" s="723"/>
      <c r="BJ12" s="723"/>
      <c r="BK12" s="723">
        <v>4538787.5</v>
      </c>
      <c r="BL12" s="1296">
        <f t="shared" si="0"/>
        <v>4538787.5</v>
      </c>
      <c r="BN12" s="530" t="s">
        <v>748</v>
      </c>
      <c r="BO12" s="537">
        <v>774.74</v>
      </c>
      <c r="BP12" s="739"/>
      <c r="BQ12" s="739"/>
    </row>
    <row r="13" spans="1:67" ht="15.75" thickBot="1">
      <c r="A13" s="724" t="s">
        <v>422</v>
      </c>
      <c r="B13" s="725" t="s">
        <v>720</v>
      </c>
      <c r="C13" s="835">
        <f>G43</f>
        <v>1413904.5576648382</v>
      </c>
      <c r="E13" s="720"/>
      <c r="F13" s="530" t="s">
        <v>600</v>
      </c>
      <c r="G13" s="537">
        <v>1687.25</v>
      </c>
      <c r="I13" s="530" t="s">
        <v>606</v>
      </c>
      <c r="J13" s="538">
        <v>117270.15999999997</v>
      </c>
      <c r="L13" s="530" t="s">
        <v>609</v>
      </c>
      <c r="M13" s="537">
        <v>1409.7600000000002</v>
      </c>
      <c r="O13" s="530" t="s">
        <v>607</v>
      </c>
      <c r="P13" s="537">
        <v>744.87</v>
      </c>
      <c r="R13" s="530" t="s">
        <v>608</v>
      </c>
      <c r="S13" s="537">
        <v>33870.119999999995</v>
      </c>
      <c r="U13" s="530" t="s">
        <v>602</v>
      </c>
      <c r="V13" s="537">
        <v>6959.710000000001</v>
      </c>
      <c r="X13" s="534" t="s">
        <v>765</v>
      </c>
      <c r="Y13" s="813">
        <v>99719</v>
      </c>
      <c r="Z13" s="809">
        <f>SUM(Z11:Z11)</f>
        <v>0.07868109387378534</v>
      </c>
      <c r="AB13" s="530" t="s">
        <v>604</v>
      </c>
      <c r="AC13" s="537"/>
      <c r="AD13" s="537"/>
      <c r="AE13" s="537">
        <v>40972.490000000005</v>
      </c>
      <c r="AF13" s="559"/>
      <c r="AG13" s="559"/>
      <c r="AH13" s="530" t="s">
        <v>463</v>
      </c>
      <c r="AI13" s="537">
        <v>57131.87</v>
      </c>
      <c r="AK13" s="738" t="s">
        <v>714</v>
      </c>
      <c r="AL13" s="755">
        <v>7162</v>
      </c>
      <c r="AM13" s="756">
        <f>AV13</f>
        <v>143043.68084490256</v>
      </c>
      <c r="AN13" s="756">
        <f>AW13</f>
        <v>33102.88592051168</v>
      </c>
      <c r="AO13" s="951" t="s">
        <v>568</v>
      </c>
      <c r="AQ13" s="636" t="s">
        <v>990</v>
      </c>
      <c r="AR13" s="555">
        <v>3469.1217280241226</v>
      </c>
      <c r="AS13" s="537">
        <v>802.8172941918757</v>
      </c>
      <c r="AU13" s="620" t="s">
        <v>487</v>
      </c>
      <c r="AV13" s="693">
        <f>+BD51</f>
        <v>143043.68084490256</v>
      </c>
      <c r="AW13" s="693">
        <f>+BE51</f>
        <v>33102.88592051168</v>
      </c>
      <c r="AY13" s="624" t="s">
        <v>586</v>
      </c>
      <c r="AZ13" s="537">
        <v>960146.1960518692</v>
      </c>
      <c r="BA13" s="537">
        <v>222195.1351306471</v>
      </c>
      <c r="BC13" s="716" t="s">
        <v>455</v>
      </c>
      <c r="BD13" s="635">
        <v>7287.413543973923</v>
      </c>
      <c r="BE13" s="635">
        <v>1686.438840058394</v>
      </c>
      <c r="BG13" s="1295" t="s">
        <v>542</v>
      </c>
      <c r="BH13" s="959">
        <f>9879861.92+118260+58399</f>
        <v>10056520.92</v>
      </c>
      <c r="BI13" s="959">
        <v>2192972.34</v>
      </c>
      <c r="BJ13" s="959">
        <f>4287843.46+1359987+124098</f>
        <v>5771928.46</v>
      </c>
      <c r="BK13" s="959">
        <f>5786686+1269376</f>
        <v>7056062</v>
      </c>
      <c r="BL13" s="959">
        <f t="shared" si="0"/>
        <v>25077483.72</v>
      </c>
      <c r="BN13" s="530" t="s">
        <v>744</v>
      </c>
      <c r="BO13" s="537">
        <v>85940.12</v>
      </c>
    </row>
    <row r="14" spans="1:67" ht="16.5" thickBot="1" thickTop="1">
      <c r="A14" s="728" t="s">
        <v>422</v>
      </c>
      <c r="B14" s="729" t="s">
        <v>31</v>
      </c>
      <c r="C14" s="825">
        <v>0</v>
      </c>
      <c r="D14" s="732">
        <f>SUM(C7:C14)</f>
        <v>34544985.01401955</v>
      </c>
      <c r="E14" s="720"/>
      <c r="F14" s="530" t="s">
        <v>623</v>
      </c>
      <c r="G14" s="537">
        <v>9581.349999999999</v>
      </c>
      <c r="I14" s="530" t="s">
        <v>607</v>
      </c>
      <c r="J14" s="538">
        <v>34746.1</v>
      </c>
      <c r="L14" s="530" t="s">
        <v>610</v>
      </c>
      <c r="M14" s="537">
        <v>67007.37</v>
      </c>
      <c r="O14" s="530" t="s">
        <v>609</v>
      </c>
      <c r="P14" s="537">
        <v>13221.68</v>
      </c>
      <c r="R14" s="530" t="s">
        <v>609</v>
      </c>
      <c r="S14" s="537">
        <v>63449.32</v>
      </c>
      <c r="U14" s="530" t="s">
        <v>603</v>
      </c>
      <c r="V14" s="537">
        <v>19197.5</v>
      </c>
      <c r="AB14" s="530" t="s">
        <v>605</v>
      </c>
      <c r="AC14" s="537"/>
      <c r="AD14" s="537"/>
      <c r="AE14" s="537">
        <v>750</v>
      </c>
      <c r="AF14" s="559"/>
      <c r="AG14" s="559"/>
      <c r="AH14" s="530" t="s">
        <v>464</v>
      </c>
      <c r="AI14" s="537">
        <v>33612.51</v>
      </c>
      <c r="AK14" s="719" t="s">
        <v>528</v>
      </c>
      <c r="AL14" s="680">
        <v>58642.5</v>
      </c>
      <c r="AM14" s="680">
        <v>2252012.599549003</v>
      </c>
      <c r="AN14" s="680">
        <f t="shared" si="1"/>
        <v>521156.31</v>
      </c>
      <c r="AO14" s="950" t="s">
        <v>569</v>
      </c>
      <c r="AQ14" s="636" t="s">
        <v>991</v>
      </c>
      <c r="AR14" s="555">
        <v>12754.765101547278</v>
      </c>
      <c r="AS14" s="537">
        <v>2951.6825322555956</v>
      </c>
      <c r="AU14" s="551" t="s">
        <v>562</v>
      </c>
      <c r="AV14" s="672">
        <f>+AV12+AV13</f>
        <v>1151414.5508449026</v>
      </c>
      <c r="AW14" s="672">
        <f>+AW12+AW13</f>
        <v>266458.0759205117</v>
      </c>
      <c r="AY14" s="624" t="s">
        <v>742</v>
      </c>
      <c r="AZ14" s="537">
        <v>13971.964752217837</v>
      </c>
      <c r="BA14" s="537">
        <v>3233.3644698332664</v>
      </c>
      <c r="BC14" s="716" t="s">
        <v>458</v>
      </c>
      <c r="BD14" s="635">
        <v>47303.53229052319</v>
      </c>
      <c r="BE14" s="635">
        <v>10946.889955581222</v>
      </c>
      <c r="BG14" s="1295" t="s">
        <v>543</v>
      </c>
      <c r="BH14" s="960"/>
      <c r="BI14" s="960"/>
      <c r="BJ14" s="960"/>
      <c r="BK14" s="960">
        <v>3163113</v>
      </c>
      <c r="BL14" s="960">
        <f aca="true" t="shared" si="2" ref="BL14:BL20">SUM(BH14:BK14)</f>
        <v>3163113</v>
      </c>
      <c r="BN14" s="530" t="s">
        <v>745</v>
      </c>
      <c r="BO14" s="537">
        <v>93582.28</v>
      </c>
    </row>
    <row r="15" spans="1:69" ht="15">
      <c r="A15" s="743" t="s">
        <v>527</v>
      </c>
      <c r="B15" s="743" t="s">
        <v>722</v>
      </c>
      <c r="C15" s="742">
        <f>J47</f>
        <v>437.47</v>
      </c>
      <c r="D15" s="720">
        <f>+C15</f>
        <v>437.47</v>
      </c>
      <c r="E15" s="720"/>
      <c r="F15" s="530" t="s">
        <v>601</v>
      </c>
      <c r="G15" s="537">
        <v>1368413</v>
      </c>
      <c r="I15" s="530" t="s">
        <v>608</v>
      </c>
      <c r="J15" s="538">
        <v>626.14</v>
      </c>
      <c r="L15" s="530" t="s">
        <v>611</v>
      </c>
      <c r="M15" s="537">
        <v>4256.03</v>
      </c>
      <c r="O15" s="530" t="s">
        <v>610</v>
      </c>
      <c r="P15" s="537">
        <v>11190.95</v>
      </c>
      <c r="R15" s="530" t="s">
        <v>610</v>
      </c>
      <c r="S15" s="537">
        <v>4998214.180000002</v>
      </c>
      <c r="U15" s="530" t="s">
        <v>604</v>
      </c>
      <c r="V15" s="537">
        <v>24026.32</v>
      </c>
      <c r="AB15" s="530" t="s">
        <v>606</v>
      </c>
      <c r="AC15" s="537"/>
      <c r="AD15" s="537"/>
      <c r="AE15" s="537">
        <v>19103.849999999995</v>
      </c>
      <c r="AF15" s="559"/>
      <c r="AG15" s="559"/>
      <c r="AH15" s="530" t="s">
        <v>465</v>
      </c>
      <c r="AI15" s="537">
        <v>61093.84</v>
      </c>
      <c r="AK15" s="719" t="s">
        <v>529</v>
      </c>
      <c r="AL15" s="680">
        <v>302308</v>
      </c>
      <c r="AM15" s="680">
        <v>10692256</v>
      </c>
      <c r="AN15" s="680">
        <f t="shared" si="1"/>
        <v>2474380.75</v>
      </c>
      <c r="AO15" s="950" t="s">
        <v>569</v>
      </c>
      <c r="AQ15" s="636" t="s">
        <v>992</v>
      </c>
      <c r="AR15" s="555">
        <v>63347.437328267195</v>
      </c>
      <c r="AS15" s="537">
        <v>14659.73875146628</v>
      </c>
      <c r="AY15" s="624" t="s">
        <v>743</v>
      </c>
      <c r="AZ15" s="537">
        <v>16615.68972235445</v>
      </c>
      <c r="BA15" s="537">
        <v>3845.1700775659847</v>
      </c>
      <c r="BC15" s="716" t="s">
        <v>460</v>
      </c>
      <c r="BD15" s="635">
        <v>151066.34748915554</v>
      </c>
      <c r="BE15" s="635">
        <v>34959.47557993854</v>
      </c>
      <c r="BG15" s="1295" t="s">
        <v>544</v>
      </c>
      <c r="BH15" s="960"/>
      <c r="BI15" s="960"/>
      <c r="BJ15" s="960"/>
      <c r="BK15" s="961">
        <v>0</v>
      </c>
      <c r="BL15" s="960">
        <f t="shared" si="2"/>
        <v>0</v>
      </c>
      <c r="BN15" s="530" t="s">
        <v>746</v>
      </c>
      <c r="BO15" s="537">
        <v>17275.19</v>
      </c>
      <c r="BP15" s="555"/>
      <c r="BQ15" s="555"/>
    </row>
    <row r="16" spans="1:69" ht="15">
      <c r="A16" s="573" t="s">
        <v>430</v>
      </c>
      <c r="B16" s="573" t="s">
        <v>222</v>
      </c>
      <c r="C16" s="671">
        <v>215080</v>
      </c>
      <c r="F16" s="530" t="s">
        <v>602</v>
      </c>
      <c r="G16" s="537">
        <v>94.42</v>
      </c>
      <c r="I16" s="530" t="s">
        <v>609</v>
      </c>
      <c r="J16" s="538">
        <v>636.75</v>
      </c>
      <c r="L16" s="530" t="s">
        <v>612</v>
      </c>
      <c r="M16" s="537">
        <v>8653.2</v>
      </c>
      <c r="O16" s="530" t="s">
        <v>611</v>
      </c>
      <c r="P16" s="537">
        <v>1647.21</v>
      </c>
      <c r="R16" s="530" t="s">
        <v>612</v>
      </c>
      <c r="S16" s="537">
        <f>-10723.85+1644+10</f>
        <v>-9069.85</v>
      </c>
      <c r="U16" s="530" t="s">
        <v>605</v>
      </c>
      <c r="V16" s="537">
        <v>10408.94</v>
      </c>
      <c r="X16" s="566"/>
      <c r="Y16" s="547"/>
      <c r="Z16" s="547"/>
      <c r="AB16" s="530" t="s">
        <v>607</v>
      </c>
      <c r="AC16" s="537"/>
      <c r="AD16" s="537"/>
      <c r="AE16" s="537">
        <v>3278</v>
      </c>
      <c r="AF16" s="559"/>
      <c r="AG16" s="559"/>
      <c r="AH16" s="530" t="s">
        <v>466</v>
      </c>
      <c r="AI16" s="537">
        <v>194644.32</v>
      </c>
      <c r="AK16" s="719" t="s">
        <v>530</v>
      </c>
      <c r="AL16" s="635">
        <v>88644.07560000001</v>
      </c>
      <c r="AM16" s="680">
        <v>4832877.658481459</v>
      </c>
      <c r="AN16" s="635">
        <f t="shared" si="1"/>
        <v>1118415</v>
      </c>
      <c r="AO16" s="950" t="s">
        <v>569</v>
      </c>
      <c r="AQ16" s="636" t="s">
        <v>993</v>
      </c>
      <c r="AR16" s="555">
        <v>5171.257006677453</v>
      </c>
      <c r="AS16" s="537">
        <v>1196.7220764075487</v>
      </c>
      <c r="AY16" s="624" t="s">
        <v>636</v>
      </c>
      <c r="AZ16" s="537">
        <v>124704.23134162468</v>
      </c>
      <c r="BA16" s="537">
        <v>28858.8067611517</v>
      </c>
      <c r="BC16" s="716" t="s">
        <v>461</v>
      </c>
      <c r="BD16" s="635">
        <v>8207.28596039234</v>
      </c>
      <c r="BE16" s="635">
        <v>1899.3138967002924</v>
      </c>
      <c r="BG16" s="1295" t="s">
        <v>545</v>
      </c>
      <c r="BH16" s="959">
        <v>13234603.02</v>
      </c>
      <c r="BI16" s="959">
        <v>108553.43</v>
      </c>
      <c r="BJ16" s="959">
        <v>267823.61</v>
      </c>
      <c r="BK16" s="959">
        <v>23832</v>
      </c>
      <c r="BL16" s="959">
        <f t="shared" si="2"/>
        <v>13634812.059999999</v>
      </c>
      <c r="BN16" s="530" t="s">
        <v>596</v>
      </c>
      <c r="BO16" s="537">
        <v>702107.1799999999</v>
      </c>
      <c r="BP16" s="739"/>
      <c r="BQ16" s="739"/>
    </row>
    <row r="17" spans="1:67" ht="15">
      <c r="A17" s="573" t="s">
        <v>452</v>
      </c>
      <c r="B17" s="573" t="s">
        <v>77</v>
      </c>
      <c r="C17" s="1304">
        <v>36561</v>
      </c>
      <c r="F17" s="530" t="s">
        <v>604</v>
      </c>
      <c r="G17" s="537">
        <v>132762.38</v>
      </c>
      <c r="I17" s="530" t="s">
        <v>610</v>
      </c>
      <c r="J17" s="538">
        <v>7653.86</v>
      </c>
      <c r="L17" s="530" t="s">
        <v>613</v>
      </c>
      <c r="M17" s="537">
        <v>4347.95</v>
      </c>
      <c r="O17" s="530" t="s">
        <v>612</v>
      </c>
      <c r="P17" s="537">
        <v>-17628.520000000004</v>
      </c>
      <c r="R17" s="530" t="s">
        <v>614</v>
      </c>
      <c r="S17" s="537">
        <v>33796.72</v>
      </c>
      <c r="U17" s="530" t="s">
        <v>606</v>
      </c>
      <c r="V17" s="537">
        <v>16141.02</v>
      </c>
      <c r="X17" s="662"/>
      <c r="Y17" s="663"/>
      <c r="Z17" s="664"/>
      <c r="AB17" s="530" t="s">
        <v>608</v>
      </c>
      <c r="AC17" s="537"/>
      <c r="AD17" s="537"/>
      <c r="AE17" s="537">
        <v>664</v>
      </c>
      <c r="AF17" s="559"/>
      <c r="AG17" s="559"/>
      <c r="AH17" s="530" t="s">
        <v>571</v>
      </c>
      <c r="AI17" s="537">
        <v>24640.87</v>
      </c>
      <c r="AK17" s="738" t="s">
        <v>715</v>
      </c>
      <c r="AL17" s="755">
        <v>23392</v>
      </c>
      <c r="AM17" s="756">
        <f>BD52</f>
        <v>1443244.3115605956</v>
      </c>
      <c r="AN17" s="756">
        <f>BE52</f>
        <v>333992.7462634245</v>
      </c>
      <c r="AO17" s="950" t="s">
        <v>569</v>
      </c>
      <c r="AQ17" s="624" t="s">
        <v>656</v>
      </c>
      <c r="AR17" s="555">
        <v>33296.481160824</v>
      </c>
      <c r="AS17" s="537">
        <v>7705.405865613262</v>
      </c>
      <c r="AX17" s="537"/>
      <c r="AY17" s="624"/>
      <c r="AZ17" s="537"/>
      <c r="BA17" s="537"/>
      <c r="BC17" s="716" t="s">
        <v>462</v>
      </c>
      <c r="BD17" s="635">
        <v>12145.709283588347</v>
      </c>
      <c r="BE17" s="635">
        <v>2810.7360385549837</v>
      </c>
      <c r="BG17" s="1295" t="s">
        <v>546</v>
      </c>
      <c r="BH17" s="723"/>
      <c r="BI17" s="723"/>
      <c r="BJ17" s="723"/>
      <c r="BK17" s="723">
        <v>749022.74</v>
      </c>
      <c r="BL17" s="723">
        <f t="shared" si="2"/>
        <v>749022.74</v>
      </c>
      <c r="BN17" s="530" t="s">
        <v>597</v>
      </c>
      <c r="BO17" s="537">
        <v>437163.27999999997</v>
      </c>
    </row>
    <row r="18" spans="1:67" ht="15">
      <c r="A18" s="573" t="s">
        <v>431</v>
      </c>
      <c r="B18" s="573" t="s">
        <v>723</v>
      </c>
      <c r="C18" s="671">
        <v>245733</v>
      </c>
      <c r="F18" s="530" t="s">
        <v>605</v>
      </c>
      <c r="G18" s="537">
        <v>2145</v>
      </c>
      <c r="I18" s="530" t="s">
        <v>611</v>
      </c>
      <c r="J18" s="538">
        <v>5252.589999999999</v>
      </c>
      <c r="L18" s="530" t="s">
        <v>649</v>
      </c>
      <c r="M18" s="537">
        <v>992.77</v>
      </c>
      <c r="O18" s="530" t="s">
        <v>613</v>
      </c>
      <c r="P18" s="537">
        <v>7606.02</v>
      </c>
      <c r="R18" s="530" t="s">
        <v>615</v>
      </c>
      <c r="S18" s="537">
        <v>68090.13</v>
      </c>
      <c r="U18" s="530" t="s">
        <v>607</v>
      </c>
      <c r="V18" s="537">
        <v>40489.94</v>
      </c>
      <c r="X18" s="662"/>
      <c r="Y18" s="663"/>
      <c r="Z18" s="664"/>
      <c r="AB18" s="530" t="s">
        <v>609</v>
      </c>
      <c r="AC18" s="537"/>
      <c r="AD18" s="537"/>
      <c r="AE18" s="537">
        <v>2188</v>
      </c>
      <c r="AF18" s="559"/>
      <c r="AG18" s="559"/>
      <c r="AH18" s="530" t="s">
        <v>467</v>
      </c>
      <c r="AI18" s="537">
        <v>2821.18</v>
      </c>
      <c r="AK18" s="719" t="s">
        <v>531</v>
      </c>
      <c r="AL18" s="635">
        <v>17736.08999999999</v>
      </c>
      <c r="AM18" s="680">
        <v>409509.1364684932</v>
      </c>
      <c r="AN18" s="537">
        <f t="shared" si="1"/>
        <v>94767.8</v>
      </c>
      <c r="AO18" s="952"/>
      <c r="AQ18" s="624" t="s">
        <v>703</v>
      </c>
      <c r="AR18" s="555">
        <v>23164.555565068513</v>
      </c>
      <c r="AS18" s="537">
        <v>5360.695668208143</v>
      </c>
      <c r="AU18" s="552"/>
      <c r="AV18" s="553">
        <f>AM12-AV12</f>
        <v>0</v>
      </c>
      <c r="AW18" s="553">
        <f>AW12-AN12</f>
        <v>0</v>
      </c>
      <c r="AX18" s="537"/>
      <c r="AY18" s="624"/>
      <c r="AZ18" s="537"/>
      <c r="BA18" s="537">
        <f>ROUND(AZ18*$AN$3,2)</f>
        <v>0</v>
      </c>
      <c r="BC18" s="716" t="s">
        <v>463</v>
      </c>
      <c r="BD18" s="635">
        <v>8425.731481660843</v>
      </c>
      <c r="BE18" s="635">
        <v>1949.86612751319</v>
      </c>
      <c r="BG18" s="1295" t="s">
        <v>661</v>
      </c>
      <c r="BH18" s="960"/>
      <c r="BI18" s="960"/>
      <c r="BJ18" s="960"/>
      <c r="BK18" s="961">
        <f>550574-1</f>
        <v>550573</v>
      </c>
      <c r="BL18" s="960">
        <f t="shared" si="2"/>
        <v>550573</v>
      </c>
      <c r="BN18" s="530" t="s">
        <v>598</v>
      </c>
      <c r="BO18" s="537">
        <v>8631903.879999999</v>
      </c>
    </row>
    <row r="19" spans="1:67" ht="15">
      <c r="A19" s="568" t="s">
        <v>724</v>
      </c>
      <c r="B19" s="568" t="s">
        <v>719</v>
      </c>
      <c r="C19" s="655">
        <v>11391</v>
      </c>
      <c r="F19" s="530" t="s">
        <v>606</v>
      </c>
      <c r="G19" s="537">
        <v>2104942.64</v>
      </c>
      <c r="I19" s="530" t="s">
        <v>612</v>
      </c>
      <c r="J19" s="538">
        <v>23.71</v>
      </c>
      <c r="L19" s="530" t="s">
        <v>768</v>
      </c>
      <c r="M19" s="537">
        <v>6956.709999999999</v>
      </c>
      <c r="O19" s="530" t="s">
        <v>768</v>
      </c>
      <c r="P19" s="537">
        <v>576.0200000000001</v>
      </c>
      <c r="R19" s="530" t="s">
        <v>625</v>
      </c>
      <c r="S19" s="537">
        <v>610254.34</v>
      </c>
      <c r="U19" s="530" t="s">
        <v>608</v>
      </c>
      <c r="V19" s="537">
        <v>15637.41</v>
      </c>
      <c r="X19" s="662"/>
      <c r="Y19" s="663"/>
      <c r="Z19" s="664"/>
      <c r="AB19" s="530" t="s">
        <v>610</v>
      </c>
      <c r="AC19" s="537"/>
      <c r="AD19" s="537"/>
      <c r="AE19" s="537">
        <v>16045.109999999997</v>
      </c>
      <c r="AF19" s="559"/>
      <c r="AG19" s="559"/>
      <c r="AH19" s="530" t="s">
        <v>468</v>
      </c>
      <c r="AI19" s="537">
        <v>22200.42</v>
      </c>
      <c r="AK19" s="719" t="s">
        <v>532</v>
      </c>
      <c r="AL19" s="635">
        <v>2080</v>
      </c>
      <c r="AM19" s="680">
        <v>68677.7405533477</v>
      </c>
      <c r="AN19" s="537">
        <f t="shared" si="1"/>
        <v>15893.27</v>
      </c>
      <c r="AO19" s="952"/>
      <c r="AQ19" s="624" t="s">
        <v>86</v>
      </c>
      <c r="AR19" s="555">
        <v>4951.278147575574</v>
      </c>
      <c r="AS19" s="537">
        <v>1145.815003583623</v>
      </c>
      <c r="AU19" s="624"/>
      <c r="AV19" s="555"/>
      <c r="AW19" s="537"/>
      <c r="AX19" s="537"/>
      <c r="AY19" s="624"/>
      <c r="AZ19" s="537"/>
      <c r="BA19" s="537">
        <f>ROUND(AZ19*$AN$3,2)</f>
        <v>0</v>
      </c>
      <c r="BC19" s="716" t="s">
        <v>464</v>
      </c>
      <c r="BD19" s="635">
        <v>14585.46023462243</v>
      </c>
      <c r="BE19" s="635">
        <v>3375.33838190568</v>
      </c>
      <c r="BG19" s="1295" t="s">
        <v>547</v>
      </c>
      <c r="BH19" s="960"/>
      <c r="BI19" s="960"/>
      <c r="BJ19" s="960"/>
      <c r="BK19" s="960">
        <v>579914</v>
      </c>
      <c r="BL19" s="960">
        <f t="shared" si="2"/>
        <v>579914</v>
      </c>
      <c r="BN19" s="530" t="s">
        <v>964</v>
      </c>
      <c r="BO19" s="537">
        <v>-5.908077582716942E-09</v>
      </c>
    </row>
    <row r="20" spans="1:67" ht="15">
      <c r="A20" s="573" t="s">
        <v>419</v>
      </c>
      <c r="B20" s="573" t="s">
        <v>412</v>
      </c>
      <c r="C20" s="686">
        <v>635660</v>
      </c>
      <c r="D20" s="868">
        <f>SUM(C20:C22)</f>
        <v>981828.4685941758</v>
      </c>
      <c r="E20" s="720" t="s">
        <v>886</v>
      </c>
      <c r="F20" s="530" t="s">
        <v>607</v>
      </c>
      <c r="G20" s="537">
        <v>301829.05</v>
      </c>
      <c r="I20" s="530" t="s">
        <v>613</v>
      </c>
      <c r="J20" s="538">
        <v>7013.510000000001</v>
      </c>
      <c r="L20" s="530" t="s">
        <v>615</v>
      </c>
      <c r="M20" s="537">
        <v>1540.46</v>
      </c>
      <c r="O20" s="530" t="s">
        <v>614</v>
      </c>
      <c r="P20" s="537">
        <v>330</v>
      </c>
      <c r="R20" s="530" t="s">
        <v>618</v>
      </c>
      <c r="S20" s="537">
        <v>5783335.49</v>
      </c>
      <c r="U20" s="530" t="s">
        <v>609</v>
      </c>
      <c r="V20" s="537">
        <v>12442.79</v>
      </c>
      <c r="X20" s="662"/>
      <c r="Y20" s="665"/>
      <c r="Z20" s="666"/>
      <c r="AB20" s="530" t="s">
        <v>611</v>
      </c>
      <c r="AC20" s="537"/>
      <c r="AD20" s="537"/>
      <c r="AE20" s="537">
        <v>38571.3</v>
      </c>
      <c r="AF20" s="559"/>
      <c r="AG20" s="559"/>
      <c r="AH20" s="530" t="s">
        <v>469</v>
      </c>
      <c r="AI20" s="537">
        <v>1673.2</v>
      </c>
      <c r="AK20" s="719" t="s">
        <v>489</v>
      </c>
      <c r="AL20" s="635">
        <v>0</v>
      </c>
      <c r="AM20" s="680">
        <v>0</v>
      </c>
      <c r="AN20" s="537">
        <f t="shared" si="1"/>
        <v>0</v>
      </c>
      <c r="AO20" s="952"/>
      <c r="AQ20" s="624" t="s">
        <v>580</v>
      </c>
      <c r="AR20" s="555">
        <v>43991.973552148236</v>
      </c>
      <c r="AS20" s="537">
        <v>10180.53557705849</v>
      </c>
      <c r="AU20" s="624"/>
      <c r="AV20" s="555"/>
      <c r="AW20" s="537"/>
      <c r="AX20" s="537"/>
      <c r="AY20" s="624"/>
      <c r="AZ20" s="537"/>
      <c r="BA20" s="537">
        <f>ROUND(AZ20*$AN$3,2)</f>
        <v>0</v>
      </c>
      <c r="BC20" s="716" t="s">
        <v>465</v>
      </c>
      <c r="BD20" s="635">
        <v>12145.709283588347</v>
      </c>
      <c r="BE20" s="635">
        <v>2810.7360385549837</v>
      </c>
      <c r="BG20" s="1295" t="s">
        <v>548</v>
      </c>
      <c r="BH20" s="960"/>
      <c r="BI20" s="960"/>
      <c r="BJ20" s="960"/>
      <c r="BK20" s="960">
        <v>38849</v>
      </c>
      <c r="BL20" s="960">
        <f t="shared" si="2"/>
        <v>38849</v>
      </c>
      <c r="BN20" s="530" t="s">
        <v>599</v>
      </c>
      <c r="BO20" s="537">
        <v>47458.27</v>
      </c>
    </row>
    <row r="21" spans="1:67" ht="15">
      <c r="A21" s="573" t="s">
        <v>422</v>
      </c>
      <c r="B21" s="724" t="s">
        <v>721</v>
      </c>
      <c r="C21" s="835">
        <f>J40</f>
        <v>128893.95859417583</v>
      </c>
      <c r="D21" s="720"/>
      <c r="E21" s="720"/>
      <c r="F21" s="530" t="s">
        <v>608</v>
      </c>
      <c r="G21" s="537">
        <v>11172.4</v>
      </c>
      <c r="I21" s="530" t="s">
        <v>649</v>
      </c>
      <c r="J21" s="538">
        <v>1993</v>
      </c>
      <c r="L21" s="530" t="s">
        <v>616</v>
      </c>
      <c r="M21" s="537">
        <v>295816.74</v>
      </c>
      <c r="O21" s="530" t="s">
        <v>615</v>
      </c>
      <c r="P21" s="537">
        <v>14.58</v>
      </c>
      <c r="R21" s="530" t="s">
        <v>619</v>
      </c>
      <c r="S21" s="537">
        <v>43280.68000000001</v>
      </c>
      <c r="U21" s="530" t="s">
        <v>610</v>
      </c>
      <c r="V21" s="537">
        <v>63994.420000000006</v>
      </c>
      <c r="X21" s="547"/>
      <c r="Y21" s="667"/>
      <c r="Z21" s="547"/>
      <c r="AB21" s="530" t="s">
        <v>612</v>
      </c>
      <c r="AC21" s="537"/>
      <c r="AD21" s="537"/>
      <c r="AE21" s="537">
        <v>1617.48</v>
      </c>
      <c r="AF21" s="559"/>
      <c r="AG21" s="559"/>
      <c r="AH21" s="530" t="s">
        <v>470</v>
      </c>
      <c r="AI21" s="537">
        <v>322.07</v>
      </c>
      <c r="AJ21" s="677"/>
      <c r="AK21" s="719" t="s">
        <v>533</v>
      </c>
      <c r="AL21" s="749">
        <v>388049.94999999995</v>
      </c>
      <c r="AM21" s="749">
        <f>16537902.8927584-8</f>
        <v>16537894.8927584</v>
      </c>
      <c r="AN21" s="616">
        <f>ROUND(AM21*$AN$3,2)-26.05</f>
        <v>3827140.9000000004</v>
      </c>
      <c r="AO21" s="952"/>
      <c r="AQ21" s="536" t="s">
        <v>994</v>
      </c>
      <c r="AR21" s="555">
        <v>378820.4620896045</v>
      </c>
      <c r="AS21" s="537">
        <v>87665.88266492146</v>
      </c>
      <c r="AY21" s="624"/>
      <c r="AZ21" s="537"/>
      <c r="BA21" s="537">
        <f>ROUND(AZ21*$AN$3,2)</f>
        <v>0</v>
      </c>
      <c r="BC21" s="716" t="s">
        <v>466</v>
      </c>
      <c r="BD21" s="635">
        <v>36856.76132631466</v>
      </c>
      <c r="BE21" s="635">
        <v>8529.318865245064</v>
      </c>
      <c r="BG21" s="1295" t="s">
        <v>549</v>
      </c>
      <c r="BH21" s="960"/>
      <c r="BI21" s="960"/>
      <c r="BJ21" s="960"/>
      <c r="BK21" s="960">
        <f>73131+44</f>
        <v>73175</v>
      </c>
      <c r="BL21" s="960">
        <f>SUM(BH21:BK21)</f>
        <v>73175</v>
      </c>
      <c r="BN21" s="530" t="s">
        <v>600</v>
      </c>
      <c r="BO21" s="537">
        <v>100650.68</v>
      </c>
    </row>
    <row r="22" spans="1:67" ht="15.75" thickBot="1">
      <c r="A22" s="727" t="s">
        <v>422</v>
      </c>
      <c r="B22" s="727" t="s">
        <v>720</v>
      </c>
      <c r="C22" s="836">
        <f>+J41</f>
        <v>217274.50999999995</v>
      </c>
      <c r="D22" s="732">
        <f>SUM(C16:C22)</f>
        <v>1490593.4685941758</v>
      </c>
      <c r="E22" s="720"/>
      <c r="F22" s="530" t="s">
        <v>609</v>
      </c>
      <c r="G22" s="537">
        <v>15746.95</v>
      </c>
      <c r="I22" s="530" t="s">
        <v>768</v>
      </c>
      <c r="J22" s="538">
        <v>896.2199999999999</v>
      </c>
      <c r="L22" s="530" t="s">
        <v>617</v>
      </c>
      <c r="M22" s="537">
        <v>37976.94</v>
      </c>
      <c r="O22" s="530" t="s">
        <v>616</v>
      </c>
      <c r="P22" s="537">
        <v>8400</v>
      </c>
      <c r="R22" s="530" t="s">
        <v>620</v>
      </c>
      <c r="S22" s="537">
        <v>191813.33999999994</v>
      </c>
      <c r="U22" s="530" t="s">
        <v>611</v>
      </c>
      <c r="V22" s="537">
        <v>11343.300000000001</v>
      </c>
      <c r="AB22" s="530" t="s">
        <v>613</v>
      </c>
      <c r="AC22" s="537"/>
      <c r="AD22" s="537"/>
      <c r="AE22" s="537">
        <v>25765.850000000002</v>
      </c>
      <c r="AF22" s="559"/>
      <c r="AG22" s="559"/>
      <c r="AH22" s="530" t="s">
        <v>471</v>
      </c>
      <c r="AI22" s="537">
        <v>6271.92</v>
      </c>
      <c r="AJ22" s="677"/>
      <c r="AK22" s="719"/>
      <c r="AL22" s="537"/>
      <c r="AM22" s="538"/>
      <c r="AN22" s="537"/>
      <c r="AO22" s="953"/>
      <c r="AQ22" s="536" t="s">
        <v>995</v>
      </c>
      <c r="AR22" s="555">
        <v>250122.5571537027</v>
      </c>
      <c r="AS22" s="537">
        <v>57882.867853373886</v>
      </c>
      <c r="AY22" s="534" t="s">
        <v>556</v>
      </c>
      <c r="AZ22" s="692">
        <f>SUM(AZ4:AZ17)</f>
        <v>4832877.658481457</v>
      </c>
      <c r="BA22" s="692">
        <f>SUM(BA4:BA17)</f>
        <v>1118414.9963951544</v>
      </c>
      <c r="BC22" s="716" t="s">
        <v>559</v>
      </c>
      <c r="BD22" s="635">
        <v>58437.749716694896</v>
      </c>
      <c r="BE22" s="635">
        <v>13523.548547528171</v>
      </c>
      <c r="BG22" s="1295" t="s">
        <v>962</v>
      </c>
      <c r="BH22" s="555"/>
      <c r="BI22" s="555"/>
      <c r="BJ22" s="555"/>
      <c r="BK22" s="555">
        <v>18379083.709999993</v>
      </c>
      <c r="BL22" s="555">
        <f>SUM(BH22:BK22)</f>
        <v>18379083.709999993</v>
      </c>
      <c r="BM22" s="547"/>
      <c r="BN22" s="530" t="s">
        <v>965</v>
      </c>
      <c r="BO22" s="537">
        <v>196634.33000000005</v>
      </c>
    </row>
    <row r="23" spans="1:67" ht="12.75">
      <c r="A23" s="744" t="s">
        <v>530</v>
      </c>
      <c r="B23" s="744" t="s">
        <v>725</v>
      </c>
      <c r="C23" s="742">
        <f>M47</f>
        <v>562025</v>
      </c>
      <c r="D23" s="720">
        <f>+C23</f>
        <v>562025</v>
      </c>
      <c r="E23" s="720"/>
      <c r="F23" s="530" t="s">
        <v>610</v>
      </c>
      <c r="G23" s="537">
        <v>501325.5399999999</v>
      </c>
      <c r="I23" s="530" t="s">
        <v>614</v>
      </c>
      <c r="J23" s="538">
        <v>2810</v>
      </c>
      <c r="L23" s="530" t="s">
        <v>619</v>
      </c>
      <c r="M23" s="537">
        <v>39577.46</v>
      </c>
      <c r="O23" s="530" t="s">
        <v>617</v>
      </c>
      <c r="P23" s="537">
        <v>4462.36</v>
      </c>
      <c r="R23" s="530"/>
      <c r="S23" s="764"/>
      <c r="U23" s="530" t="s">
        <v>612</v>
      </c>
      <c r="V23" s="537">
        <v>-12853.279999999997</v>
      </c>
      <c r="AB23" s="530" t="s">
        <v>649</v>
      </c>
      <c r="AC23" s="537"/>
      <c r="AD23" s="537"/>
      <c r="AE23" s="537">
        <v>5466.709999999999</v>
      </c>
      <c r="AF23" s="559"/>
      <c r="AG23" s="559"/>
      <c r="AH23" s="530" t="s">
        <v>750</v>
      </c>
      <c r="AI23" s="537">
        <v>0</v>
      </c>
      <c r="AJ23" s="677"/>
      <c r="AK23" s="561" t="s">
        <v>883</v>
      </c>
      <c r="AL23" s="621">
        <f>SUM(AL5:AL22)</f>
        <v>2094034.2556</v>
      </c>
      <c r="AM23" s="621">
        <f>SUM(AM5:AM22)</f>
        <v>84649577.46218283</v>
      </c>
      <c r="AN23" s="621">
        <f>SUM(AN5:AN22)</f>
        <v>19589437.910915423</v>
      </c>
      <c r="AO23" s="954"/>
      <c r="AQ23" s="624" t="s">
        <v>581</v>
      </c>
      <c r="AR23" s="555">
        <v>78501.06437195855</v>
      </c>
      <c r="AS23" s="537">
        <v>18166.561173445163</v>
      </c>
      <c r="AU23" s="624"/>
      <c r="AV23" s="555"/>
      <c r="AW23" s="537"/>
      <c r="AX23" s="537"/>
      <c r="AY23" s="620" t="s">
        <v>487</v>
      </c>
      <c r="AZ23" s="693">
        <f>+BD52</f>
        <v>1443244.3115605956</v>
      </c>
      <c r="BA23" s="693">
        <f>+BE52</f>
        <v>333992.7462634245</v>
      </c>
      <c r="BC23" s="716" t="s">
        <v>750</v>
      </c>
      <c r="BD23" s="635">
        <v>182505.50555204632</v>
      </c>
      <c r="BE23" s="635">
        <v>42235.06340489974</v>
      </c>
      <c r="BM23" s="547"/>
      <c r="BN23" s="530" t="s">
        <v>623</v>
      </c>
      <c r="BO23" s="537">
        <v>3290430.3700000024</v>
      </c>
    </row>
    <row r="24" spans="1:67" ht="15.75" thickBot="1">
      <c r="A24" s="599" t="s">
        <v>594</v>
      </c>
      <c r="B24" s="599" t="s">
        <v>76</v>
      </c>
      <c r="C24" s="671">
        <v>30602</v>
      </c>
      <c r="F24" s="530" t="s">
        <v>611</v>
      </c>
      <c r="G24" s="537">
        <v>358703.76</v>
      </c>
      <c r="I24" s="530" t="s">
        <v>615</v>
      </c>
      <c r="J24" s="538">
        <v>46.99</v>
      </c>
      <c r="L24" s="530" t="s">
        <v>620</v>
      </c>
      <c r="M24" s="537">
        <v>0</v>
      </c>
      <c r="O24" s="530" t="s">
        <v>619</v>
      </c>
      <c r="P24" s="537">
        <v>1205.66</v>
      </c>
      <c r="R24" s="530"/>
      <c r="S24" s="764"/>
      <c r="U24" s="530" t="s">
        <v>613</v>
      </c>
      <c r="V24" s="537">
        <v>258967.97999999998</v>
      </c>
      <c r="AB24" s="530" t="s">
        <v>768</v>
      </c>
      <c r="AC24" s="537"/>
      <c r="AD24" s="537"/>
      <c r="AE24" s="537">
        <v>129.54</v>
      </c>
      <c r="AF24" s="559"/>
      <c r="AG24" s="559"/>
      <c r="AH24" s="530" t="s">
        <v>491</v>
      </c>
      <c r="AI24" s="537">
        <v>35605.47</v>
      </c>
      <c r="AJ24" s="677"/>
      <c r="AK24" s="718"/>
      <c r="AL24" s="560"/>
      <c r="AM24" s="560"/>
      <c r="AN24" s="560"/>
      <c r="AO24" s="950"/>
      <c r="AQ24" s="624" t="s">
        <v>891</v>
      </c>
      <c r="AR24" s="555">
        <v>901.5926242087669</v>
      </c>
      <c r="AS24" s="537">
        <v>208.64478325552773</v>
      </c>
      <c r="AU24" s="624"/>
      <c r="AV24" s="555"/>
      <c r="AW24" s="537"/>
      <c r="AX24" s="537"/>
      <c r="AY24" s="552" t="s">
        <v>587</v>
      </c>
      <c r="AZ24" s="672">
        <f>+AZ22+AZ23</f>
        <v>6276121.970042053</v>
      </c>
      <c r="BA24" s="672">
        <f>+BA22+BA23</f>
        <v>1452407.7426585788</v>
      </c>
      <c r="BC24" s="716" t="s">
        <v>491</v>
      </c>
      <c r="BD24" s="635">
        <v>68152.50720361328</v>
      </c>
      <c r="BE24" s="635">
        <v>15771.718525645425</v>
      </c>
      <c r="BG24" s="614" t="s">
        <v>576</v>
      </c>
      <c r="BH24" s="579">
        <f>SUM(BH5:BH22)</f>
        <v>83047850.89</v>
      </c>
      <c r="BI24" s="579">
        <f>SUM(BI5:BI22)</f>
        <v>5276257.4399999995</v>
      </c>
      <c r="BJ24" s="579">
        <f>SUM(BJ5:BJ22)</f>
        <v>30924272.7779</v>
      </c>
      <c r="BK24" s="579">
        <f>SUM(BK5:BK22)</f>
        <v>35932875.63999999</v>
      </c>
      <c r="BL24" s="579">
        <f>SUM(BL5:BL22)</f>
        <v>155181256.7479</v>
      </c>
      <c r="BM24" s="965"/>
      <c r="BN24" s="530" t="s">
        <v>601</v>
      </c>
      <c r="BO24" s="537">
        <v>3285550.7700000005</v>
      </c>
    </row>
    <row r="25" spans="1:67" ht="15" customHeight="1" thickTop="1">
      <c r="A25" s="573" t="s">
        <v>453</v>
      </c>
      <c r="B25" s="573" t="s">
        <v>77</v>
      </c>
      <c r="C25" s="1304">
        <v>3021</v>
      </c>
      <c r="F25" s="530" t="s">
        <v>612</v>
      </c>
      <c r="G25" s="537">
        <v>-100638.79000000004</v>
      </c>
      <c r="I25" s="530" t="s">
        <v>616</v>
      </c>
      <c r="J25" s="538">
        <v>266005.7</v>
      </c>
      <c r="L25" s="530" t="s">
        <v>621</v>
      </c>
      <c r="M25" s="537">
        <v>24440.71</v>
      </c>
      <c r="O25" s="530" t="s">
        <v>620</v>
      </c>
      <c r="P25" s="537">
        <v>1345.05</v>
      </c>
      <c r="R25" s="530"/>
      <c r="S25" s="555"/>
      <c r="U25" s="530" t="s">
        <v>649</v>
      </c>
      <c r="V25" s="537">
        <v>7137.92</v>
      </c>
      <c r="AB25" s="530" t="s">
        <v>614</v>
      </c>
      <c r="AC25" s="537"/>
      <c r="AD25" s="537"/>
      <c r="AE25" s="537">
        <v>2117.1</v>
      </c>
      <c r="AF25" s="559"/>
      <c r="AG25" s="559"/>
      <c r="AH25" s="530" t="s">
        <v>492</v>
      </c>
      <c r="AI25" s="537">
        <v>6648.17</v>
      </c>
      <c r="AJ25" s="677"/>
      <c r="AK25" s="718" t="s">
        <v>884</v>
      </c>
      <c r="AL25" s="718"/>
      <c r="AM25" s="766">
        <f>C4</f>
        <v>84649577.36999983</v>
      </c>
      <c r="AN25" s="766">
        <f>C5</f>
        <v>19589437.899999958</v>
      </c>
      <c r="AO25" s="950"/>
      <c r="AQ25" s="624" t="s">
        <v>893</v>
      </c>
      <c r="AR25" s="555">
        <v>27415.45910816414</v>
      </c>
      <c r="AS25" s="537">
        <v>6344.431364989941</v>
      </c>
      <c r="AU25" s="624"/>
      <c r="AV25" s="555"/>
      <c r="AW25" s="537"/>
      <c r="AX25" s="537"/>
      <c r="AY25" s="552"/>
      <c r="AZ25" s="553">
        <f>AZ22-AM16</f>
        <v>0</v>
      </c>
      <c r="BA25" s="553">
        <f>BA22-AN16</f>
        <v>-0.0036048456095159054</v>
      </c>
      <c r="BC25" s="716" t="s">
        <v>493</v>
      </c>
      <c r="BD25" s="635">
        <v>12145.709283588347</v>
      </c>
      <c r="BE25" s="635">
        <v>2810.7360385549837</v>
      </c>
      <c r="BM25" s="547"/>
      <c r="BN25" s="530" t="s">
        <v>966</v>
      </c>
      <c r="BO25" s="537">
        <v>423485.4600000001</v>
      </c>
    </row>
    <row r="26" spans="1:67" ht="15" customHeight="1">
      <c r="A26" s="573" t="s">
        <v>432</v>
      </c>
      <c r="B26" s="573" t="s">
        <v>726</v>
      </c>
      <c r="C26" s="671">
        <v>113701</v>
      </c>
      <c r="F26" s="530" t="s">
        <v>613</v>
      </c>
      <c r="G26" s="537">
        <v>227158.82999999996</v>
      </c>
      <c r="I26" s="530" t="s">
        <v>617</v>
      </c>
      <c r="J26" s="538">
        <v>1436.42</v>
      </c>
      <c r="L26" s="530" t="s">
        <v>622</v>
      </c>
      <c r="M26" s="537">
        <v>2558.13</v>
      </c>
      <c r="O26" s="530" t="s">
        <v>621</v>
      </c>
      <c r="P26" s="537">
        <v>14031.329999999998</v>
      </c>
      <c r="R26" s="530"/>
      <c r="S26" s="555"/>
      <c r="U26" s="530" t="s">
        <v>614</v>
      </c>
      <c r="V26" s="537">
        <v>174061.93</v>
      </c>
      <c r="AB26" s="530" t="s">
        <v>619</v>
      </c>
      <c r="AC26" s="537"/>
      <c r="AD26" s="537"/>
      <c r="AE26" s="537">
        <v>28701.650000000012</v>
      </c>
      <c r="AF26" s="559"/>
      <c r="AG26" s="559"/>
      <c r="AH26" s="530" t="s">
        <v>493</v>
      </c>
      <c r="AI26" s="537">
        <v>19788.99</v>
      </c>
      <c r="AJ26" s="677"/>
      <c r="AK26" s="767"/>
      <c r="AL26" s="767"/>
      <c r="AM26" s="767">
        <f>AM23-AM25</f>
        <v>0.09218300879001617</v>
      </c>
      <c r="AN26" s="770">
        <f>AN23-AN25</f>
        <v>0.010915465652942657</v>
      </c>
      <c r="AO26" s="928"/>
      <c r="AQ26" s="624" t="s">
        <v>704</v>
      </c>
      <c r="AR26" s="555">
        <v>9738.920085063883</v>
      </c>
      <c r="AS26" s="537">
        <v>2253.7616388269703</v>
      </c>
      <c r="AU26" s="624"/>
      <c r="AV26" s="555"/>
      <c r="AW26" s="537"/>
      <c r="AX26" s="537"/>
      <c r="BC26" s="716" t="s">
        <v>495</v>
      </c>
      <c r="BD26" s="635">
        <v>12145.709283588347</v>
      </c>
      <c r="BE26" s="635">
        <v>2810.7360385549837</v>
      </c>
      <c r="BG26" s="534"/>
      <c r="BH26" s="534"/>
      <c r="BI26" s="534"/>
      <c r="BJ26" s="534"/>
      <c r="BK26" s="534"/>
      <c r="BL26" s="593"/>
      <c r="BN26" s="530" t="s">
        <v>602</v>
      </c>
      <c r="BO26" s="537">
        <v>7054.130000000001</v>
      </c>
    </row>
    <row r="27" spans="1:67" ht="15" customHeight="1">
      <c r="A27" s="573" t="s">
        <v>727</v>
      </c>
      <c r="B27" s="573" t="s">
        <v>719</v>
      </c>
      <c r="C27" s="577">
        <v>114925</v>
      </c>
      <c r="F27" s="530" t="s">
        <v>648</v>
      </c>
      <c r="G27" s="537">
        <v>146085.84999999998</v>
      </c>
      <c r="I27" s="530" t="s">
        <v>619</v>
      </c>
      <c r="J27" s="538">
        <v>16358.67</v>
      </c>
      <c r="L27" s="530"/>
      <c r="M27" s="537"/>
      <c r="O27" s="530" t="s">
        <v>622</v>
      </c>
      <c r="P27" s="537">
        <v>1645.89</v>
      </c>
      <c r="R27" s="530"/>
      <c r="S27" s="555"/>
      <c r="U27" s="530" t="s">
        <v>615</v>
      </c>
      <c r="V27" s="537">
        <v>163.1</v>
      </c>
      <c r="AB27" s="530" t="s">
        <v>620</v>
      </c>
      <c r="AC27" s="537">
        <v>27831</v>
      </c>
      <c r="AD27" s="537">
        <v>0</v>
      </c>
      <c r="AE27" s="537">
        <v>0</v>
      </c>
      <c r="AF27" s="559"/>
      <c r="AG27" s="559"/>
      <c r="AH27" s="530" t="s">
        <v>494</v>
      </c>
      <c r="AI27" s="537">
        <v>37529.61</v>
      </c>
      <c r="AJ27" s="677"/>
      <c r="AK27" s="768"/>
      <c r="AL27" s="768"/>
      <c r="AM27" s="717"/>
      <c r="AN27" s="717"/>
      <c r="AQ27" s="624" t="s">
        <v>582</v>
      </c>
      <c r="AR27" s="555">
        <v>3275136.6833352866</v>
      </c>
      <c r="AS27" s="537">
        <v>757925.6585272255</v>
      </c>
      <c r="AU27" s="624"/>
      <c r="AV27" s="555"/>
      <c r="AW27" s="537"/>
      <c r="AX27" s="537"/>
      <c r="BC27" s="716" t="s">
        <v>496</v>
      </c>
      <c r="BD27" s="635">
        <v>542.1702186128751</v>
      </c>
      <c r="BE27" s="635">
        <v>125.4679604875426</v>
      </c>
      <c r="BN27" s="530" t="s">
        <v>967</v>
      </c>
      <c r="BO27" s="537">
        <v>1234035.8</v>
      </c>
    </row>
    <row r="28" spans="1:67" ht="15" customHeight="1">
      <c r="A28" s="573" t="s">
        <v>420</v>
      </c>
      <c r="B28" s="573" t="s">
        <v>413</v>
      </c>
      <c r="C28" s="671">
        <v>721783</v>
      </c>
      <c r="D28" s="868">
        <f>SUM(C28:C30)</f>
        <v>2530478.4473862746</v>
      </c>
      <c r="E28" s="720" t="s">
        <v>886</v>
      </c>
      <c r="F28" s="530" t="s">
        <v>649</v>
      </c>
      <c r="G28" s="537">
        <v>5691.179999999999</v>
      </c>
      <c r="I28" s="530"/>
      <c r="J28" s="538"/>
      <c r="L28" s="530"/>
      <c r="M28" s="764"/>
      <c r="O28" s="530"/>
      <c r="P28" s="555"/>
      <c r="R28" s="530"/>
      <c r="S28" s="555"/>
      <c r="U28" s="530" t="s">
        <v>616</v>
      </c>
      <c r="V28" s="537">
        <v>50126.7</v>
      </c>
      <c r="AB28" s="716"/>
      <c r="AC28" s="635"/>
      <c r="AD28" s="635"/>
      <c r="AE28" s="635"/>
      <c r="AF28" s="559"/>
      <c r="AG28" s="559"/>
      <c r="AH28" s="530" t="s">
        <v>495</v>
      </c>
      <c r="AI28" s="537">
        <v>26686.56</v>
      </c>
      <c r="AJ28" s="677"/>
      <c r="AK28" s="860"/>
      <c r="AL28" s="550"/>
      <c r="AM28" s="861"/>
      <c r="AN28" s="717"/>
      <c r="AQ28" s="624" t="s">
        <v>631</v>
      </c>
      <c r="AR28" s="555">
        <v>779907.986042774</v>
      </c>
      <c r="AS28" s="537">
        <v>180484.76477938704</v>
      </c>
      <c r="AU28" s="624"/>
      <c r="AV28" s="555"/>
      <c r="AW28" s="537"/>
      <c r="AX28" s="537"/>
      <c r="BC28" s="716" t="s">
        <v>497</v>
      </c>
      <c r="BD28" s="635">
        <v>1371.1447647782607</v>
      </c>
      <c r="BE28" s="635">
        <v>317.3076116390992</v>
      </c>
      <c r="BN28" s="530" t="s">
        <v>603</v>
      </c>
      <c r="BO28" s="537">
        <v>538378.74</v>
      </c>
    </row>
    <row r="29" spans="1:67" ht="15" customHeight="1">
      <c r="A29" s="573" t="s">
        <v>422</v>
      </c>
      <c r="B29" s="724" t="s">
        <v>721</v>
      </c>
      <c r="C29" s="835">
        <f>M40</f>
        <v>1300480.185051113</v>
      </c>
      <c r="D29" s="720"/>
      <c r="E29" s="720"/>
      <c r="F29" s="530" t="s">
        <v>768</v>
      </c>
      <c r="G29" s="537">
        <v>70217.91</v>
      </c>
      <c r="I29" s="530"/>
      <c r="J29" s="622"/>
      <c r="L29" s="530"/>
      <c r="M29" s="764"/>
      <c r="O29" s="656"/>
      <c r="P29" s="555"/>
      <c r="R29" s="530"/>
      <c r="S29" s="555"/>
      <c r="U29" s="530" t="s">
        <v>617</v>
      </c>
      <c r="V29" s="537">
        <v>11806.71</v>
      </c>
      <c r="AB29" s="837"/>
      <c r="AC29" s="767"/>
      <c r="AD29" s="767"/>
      <c r="AE29" s="767"/>
      <c r="AF29" s="559"/>
      <c r="AG29" s="559"/>
      <c r="AH29" s="530" t="s">
        <v>496</v>
      </c>
      <c r="AI29" s="537">
        <v>18955.25</v>
      </c>
      <c r="AJ29" s="677"/>
      <c r="AK29" s="862"/>
      <c r="AL29" s="550"/>
      <c r="AM29" s="863"/>
      <c r="AN29" s="717"/>
      <c r="AQ29" s="624" t="s">
        <v>914</v>
      </c>
      <c r="AR29" s="555">
        <v>38356.475967330625</v>
      </c>
      <c r="AS29" s="537">
        <v>8876.3798635474</v>
      </c>
      <c r="AU29" s="624"/>
      <c r="AV29" s="555"/>
      <c r="AW29" s="537"/>
      <c r="AX29" s="537"/>
      <c r="BC29" s="716" t="s">
        <v>498</v>
      </c>
      <c r="BD29" s="635">
        <v>12145.709283588347</v>
      </c>
      <c r="BE29" s="635">
        <v>2810.7360385549837</v>
      </c>
      <c r="BN29" s="530" t="s">
        <v>604</v>
      </c>
      <c r="BO29" s="537">
        <v>253174.66999999995</v>
      </c>
    </row>
    <row r="30" spans="1:67" ht="15" customHeight="1" thickBot="1">
      <c r="A30" s="573" t="s">
        <v>422</v>
      </c>
      <c r="B30" s="573" t="s">
        <v>720</v>
      </c>
      <c r="C30" s="835">
        <f>+M41</f>
        <v>508215.2623351618</v>
      </c>
      <c r="D30" s="720"/>
      <c r="E30" s="720"/>
      <c r="F30" s="530" t="s">
        <v>614</v>
      </c>
      <c r="G30" s="537">
        <v>368863.16000000003</v>
      </c>
      <c r="I30" s="530"/>
      <c r="J30" s="537"/>
      <c r="L30" s="530"/>
      <c r="M30" s="764"/>
      <c r="O30" s="530"/>
      <c r="P30" s="555"/>
      <c r="R30" s="530"/>
      <c r="S30" s="555"/>
      <c r="U30" s="530" t="s">
        <v>618</v>
      </c>
      <c r="V30" s="537">
        <v>32695.11</v>
      </c>
      <c r="AB30" s="769" t="s">
        <v>425</v>
      </c>
      <c r="AC30" s="721">
        <f>SUM(AC5:AC29)</f>
        <v>27831</v>
      </c>
      <c r="AD30" s="721">
        <f>SUM(AD5:AD29)</f>
        <v>56162.25</v>
      </c>
      <c r="AE30" s="721">
        <f>SUM(AE5:AE29)</f>
        <v>318642.39</v>
      </c>
      <c r="AF30" s="559"/>
      <c r="AG30" s="559"/>
      <c r="AH30" s="530" t="s">
        <v>497</v>
      </c>
      <c r="AI30" s="537">
        <v>14422.81</v>
      </c>
      <c r="AJ30" s="677"/>
      <c r="AK30" s="581"/>
      <c r="AL30" s="586" t="s">
        <v>534</v>
      </c>
      <c r="AM30" s="586" t="s">
        <v>535</v>
      </c>
      <c r="AN30" s="586" t="s">
        <v>447</v>
      </c>
      <c r="AQ30" s="624" t="s">
        <v>755</v>
      </c>
      <c r="AR30" s="555">
        <v>549.8369077797515</v>
      </c>
      <c r="AS30" s="537">
        <v>127.2421705426817</v>
      </c>
      <c r="AU30" s="624"/>
      <c r="AV30" s="555"/>
      <c r="AW30" s="537"/>
      <c r="AX30" s="537"/>
      <c r="AY30" s="688"/>
      <c r="AZ30" s="635"/>
      <c r="BA30" s="635"/>
      <c r="BC30" s="716" t="s">
        <v>499</v>
      </c>
      <c r="BD30" s="635">
        <v>36436.99756715827</v>
      </c>
      <c r="BE30" s="635">
        <v>8432.177965690154</v>
      </c>
      <c r="BN30" s="530" t="s">
        <v>605</v>
      </c>
      <c r="BO30" s="537">
        <v>16369.35</v>
      </c>
    </row>
    <row r="31" spans="1:67" ht="15" customHeight="1" thickBot="1" thickTop="1">
      <c r="A31" s="731" t="s">
        <v>420</v>
      </c>
      <c r="B31" s="731" t="s">
        <v>31</v>
      </c>
      <c r="C31" s="836"/>
      <c r="D31" s="732">
        <f>SUM(C24:C31)</f>
        <v>2792727.4473862746</v>
      </c>
      <c r="E31" s="720"/>
      <c r="F31" s="530" t="s">
        <v>615</v>
      </c>
      <c r="G31" s="537">
        <v>68621.40999999999</v>
      </c>
      <c r="I31" s="656"/>
      <c r="L31" s="530"/>
      <c r="M31" s="764"/>
      <c r="O31" s="530"/>
      <c r="P31" s="555"/>
      <c r="R31" s="530"/>
      <c r="S31" s="555"/>
      <c r="U31" s="530" t="s">
        <v>619</v>
      </c>
      <c r="V31" s="537">
        <v>5829.62</v>
      </c>
      <c r="AB31" s="837"/>
      <c r="AC31" s="767"/>
      <c r="AD31" s="767"/>
      <c r="AE31" s="767"/>
      <c r="AF31" s="559"/>
      <c r="AG31" s="559"/>
      <c r="AH31" s="530" t="s">
        <v>498</v>
      </c>
      <c r="AI31" s="537">
        <v>120.45</v>
      </c>
      <c r="AJ31" s="677"/>
      <c r="AK31" s="656" t="s">
        <v>710</v>
      </c>
      <c r="AL31" s="537">
        <f>SUM(AL5:AL9)</f>
        <v>1089057</v>
      </c>
      <c r="AM31" s="537">
        <f>SUM(AM5:AM9)</f>
        <v>42773852.35199815</v>
      </c>
      <c r="AN31" s="537">
        <f>SUM(AN5:AN9)</f>
        <v>9898666.408731487</v>
      </c>
      <c r="AQ31" s="624" t="s">
        <v>583</v>
      </c>
      <c r="AR31" s="555">
        <v>800363.5144852725</v>
      </c>
      <c r="AS31" s="537">
        <v>185218.5427448047</v>
      </c>
      <c r="AU31" s="624"/>
      <c r="AV31" s="555"/>
      <c r="AW31" s="537"/>
      <c r="AX31" s="537"/>
      <c r="BC31" s="716" t="s">
        <v>508</v>
      </c>
      <c r="BD31" s="635">
        <v>159861.22253783955</v>
      </c>
      <c r="BE31" s="635">
        <v>36994.76818218505</v>
      </c>
      <c r="BN31" s="530" t="s">
        <v>606</v>
      </c>
      <c r="BO31" s="537">
        <v>2898216.860000001</v>
      </c>
    </row>
    <row r="32" spans="1:67" ht="15" customHeight="1" thickBot="1">
      <c r="A32" s="745" t="s">
        <v>728</v>
      </c>
      <c r="B32" s="745" t="s">
        <v>414</v>
      </c>
      <c r="C32" s="746">
        <f>P36</f>
        <v>129997.76000000001</v>
      </c>
      <c r="D32" s="856">
        <f>+C32</f>
        <v>129997.76000000001</v>
      </c>
      <c r="F32" s="530" t="s">
        <v>616</v>
      </c>
      <c r="G32" s="537">
        <v>1892702.0899999999</v>
      </c>
      <c r="K32" s="536"/>
      <c r="L32" s="530"/>
      <c r="M32" s="537"/>
      <c r="O32" s="530"/>
      <c r="P32" s="555"/>
      <c r="R32" s="530"/>
      <c r="S32" s="555"/>
      <c r="U32" s="530" t="s">
        <v>620</v>
      </c>
      <c r="V32" s="537">
        <v>21574.19</v>
      </c>
      <c r="AC32" s="555"/>
      <c r="AD32" s="555"/>
      <c r="AE32" s="555"/>
      <c r="AF32" s="559"/>
      <c r="AG32" s="559"/>
      <c r="AH32" s="530" t="s">
        <v>499</v>
      </c>
      <c r="AI32" s="537">
        <v>1087.26</v>
      </c>
      <c r="AJ32" s="677"/>
      <c r="AK32" s="656" t="s">
        <v>711</v>
      </c>
      <c r="AL32" s="537">
        <f>SUM(AL10:AL13)</f>
        <v>124124.64</v>
      </c>
      <c r="AM32" s="537">
        <f>SUM(AM10:AM13)</f>
        <v>5639252.7708133785</v>
      </c>
      <c r="AN32" s="537">
        <f>SUM(AN10:AN13)</f>
        <v>1305024.7259205119</v>
      </c>
      <c r="AQ32" s="624" t="s">
        <v>632</v>
      </c>
      <c r="AR32" s="555">
        <v>23210.716049124243</v>
      </c>
      <c r="AS32" s="537">
        <v>5371.378036200261</v>
      </c>
      <c r="AU32" s="624"/>
      <c r="AV32" s="555"/>
      <c r="AW32" s="537"/>
      <c r="AX32" s="537"/>
      <c r="BC32" s="716" t="s">
        <v>509</v>
      </c>
      <c r="BD32" s="635">
        <v>36436.99756715827</v>
      </c>
      <c r="BE32" s="635">
        <v>8432.177965690154</v>
      </c>
      <c r="BN32" s="530" t="s">
        <v>607</v>
      </c>
      <c r="BO32" s="537">
        <v>2862641.1300000004</v>
      </c>
    </row>
    <row r="33" spans="1:67" ht="15" customHeight="1">
      <c r="A33" s="573" t="s">
        <v>433</v>
      </c>
      <c r="B33" s="573" t="s">
        <v>105</v>
      </c>
      <c r="C33" s="615">
        <v>303014</v>
      </c>
      <c r="F33" s="530" t="s">
        <v>617</v>
      </c>
      <c r="G33" s="537">
        <v>145843.52</v>
      </c>
      <c r="K33" s="536"/>
      <c r="L33" s="656"/>
      <c r="M33" s="555"/>
      <c r="O33" s="530"/>
      <c r="P33" s="555"/>
      <c r="R33" s="530"/>
      <c r="S33" s="555"/>
      <c r="U33" s="530" t="s">
        <v>621</v>
      </c>
      <c r="V33" s="537">
        <v>10472.52</v>
      </c>
      <c r="AB33" s="840" t="s">
        <v>771</v>
      </c>
      <c r="AC33" s="841" t="s">
        <v>453</v>
      </c>
      <c r="AD33" s="841" t="s">
        <v>432</v>
      </c>
      <c r="AE33" s="857" t="s">
        <v>420</v>
      </c>
      <c r="AF33" s="559"/>
      <c r="AG33" s="559"/>
      <c r="AH33" s="530" t="s">
        <v>500</v>
      </c>
      <c r="AI33" s="537">
        <v>9528.11</v>
      </c>
      <c r="AJ33" s="677"/>
      <c r="AK33" s="656" t="s">
        <v>712</v>
      </c>
      <c r="AL33" s="867">
        <f>SUM(AL14:AL17)</f>
        <v>472986.5756</v>
      </c>
      <c r="AM33" s="867">
        <f>SUM(AM14:AM17)</f>
        <v>19220390.56959106</v>
      </c>
      <c r="AN33" s="867">
        <f>SUM(AN14:AN17)</f>
        <v>4447944.806263424</v>
      </c>
      <c r="AQ33" s="624" t="s">
        <v>652</v>
      </c>
      <c r="AR33" s="555">
        <v>348812.01846522803</v>
      </c>
      <c r="AS33" s="537">
        <v>80721.38794776637</v>
      </c>
      <c r="AU33" s="624"/>
      <c r="AV33" s="555"/>
      <c r="AW33" s="537"/>
      <c r="AX33" s="537"/>
      <c r="AY33" s="636"/>
      <c r="AZ33" s="671"/>
      <c r="BA33" s="671"/>
      <c r="BC33" s="716" t="s">
        <v>512</v>
      </c>
      <c r="BD33" s="635">
        <v>12145.709283588347</v>
      </c>
      <c r="BE33" s="635">
        <v>2810.7360385549837</v>
      </c>
      <c r="BN33" s="530" t="s">
        <v>968</v>
      </c>
      <c r="BO33" s="537">
        <v>410791.92999999993</v>
      </c>
    </row>
    <row r="34" spans="1:67" ht="15" customHeight="1">
      <c r="A34" s="573" t="s">
        <v>434</v>
      </c>
      <c r="B34" s="573" t="s">
        <v>106</v>
      </c>
      <c r="C34" s="615">
        <v>423513</v>
      </c>
      <c r="F34" s="530" t="s">
        <v>618</v>
      </c>
      <c r="G34" s="537">
        <v>5936574.96</v>
      </c>
      <c r="O34" s="530"/>
      <c r="P34" s="555"/>
      <c r="R34" s="530"/>
      <c r="S34" s="555"/>
      <c r="U34" s="530" t="s">
        <v>622</v>
      </c>
      <c r="V34" s="537">
        <v>250.14</v>
      </c>
      <c r="AB34" s="842" t="s">
        <v>879</v>
      </c>
      <c r="AC34" s="670">
        <v>25641</v>
      </c>
      <c r="AD34" s="843">
        <f>+AD30*AD39</f>
        <v>51743.342735587</v>
      </c>
      <c r="AE34" s="858">
        <v>293571</v>
      </c>
      <c r="AF34" s="559"/>
      <c r="AG34" s="559"/>
      <c r="AH34" s="530" t="s">
        <v>501</v>
      </c>
      <c r="AI34" s="537">
        <v>5190.83</v>
      </c>
      <c r="AJ34" s="677"/>
      <c r="AK34" s="735" t="s">
        <v>880</v>
      </c>
      <c r="AL34" s="537">
        <f>SUM(AL31:AL33)</f>
        <v>1686168.2155999998</v>
      </c>
      <c r="AM34" s="537">
        <f>SUM(AM31:AM33)</f>
        <v>67633495.69240259</v>
      </c>
      <c r="AN34" s="537">
        <f>SUM(AN31:AN33)</f>
        <v>15651635.940915423</v>
      </c>
      <c r="AQ34" s="624" t="s">
        <v>915</v>
      </c>
      <c r="AR34" s="555">
        <v>2517.9812459839345</v>
      </c>
      <c r="AS34" s="537">
        <v>582.7062435996058</v>
      </c>
      <c r="AU34" s="624"/>
      <c r="AV34" s="555"/>
      <c r="AW34" s="537"/>
      <c r="AX34" s="537"/>
      <c r="AY34" s="636"/>
      <c r="AZ34" s="671"/>
      <c r="BA34" s="671"/>
      <c r="BC34" s="716" t="s">
        <v>514</v>
      </c>
      <c r="BD34" s="635">
        <v>57535.46558718879</v>
      </c>
      <c r="BE34" s="635">
        <v>13314.743737483372</v>
      </c>
      <c r="BN34" s="530" t="s">
        <v>969</v>
      </c>
      <c r="BO34" s="537">
        <v>4969892.409999997</v>
      </c>
    </row>
    <row r="35" spans="1:67" ht="15" customHeight="1">
      <c r="A35" s="573" t="s">
        <v>435</v>
      </c>
      <c r="B35" s="573" t="s">
        <v>167</v>
      </c>
      <c r="C35" s="615">
        <v>1234036</v>
      </c>
      <c r="F35" s="530" t="s">
        <v>619</v>
      </c>
      <c r="G35" s="537">
        <v>970607.1900000001</v>
      </c>
      <c r="L35" s="550"/>
      <c r="M35" s="550"/>
      <c r="R35" s="530"/>
      <c r="S35" s="555"/>
      <c r="U35" s="530"/>
      <c r="V35" s="764"/>
      <c r="AB35" s="803"/>
      <c r="AC35" s="804"/>
      <c r="AD35" s="804"/>
      <c r="AE35" s="844"/>
      <c r="AF35" s="559"/>
      <c r="AG35" s="559"/>
      <c r="AH35" s="530" t="s">
        <v>502</v>
      </c>
      <c r="AI35" s="537">
        <v>14159.14</v>
      </c>
      <c r="AJ35" s="677"/>
      <c r="AK35" s="581"/>
      <c r="AQ35" s="624" t="s">
        <v>584</v>
      </c>
      <c r="AR35" s="555">
        <v>1738356.6768949374</v>
      </c>
      <c r="AS35" s="537">
        <v>402287.066611538</v>
      </c>
      <c r="AU35" s="624"/>
      <c r="AV35" s="555"/>
      <c r="AW35" s="537"/>
      <c r="AX35" s="537"/>
      <c r="AY35" s="636"/>
      <c r="AZ35" s="671"/>
      <c r="BA35" s="671"/>
      <c r="BC35" s="716" t="s">
        <v>517</v>
      </c>
      <c r="BD35" s="635">
        <v>62601.12271968139</v>
      </c>
      <c r="BE35" s="635">
        <v>14487.028099706597</v>
      </c>
      <c r="BN35" s="530" t="s">
        <v>608</v>
      </c>
      <c r="BO35" s="537">
        <v>62058.06</v>
      </c>
    </row>
    <row r="36" spans="1:67" ht="15" customHeight="1" thickBot="1">
      <c r="A36" s="573" t="s">
        <v>436</v>
      </c>
      <c r="B36" s="573" t="s">
        <v>108</v>
      </c>
      <c r="C36" s="615">
        <v>199659</v>
      </c>
      <c r="F36" s="530" t="s">
        <v>620</v>
      </c>
      <c r="G36" s="537">
        <v>0</v>
      </c>
      <c r="H36" s="717"/>
      <c r="K36" s="717"/>
      <c r="L36" s="550"/>
      <c r="M36" s="550"/>
      <c r="O36" s="561" t="s">
        <v>425</v>
      </c>
      <c r="P36" s="578">
        <f>SUM(P4:P34)</f>
        <v>129997.76000000001</v>
      </c>
      <c r="U36" s="530"/>
      <c r="V36" s="764"/>
      <c r="AB36"/>
      <c r="AF36" s="559"/>
      <c r="AG36" s="559"/>
      <c r="AH36" s="530" t="s">
        <v>503</v>
      </c>
      <c r="AI36" s="537">
        <v>3233.05</v>
      </c>
      <c r="AJ36" s="677"/>
      <c r="AK36" s="735" t="s">
        <v>881</v>
      </c>
      <c r="AL36" s="866">
        <f>SUM(AL18:AL21)</f>
        <v>407866.0399999999</v>
      </c>
      <c r="AM36" s="866">
        <f>SUM(AM18:AM21)</f>
        <v>17016081.76978024</v>
      </c>
      <c r="AN36" s="866">
        <f>SUM(AN18:AN21)</f>
        <v>3937801.97</v>
      </c>
      <c r="AQ36" s="624" t="s">
        <v>585</v>
      </c>
      <c r="AR36" s="555">
        <v>462140.3863555938</v>
      </c>
      <c r="AS36" s="537">
        <v>106947.6148714162</v>
      </c>
      <c r="AU36" s="624"/>
      <c r="AV36" s="555"/>
      <c r="AW36" s="537"/>
      <c r="AX36" s="537"/>
      <c r="AY36" s="636"/>
      <c r="AZ36" s="671"/>
      <c r="BA36" s="671"/>
      <c r="BC36" s="716" t="s">
        <v>518</v>
      </c>
      <c r="BD36" s="635">
        <v>12145.709283588347</v>
      </c>
      <c r="BE36" s="635">
        <v>2810.7360385549837</v>
      </c>
      <c r="BN36" s="530" t="s">
        <v>609</v>
      </c>
      <c r="BO36" s="537">
        <v>106907.25000000001</v>
      </c>
    </row>
    <row r="37" spans="1:67" ht="15" customHeight="1" thickBot="1" thickTop="1">
      <c r="A37" s="573" t="s">
        <v>437</v>
      </c>
      <c r="B37" s="573" t="s">
        <v>109</v>
      </c>
      <c r="C37" s="615">
        <v>1238606</v>
      </c>
      <c r="F37" s="530" t="s">
        <v>621</v>
      </c>
      <c r="G37" s="537">
        <v>970349.0699999998</v>
      </c>
      <c r="H37" s="717"/>
      <c r="K37" s="717"/>
      <c r="N37" s="536"/>
      <c r="O37" s="530"/>
      <c r="P37" s="555"/>
      <c r="R37" s="561" t="s">
        <v>425</v>
      </c>
      <c r="S37" s="578">
        <f>SUM(S4:S35)</f>
        <v>14217897.600000001</v>
      </c>
      <c r="U37" s="530"/>
      <c r="V37" s="555"/>
      <c r="AB37"/>
      <c r="AF37" s="559"/>
      <c r="AG37" s="559"/>
      <c r="AH37" s="530" t="s">
        <v>504</v>
      </c>
      <c r="AI37" s="537">
        <v>12505.61</v>
      </c>
      <c r="AJ37" s="677"/>
      <c r="AK37" s="735" t="s">
        <v>882</v>
      </c>
      <c r="AL37" s="865">
        <f>SUM(AL34:AL36)</f>
        <v>2094034.2555999998</v>
      </c>
      <c r="AM37" s="865">
        <f>SUM(AM34:AM36)</f>
        <v>84649577.46218282</v>
      </c>
      <c r="AN37" s="865">
        <f>SUM(AN34:AN36)</f>
        <v>19589437.910915423</v>
      </c>
      <c r="AQ37" s="598" t="s">
        <v>996</v>
      </c>
      <c r="AR37" s="555">
        <v>31744.23216083704</v>
      </c>
      <c r="AS37" s="537">
        <v>7346.187469782755</v>
      </c>
      <c r="BC37" s="716" t="s">
        <v>519</v>
      </c>
      <c r="BD37" s="635">
        <v>12145.498825454355</v>
      </c>
      <c r="BE37" s="635">
        <v>2810.6873347495484</v>
      </c>
      <c r="BN37" s="530" t="s">
        <v>610</v>
      </c>
      <c r="BO37" s="537">
        <v>5649386.32000001</v>
      </c>
    </row>
    <row r="38" spans="1:67" ht="15" customHeight="1" thickBot="1" thickTop="1">
      <c r="A38" s="573" t="s">
        <v>438</v>
      </c>
      <c r="B38" s="573" t="s">
        <v>111</v>
      </c>
      <c r="C38" s="615">
        <v>3293224</v>
      </c>
      <c r="F38" s="530" t="s">
        <v>622</v>
      </c>
      <c r="G38" s="537">
        <v>40338.95</v>
      </c>
      <c r="H38" s="717"/>
      <c r="I38" s="719" t="s">
        <v>425</v>
      </c>
      <c r="J38" s="722">
        <f>SUM(J4:J31)</f>
        <v>635659.5900000001</v>
      </c>
      <c r="K38" s="717"/>
      <c r="L38" s="719" t="s">
        <v>425</v>
      </c>
      <c r="M38" s="722">
        <f>SUM(M4:M36)</f>
        <v>721782.7999999999</v>
      </c>
      <c r="N38" s="536"/>
      <c r="O38" s="530"/>
      <c r="P38" s="555"/>
      <c r="R38" s="530"/>
      <c r="S38" s="555"/>
      <c r="U38" s="530"/>
      <c r="V38" s="555"/>
      <c r="AB38" s="845" t="s">
        <v>772</v>
      </c>
      <c r="AC38" s="846">
        <v>7846</v>
      </c>
      <c r="AD38" s="847">
        <f>+AC38/AC40</f>
        <v>0.07868109387378534</v>
      </c>
      <c r="AF38" s="559"/>
      <c r="AG38" s="559"/>
      <c r="AH38" s="530" t="s">
        <v>505</v>
      </c>
      <c r="AI38" s="537">
        <v>8867.42</v>
      </c>
      <c r="AJ38" s="677"/>
      <c r="AK38" s="560"/>
      <c r="AL38" s="560"/>
      <c r="AQ38" s="624" t="s">
        <v>633</v>
      </c>
      <c r="AR38" s="555">
        <v>134639.57901841518</v>
      </c>
      <c r="AS38" s="537">
        <v>31158.025285051546</v>
      </c>
      <c r="AU38" s="624"/>
      <c r="AV38" s="555"/>
      <c r="AW38" s="537"/>
      <c r="AX38" s="537"/>
      <c r="AY38" s="636"/>
      <c r="AZ38" s="671"/>
      <c r="BA38" s="671"/>
      <c r="BC38" s="716" t="s">
        <v>627</v>
      </c>
      <c r="BD38" s="635">
        <v>30780.34392896646</v>
      </c>
      <c r="BE38" s="635">
        <v>7123.126360118416</v>
      </c>
      <c r="BN38" s="530" t="s">
        <v>611</v>
      </c>
      <c r="BO38" s="537">
        <v>857726.9700000001</v>
      </c>
    </row>
    <row r="39" spans="1:67" ht="16.5" customHeight="1" thickBot="1" thickTop="1">
      <c r="A39" s="727" t="s">
        <v>439</v>
      </c>
      <c r="B39" s="727" t="s">
        <v>450</v>
      </c>
      <c r="C39" s="747">
        <v>6490</v>
      </c>
      <c r="D39" s="732">
        <f>SUM(C33:C39)</f>
        <v>6698542</v>
      </c>
      <c r="E39" s="984" t="s">
        <v>932</v>
      </c>
      <c r="F39" s="598"/>
      <c r="G39" s="555"/>
      <c r="H39" s="717"/>
      <c r="I39" s="716"/>
      <c r="J39" s="723"/>
      <c r="K39" s="717"/>
      <c r="L39" s="572"/>
      <c r="M39" s="571"/>
      <c r="O39" s="530"/>
      <c r="P39" s="555"/>
      <c r="R39" s="530"/>
      <c r="S39" s="555"/>
      <c r="U39" s="561" t="s">
        <v>425</v>
      </c>
      <c r="V39" s="675">
        <f>SUM(V4:V38)</f>
        <v>3855473.4700000007</v>
      </c>
      <c r="AB39" s="845" t="s">
        <v>773</v>
      </c>
      <c r="AC39" s="846">
        <v>91873</v>
      </c>
      <c r="AD39" s="847">
        <f>+AC39/AC40</f>
        <v>0.9213189061262147</v>
      </c>
      <c r="AF39" s="559"/>
      <c r="AG39" s="559"/>
      <c r="AH39" s="530" t="s">
        <v>506</v>
      </c>
      <c r="AI39" s="537">
        <v>944</v>
      </c>
      <c r="AJ39" s="677"/>
      <c r="AQ39" s="536" t="s">
        <v>997</v>
      </c>
      <c r="AR39" s="555">
        <v>68690.29788867595</v>
      </c>
      <c r="AS39" s="537">
        <v>15896.172983134156</v>
      </c>
      <c r="BC39" s="716" t="s">
        <v>752</v>
      </c>
      <c r="BD39" s="635">
        <v>214915.10611440925</v>
      </c>
      <c r="BE39" s="635">
        <v>49735.22911518028</v>
      </c>
      <c r="BN39" s="530" t="s">
        <v>612</v>
      </c>
      <c r="BO39" s="537">
        <v>-133167.52999999997</v>
      </c>
    </row>
    <row r="40" spans="1:67" ht="15" customHeight="1" thickBot="1">
      <c r="A40" s="573" t="s">
        <v>440</v>
      </c>
      <c r="B40" s="573" t="s">
        <v>119</v>
      </c>
      <c r="C40" s="615">
        <v>917051</v>
      </c>
      <c r="F40" s="561" t="s">
        <v>425</v>
      </c>
      <c r="G40" s="721">
        <f>SUM(G4:G39)</f>
        <v>17614776.969999995</v>
      </c>
      <c r="H40" s="717"/>
      <c r="I40" s="717" t="s">
        <v>566</v>
      </c>
      <c r="J40" s="1302">
        <f>+V47</f>
        <v>128893.95859417583</v>
      </c>
      <c r="K40" s="717"/>
      <c r="L40" s="636" t="s">
        <v>678</v>
      </c>
      <c r="M40" s="1302">
        <f>+V48</f>
        <v>1300480.185051113</v>
      </c>
      <c r="R40" s="530"/>
      <c r="S40" s="555"/>
      <c r="U40" s="530"/>
      <c r="V40" s="555"/>
      <c r="AB40" s="772"/>
      <c r="AC40" s="848">
        <f>SUM(AC38:AC39)</f>
        <v>99719</v>
      </c>
      <c r="AD40" s="849">
        <f>SUM(AD38:AD39)</f>
        <v>1</v>
      </c>
      <c r="AF40" s="559"/>
      <c r="AG40" s="559"/>
      <c r="AH40" s="530" t="s">
        <v>507</v>
      </c>
      <c r="AI40" s="537">
        <v>2001.78</v>
      </c>
      <c r="AJ40" s="677"/>
      <c r="AK40" s="930" t="s">
        <v>922</v>
      </c>
      <c r="AL40" s="560"/>
      <c r="AQ40" s="536" t="s">
        <v>998</v>
      </c>
      <c r="AR40" s="555">
        <v>286583.6972753747</v>
      </c>
      <c r="AS40" s="537">
        <v>66320.63284131611</v>
      </c>
      <c r="BC40" s="716" t="s">
        <v>560</v>
      </c>
      <c r="BD40" s="635">
        <v>268503.69998759456</v>
      </c>
      <c r="BE40" s="635">
        <v>62136.59560090505</v>
      </c>
      <c r="BN40" s="530" t="s">
        <v>613</v>
      </c>
      <c r="BO40" s="537">
        <v>611283.38</v>
      </c>
    </row>
    <row r="41" spans="1:67" ht="15" customHeight="1" thickTop="1">
      <c r="A41" s="573" t="s">
        <v>441</v>
      </c>
      <c r="B41" s="573" t="s">
        <v>120</v>
      </c>
      <c r="C41" s="1305">
        <v>3349758</v>
      </c>
      <c r="G41" s="723"/>
      <c r="I41" s="717" t="s">
        <v>488</v>
      </c>
      <c r="J41" s="1302">
        <f>+AI162</f>
        <v>217274.50999999995</v>
      </c>
      <c r="L41" s="717" t="s">
        <v>488</v>
      </c>
      <c r="M41" s="1302">
        <f>+AI163</f>
        <v>508215.2623351618</v>
      </c>
      <c r="U41" s="561" t="s">
        <v>676</v>
      </c>
      <c r="V41" s="1297">
        <v>560537</v>
      </c>
      <c r="AC41" s="555"/>
      <c r="AD41" s="555"/>
      <c r="AE41" s="555"/>
      <c r="AF41" s="559"/>
      <c r="AG41" s="559"/>
      <c r="AH41" s="530" t="s">
        <v>751</v>
      </c>
      <c r="AI41" s="537">
        <v>0</v>
      </c>
      <c r="AJ41" s="677"/>
      <c r="AK41" s="735" t="s">
        <v>537</v>
      </c>
      <c r="AL41" s="926">
        <f>+AL8+AL9</f>
        <v>597919</v>
      </c>
      <c r="AM41" s="926">
        <f>+AM8+AM9</f>
        <v>16423387.351998148</v>
      </c>
      <c r="AN41" s="926">
        <f>+AN8+AN9</f>
        <v>3800667.8387314854</v>
      </c>
      <c r="AQ41" s="624" t="s">
        <v>653</v>
      </c>
      <c r="AR41" s="555">
        <v>266302.83906227397</v>
      </c>
      <c r="AS41" s="537">
        <v>61627.27671518096</v>
      </c>
      <c r="AU41" s="624"/>
      <c r="AV41" s="555"/>
      <c r="AW41" s="537"/>
      <c r="AX41" s="537"/>
      <c r="BC41" s="716" t="s">
        <v>629</v>
      </c>
      <c r="BD41" s="635">
        <v>37063.78197745208</v>
      </c>
      <c r="BE41" s="635">
        <v>8577.227175191467</v>
      </c>
      <c r="BN41" s="530" t="s">
        <v>970</v>
      </c>
      <c r="BO41" s="537">
        <v>84649577.37</v>
      </c>
    </row>
    <row r="42" spans="1:67" ht="15" customHeight="1" thickBot="1">
      <c r="A42" s="573" t="s">
        <v>442</v>
      </c>
      <c r="B42" s="573" t="s">
        <v>121</v>
      </c>
      <c r="C42" s="615">
        <v>233139</v>
      </c>
      <c r="F42" t="s">
        <v>566</v>
      </c>
      <c r="G42" s="1300">
        <f>+V46</f>
        <v>2426099.326354712</v>
      </c>
      <c r="I42" s="717"/>
      <c r="J42" s="721">
        <f>+J38+J40+J41</f>
        <v>981828.0585941758</v>
      </c>
      <c r="L42" s="717"/>
      <c r="M42" s="721">
        <f>+M38+M40+M41</f>
        <v>2530478.2473862744</v>
      </c>
      <c r="O42" s="530"/>
      <c r="P42" s="555"/>
      <c r="R42" s="530"/>
      <c r="S42" s="555"/>
      <c r="U42" s="561" t="s">
        <v>677</v>
      </c>
      <c r="V42" s="1298">
        <f>+V39-V41</f>
        <v>3294936.4700000007</v>
      </c>
      <c r="AF42" s="559"/>
      <c r="AG42" s="559"/>
      <c r="AH42" s="530" t="s">
        <v>508</v>
      </c>
      <c r="AI42" s="537">
        <v>87897.35</v>
      </c>
      <c r="AJ42" s="677"/>
      <c r="AK42" s="560" t="s">
        <v>643</v>
      </c>
      <c r="AL42" s="859">
        <f>+AL12+AL13</f>
        <v>47384.14</v>
      </c>
      <c r="AM42" s="859">
        <f>+AM12+AM13</f>
        <v>1151414.5508449026</v>
      </c>
      <c r="AN42" s="859">
        <f>+AN12+AN13</f>
        <v>266458.0759205117</v>
      </c>
      <c r="AQ42" s="624" t="s">
        <v>916</v>
      </c>
      <c r="AR42" s="555">
        <v>17445.476035608095</v>
      </c>
      <c r="AS42" s="537">
        <v>4037.1975862527916</v>
      </c>
      <c r="AU42" s="624"/>
      <c r="AV42" s="555"/>
      <c r="AW42" s="537"/>
      <c r="AX42" s="537"/>
      <c r="BC42" s="716" t="s">
        <v>920</v>
      </c>
      <c r="BD42" s="635">
        <v>11795.74747220622</v>
      </c>
      <c r="BE42" s="635">
        <v>2729.7485678027515</v>
      </c>
      <c r="BN42" s="530" t="s">
        <v>648</v>
      </c>
      <c r="BO42" s="537">
        <v>146085.84999999998</v>
      </c>
    </row>
    <row r="43" spans="1:67" ht="15" customHeight="1" thickTop="1">
      <c r="A43" s="573" t="s">
        <v>443</v>
      </c>
      <c r="B43" s="573" t="s">
        <v>122</v>
      </c>
      <c r="C43" s="615">
        <v>1269735</v>
      </c>
      <c r="F43" t="s">
        <v>488</v>
      </c>
      <c r="G43" s="1300">
        <f>+AI161+AI164</f>
        <v>1413904.5576648382</v>
      </c>
      <c r="H43" s="760"/>
      <c r="K43" s="760"/>
      <c r="O43" s="530"/>
      <c r="P43" s="555"/>
      <c r="R43" s="530"/>
      <c r="S43" s="555"/>
      <c r="AC43" s="555"/>
      <c r="AD43" s="555"/>
      <c r="AE43" s="555"/>
      <c r="AF43" s="559"/>
      <c r="AG43" s="559"/>
      <c r="AH43" s="530" t="s">
        <v>509</v>
      </c>
      <c r="AI43" s="537">
        <v>81198.09</v>
      </c>
      <c r="AJ43" s="677"/>
      <c r="AK43" s="560" t="s">
        <v>764</v>
      </c>
      <c r="AL43" s="927">
        <f>+AL16+AL17</f>
        <v>112036.07560000001</v>
      </c>
      <c r="AM43" s="927">
        <f>+AM16+AM17</f>
        <v>6276121.970042055</v>
      </c>
      <c r="AN43" s="927">
        <f>+AN16+AN17</f>
        <v>1452407.7462634244</v>
      </c>
      <c r="AQ43" s="624" t="s">
        <v>645</v>
      </c>
      <c r="AR43" s="555">
        <v>491257.8905460681</v>
      </c>
      <c r="AS43" s="537">
        <v>113685.93014556234</v>
      </c>
      <c r="AU43" s="624"/>
      <c r="AV43" s="555"/>
      <c r="AW43" s="537"/>
      <c r="AX43" s="537"/>
      <c r="BC43" s="716" t="s">
        <v>561</v>
      </c>
      <c r="BD43" s="635">
        <v>144963.65289050597</v>
      </c>
      <c r="BE43" s="635">
        <v>33547.20205681899</v>
      </c>
      <c r="BN43" s="530" t="s">
        <v>649</v>
      </c>
      <c r="BO43" s="537">
        <v>5724164.950000002</v>
      </c>
    </row>
    <row r="44" spans="1:67" ht="16.5" thickBot="1">
      <c r="A44" s="727" t="s">
        <v>421</v>
      </c>
      <c r="B44" s="727" t="s">
        <v>415</v>
      </c>
      <c r="C44" s="730">
        <f>S37</f>
        <v>14217897.600000001</v>
      </c>
      <c r="D44" s="732">
        <f>SUM(C40:C44)</f>
        <v>19987580.6</v>
      </c>
      <c r="E44" s="984" t="s">
        <v>932</v>
      </c>
      <c r="F44" s="534" t="s">
        <v>588</v>
      </c>
      <c r="G44" s="672">
        <f>+G40+G42+G43</f>
        <v>21454780.854019545</v>
      </c>
      <c r="H44" s="760"/>
      <c r="K44" s="760"/>
      <c r="R44" s="530"/>
      <c r="S44" s="555"/>
      <c r="U44" s="597" t="s">
        <v>416</v>
      </c>
      <c r="V44" s="590"/>
      <c r="AC44" s="555"/>
      <c r="AD44" s="555"/>
      <c r="AE44" s="555"/>
      <c r="AF44" s="559"/>
      <c r="AG44" s="559"/>
      <c r="AH44" s="530" t="s">
        <v>510</v>
      </c>
      <c r="AI44" s="537">
        <v>24137.74</v>
      </c>
      <c r="AJ44" s="677"/>
      <c r="AK44" s="928" t="s">
        <v>759</v>
      </c>
      <c r="AL44" s="929">
        <f>SUM(AL41:AL43)</f>
        <v>757339.2156</v>
      </c>
      <c r="AM44" s="929">
        <f>SUM(AM41:AM43)</f>
        <v>23850923.872885104</v>
      </c>
      <c r="AN44" s="929">
        <f>SUM(AN41:AN43)</f>
        <v>5519533.660915421</v>
      </c>
      <c r="AQ44" s="624" t="s">
        <v>917</v>
      </c>
      <c r="AR44" s="555">
        <v>63074.33282305604</v>
      </c>
      <c r="AS44" s="537">
        <v>14596.537446613216</v>
      </c>
      <c r="AU44" s="624"/>
      <c r="AV44" s="555"/>
      <c r="AW44" s="537"/>
      <c r="AX44" s="537"/>
      <c r="BC44" s="716" t="s">
        <v>630</v>
      </c>
      <c r="BD44" s="635">
        <v>63152.89383793071</v>
      </c>
      <c r="BE44" s="635">
        <v>14614.717881413519</v>
      </c>
      <c r="BN44" s="530" t="s">
        <v>768</v>
      </c>
      <c r="BO44" s="537">
        <v>391303.8400000001</v>
      </c>
    </row>
    <row r="45" spans="1:67" ht="12.75">
      <c r="A45" s="628"/>
      <c r="B45" s="628"/>
      <c r="C45" s="547"/>
      <c r="P45" s="555"/>
      <c r="R45" s="530"/>
      <c r="S45" s="555"/>
      <c r="U45" s="566" t="s">
        <v>626</v>
      </c>
      <c r="V45" s="591"/>
      <c r="AC45" s="555"/>
      <c r="AD45" s="555"/>
      <c r="AE45" s="555"/>
      <c r="AF45" s="559"/>
      <c r="AG45" s="559"/>
      <c r="AH45" s="530" t="s">
        <v>511</v>
      </c>
      <c r="AI45" s="537">
        <v>10712.97</v>
      </c>
      <c r="AJ45" s="677"/>
      <c r="AQ45" s="536" t="s">
        <v>999</v>
      </c>
      <c r="AR45" s="555">
        <v>39253.90953793906</v>
      </c>
      <c r="AS45" s="537">
        <v>9084.062166838372</v>
      </c>
      <c r="BN45" s="530" t="s">
        <v>614</v>
      </c>
      <c r="BO45" s="537">
        <v>579861.81</v>
      </c>
    </row>
    <row r="46" spans="1:67" ht="15">
      <c r="A46" s="628" t="s">
        <v>729</v>
      </c>
      <c r="B46" s="628"/>
      <c r="C46" s="726">
        <f>SUM(C4:C45)</f>
        <v>174691936.02999976</v>
      </c>
      <c r="I46" s="758" t="s">
        <v>642</v>
      </c>
      <c r="J46" s="759" t="s">
        <v>643</v>
      </c>
      <c r="L46" s="758" t="s">
        <v>642</v>
      </c>
      <c r="M46" s="759" t="s">
        <v>638</v>
      </c>
      <c r="O46" s="547"/>
      <c r="P46" s="555"/>
      <c r="R46" s="530"/>
      <c r="S46" s="555"/>
      <c r="U46" s="596" t="s">
        <v>42</v>
      </c>
      <c r="V46" s="1299">
        <f>+V39*Z4</f>
        <v>2426099.326354712</v>
      </c>
      <c r="AC46" s="555"/>
      <c r="AD46" s="555"/>
      <c r="AE46" s="555"/>
      <c r="AF46" s="559"/>
      <c r="AG46" s="559"/>
      <c r="AH46" s="530" t="s">
        <v>512</v>
      </c>
      <c r="AI46" s="537">
        <v>34106.86</v>
      </c>
      <c r="AJ46" s="677"/>
      <c r="AQ46" s="624" t="s">
        <v>654</v>
      </c>
      <c r="AR46" s="555">
        <v>220715.82335622702</v>
      </c>
      <c r="AS46" s="537">
        <v>51077.61963518681</v>
      </c>
      <c r="AT46" s="617"/>
      <c r="AU46" s="624"/>
      <c r="AV46" s="555"/>
      <c r="AW46" s="537"/>
      <c r="AX46" s="537"/>
      <c r="AY46" s="552"/>
      <c r="AZ46" s="553"/>
      <c r="BA46" s="553"/>
      <c r="BN46" s="530" t="s">
        <v>615</v>
      </c>
      <c r="BO46" s="537">
        <v>138476.66999999998</v>
      </c>
    </row>
    <row r="47" spans="1:67" ht="15">
      <c r="A47" s="687" t="s">
        <v>873</v>
      </c>
      <c r="B47" s="687"/>
      <c r="C47" s="853">
        <v>174691936</v>
      </c>
      <c r="I47" s="761" t="s">
        <v>640</v>
      </c>
      <c r="J47" s="1301">
        <v>437.47</v>
      </c>
      <c r="L47" s="762" t="s">
        <v>641</v>
      </c>
      <c r="M47" s="1303">
        <v>562025</v>
      </c>
      <c r="P47" s="555"/>
      <c r="R47" s="530"/>
      <c r="S47" s="555"/>
      <c r="U47" s="596" t="s">
        <v>24</v>
      </c>
      <c r="V47" s="1299">
        <f>+V39*Z5</f>
        <v>128893.95859417583</v>
      </c>
      <c r="AC47" s="555"/>
      <c r="AD47" s="555"/>
      <c r="AE47" s="555"/>
      <c r="AF47" s="559"/>
      <c r="AG47" s="559"/>
      <c r="AH47" s="530" t="s">
        <v>513</v>
      </c>
      <c r="AI47" s="537">
        <v>15556.85</v>
      </c>
      <c r="AJ47" s="677"/>
      <c r="AQ47" s="624" t="s">
        <v>655</v>
      </c>
      <c r="AR47" s="555">
        <v>267348.52535555646</v>
      </c>
      <c r="AS47" s="537">
        <v>61869.2673705578</v>
      </c>
      <c r="AX47" s="537"/>
      <c r="AY47" s="552"/>
      <c r="AZ47" s="553"/>
      <c r="BA47" s="553"/>
      <c r="BN47" s="530" t="s">
        <v>625</v>
      </c>
      <c r="BO47" s="537">
        <v>610282.2</v>
      </c>
    </row>
    <row r="48" spans="1:67" ht="15.75" thickBot="1">
      <c r="A48" s="687" t="s">
        <v>872</v>
      </c>
      <c r="B48" s="534"/>
      <c r="C48" s="854">
        <f>+C46-C47</f>
        <v>0.029999762773513794</v>
      </c>
      <c r="F48" s="758" t="s">
        <v>642</v>
      </c>
      <c r="G48" s="759" t="s">
        <v>537</v>
      </c>
      <c r="O48" s="547"/>
      <c r="P48" s="562"/>
      <c r="R48" s="530"/>
      <c r="S48" s="555"/>
      <c r="U48" s="596" t="s">
        <v>43</v>
      </c>
      <c r="V48" s="1299">
        <f>+V39*Z6</f>
        <v>1300480.185051113</v>
      </c>
      <c r="AC48" s="555"/>
      <c r="AD48" s="555"/>
      <c r="AE48" s="555"/>
      <c r="AF48" s="559"/>
      <c r="AG48" s="559"/>
      <c r="AH48" s="530" t="s">
        <v>514</v>
      </c>
      <c r="AI48" s="537">
        <v>15074.26</v>
      </c>
      <c r="AJ48" s="677"/>
      <c r="AQ48" s="536" t="s">
        <v>1000</v>
      </c>
      <c r="AR48" s="555">
        <v>907803.2136774433</v>
      </c>
      <c r="AS48" s="537">
        <v>210082.02559623367</v>
      </c>
      <c r="AY48" s="685"/>
      <c r="AZ48" s="671"/>
      <c r="BA48" s="671"/>
      <c r="BC48" s="534" t="s">
        <v>557</v>
      </c>
      <c r="BD48" s="578">
        <f>SUM(BD4:BD44)</f>
        <v>4278719.674403647</v>
      </c>
      <c r="BE48" s="578">
        <f>SUM(BE4:BE44)</f>
        <v>990172.8509154213</v>
      </c>
      <c r="BN48" s="530" t="s">
        <v>616</v>
      </c>
      <c r="BO48" s="537">
        <v>2816065.71</v>
      </c>
    </row>
    <row r="49" spans="2:67" ht="16.5" thickBot="1" thickTop="1">
      <c r="B49" s="687"/>
      <c r="F49" s="761" t="s">
        <v>639</v>
      </c>
      <c r="G49" s="1301">
        <v>4246032</v>
      </c>
      <c r="O49" s="547"/>
      <c r="P49" s="547"/>
      <c r="U49" s="596" t="s">
        <v>558</v>
      </c>
      <c r="V49" s="563">
        <f>SUM(V46:V48)</f>
        <v>3855473.4700000007</v>
      </c>
      <c r="AC49" s="555"/>
      <c r="AD49" s="555"/>
      <c r="AE49" s="555"/>
      <c r="AF49" s="559"/>
      <c r="AG49" s="559"/>
      <c r="AH49" s="530" t="s">
        <v>515</v>
      </c>
      <c r="AI49" s="537">
        <v>12674.48</v>
      </c>
      <c r="AJ49" s="677"/>
      <c r="AK49" s="560"/>
      <c r="AL49" s="560"/>
      <c r="AQ49" s="636" t="s">
        <v>1001</v>
      </c>
      <c r="AR49" s="555">
        <v>145742.6987498356</v>
      </c>
      <c r="AS49" s="537">
        <v>33727.48730993826</v>
      </c>
      <c r="AY49" s="685"/>
      <c r="AZ49" s="671"/>
      <c r="BA49" s="671"/>
      <c r="BC49" s="534"/>
      <c r="BF49" s="617" t="s">
        <v>534</v>
      </c>
      <c r="BN49" s="530" t="s">
        <v>617</v>
      </c>
      <c r="BO49" s="537">
        <v>1471260.9600000002</v>
      </c>
    </row>
    <row r="50" spans="1:67" ht="13.5" thickTop="1">
      <c r="A50" s="687" t="s">
        <v>589</v>
      </c>
      <c r="B50" s="534" t="s">
        <v>888</v>
      </c>
      <c r="C50" s="616">
        <f>+'P7 Form A-5 - OH '!J52</f>
        <v>174691936.8983415</v>
      </c>
      <c r="O50" s="547"/>
      <c r="P50" s="547"/>
      <c r="R50" s="530"/>
      <c r="S50" s="555"/>
      <c r="AC50" s="555"/>
      <c r="AD50" s="555"/>
      <c r="AE50" s="555"/>
      <c r="AF50" s="559"/>
      <c r="AG50" s="559"/>
      <c r="AH50" s="530" t="s">
        <v>516</v>
      </c>
      <c r="AI50" s="537">
        <v>7082.96</v>
      </c>
      <c r="AJ50" s="677"/>
      <c r="AK50" s="560"/>
      <c r="AL50" s="560"/>
      <c r="AQ50" s="636" t="s">
        <v>1002</v>
      </c>
      <c r="AR50" s="555">
        <v>113914.69422985354</v>
      </c>
      <c r="AS50" s="537">
        <v>26361.913406363456</v>
      </c>
      <c r="AY50" s="685"/>
      <c r="AZ50" s="671"/>
      <c r="BA50" s="671"/>
      <c r="BB50" s="536" t="s">
        <v>524</v>
      </c>
      <c r="BC50" s="551" t="s">
        <v>42</v>
      </c>
      <c r="BD50" s="757">
        <f>+BD48*Z4</f>
        <v>2692431.6819981486</v>
      </c>
      <c r="BE50" s="577">
        <f>+BE48*Z4</f>
        <v>623077.2187314851</v>
      </c>
      <c r="BF50" s="577">
        <f>+$BF$53*Z4</f>
        <v>47214.13057767908</v>
      </c>
      <c r="BN50" s="530" t="s">
        <v>618</v>
      </c>
      <c r="BO50" s="537">
        <v>11752605.560000002</v>
      </c>
    </row>
    <row r="51" spans="1:67" ht="13.5" thickBot="1">
      <c r="A51" s="687" t="s">
        <v>872</v>
      </c>
      <c r="C51" s="1293">
        <f>+C46-C50</f>
        <v>-0.8683417439460754</v>
      </c>
      <c r="R51" s="530"/>
      <c r="S51" s="555"/>
      <c r="AC51" s="555"/>
      <c r="AD51" s="555"/>
      <c r="AE51" s="555"/>
      <c r="AF51" s="559"/>
      <c r="AG51" s="559"/>
      <c r="AH51" s="530" t="s">
        <v>517</v>
      </c>
      <c r="AI51" s="537">
        <v>23442.74</v>
      </c>
      <c r="AJ51" s="677"/>
      <c r="AK51" s="560"/>
      <c r="AL51" s="560"/>
      <c r="AQ51" s="636" t="s">
        <v>1003</v>
      </c>
      <c r="AR51" s="555">
        <v>785684.1498356257</v>
      </c>
      <c r="AS51" s="555">
        <v>181821.47318875947</v>
      </c>
      <c r="AX51" s="537"/>
      <c r="AY51" s="685"/>
      <c r="AZ51" s="671"/>
      <c r="BA51" s="671"/>
      <c r="BC51" s="551" t="s">
        <v>24</v>
      </c>
      <c r="BD51" s="577">
        <f>+BD48*Z5</f>
        <v>143043.68084490256</v>
      </c>
      <c r="BE51" s="577">
        <f>+BE48*Z5</f>
        <v>33102.88592051168</v>
      </c>
      <c r="BF51" s="577">
        <f>+$BF$53*Z5</f>
        <v>2508.395318209499</v>
      </c>
      <c r="BN51" s="530" t="s">
        <v>619</v>
      </c>
      <c r="BO51" s="537">
        <v>1076859.2800000003</v>
      </c>
    </row>
    <row r="52" spans="18:67" ht="13.5" thickTop="1">
      <c r="R52" s="530"/>
      <c r="S52" s="555"/>
      <c r="AC52" s="555"/>
      <c r="AD52" s="555"/>
      <c r="AE52" s="555"/>
      <c r="AF52" s="559"/>
      <c r="AG52" s="559"/>
      <c r="AH52" s="530" t="s">
        <v>518</v>
      </c>
      <c r="AI52" s="537">
        <v>5932.27</v>
      </c>
      <c r="AJ52" s="677"/>
      <c r="AK52" s="560"/>
      <c r="AL52" s="560"/>
      <c r="AQ52" s="636" t="s">
        <v>1004</v>
      </c>
      <c r="AR52" s="555">
        <v>91459.39259815628</v>
      </c>
      <c r="AS52" s="555">
        <v>21165.35188170074</v>
      </c>
      <c r="AX52" s="537"/>
      <c r="AY52" s="685"/>
      <c r="AZ52" s="671"/>
      <c r="BA52" s="671"/>
      <c r="BC52" s="551" t="s">
        <v>43</v>
      </c>
      <c r="BD52" s="577">
        <f>+BD48*Z6</f>
        <v>1443244.3115605956</v>
      </c>
      <c r="BE52" s="577">
        <f>+BE48*Z6</f>
        <v>333992.7462634245</v>
      </c>
      <c r="BF52" s="577">
        <f>+$BF$53*Z6</f>
        <v>25308.543885111427</v>
      </c>
      <c r="BG52" s="547"/>
      <c r="BN52" s="530" t="s">
        <v>620</v>
      </c>
      <c r="BO52" s="537">
        <v>440184.6499999999</v>
      </c>
    </row>
    <row r="53" spans="18:67" ht="21.75" thickBot="1">
      <c r="R53" s="530"/>
      <c r="S53" s="555"/>
      <c r="X53" s="816"/>
      <c r="Y53" s="550"/>
      <c r="Z53" s="550"/>
      <c r="AC53" s="555"/>
      <c r="AD53" s="555"/>
      <c r="AE53" s="555"/>
      <c r="AF53" s="559"/>
      <c r="AG53" s="559"/>
      <c r="AH53" s="530" t="s">
        <v>519</v>
      </c>
      <c r="AI53" s="537">
        <v>14499</v>
      </c>
      <c r="AJ53" s="677"/>
      <c r="AK53" s="560"/>
      <c r="AL53" s="560"/>
      <c r="AQ53" s="536" t="s">
        <v>1005</v>
      </c>
      <c r="AR53" s="555">
        <v>50864.85472486791</v>
      </c>
      <c r="AS53" s="555">
        <v>11771.044155011372</v>
      </c>
      <c r="AX53" s="550"/>
      <c r="AY53" s="685"/>
      <c r="AZ53" s="671"/>
      <c r="BA53" s="671"/>
      <c r="BC53" s="551" t="s">
        <v>558</v>
      </c>
      <c r="BD53" s="578">
        <f>SUM(BD50:BD52)</f>
        <v>4278719.674403647</v>
      </c>
      <c r="BE53" s="578">
        <f>SUM(BE50:BE52)</f>
        <v>990172.8509154213</v>
      </c>
      <c r="BF53" s="578">
        <v>75031.06978100001</v>
      </c>
      <c r="BG53" s="547"/>
      <c r="BN53" s="530" t="s">
        <v>621</v>
      </c>
      <c r="BO53" s="537">
        <v>1218952.7899999996</v>
      </c>
    </row>
    <row r="54" spans="18:67" ht="13.5" thickTop="1">
      <c r="R54" s="573"/>
      <c r="S54" s="576"/>
      <c r="X54" s="550"/>
      <c r="Y54" s="550"/>
      <c r="Z54" s="550"/>
      <c r="AF54" s="559"/>
      <c r="AG54" s="559"/>
      <c r="AH54" s="530" t="s">
        <v>520</v>
      </c>
      <c r="AI54" s="537">
        <v>9778.72</v>
      </c>
      <c r="AJ54" s="677"/>
      <c r="AK54" s="560"/>
      <c r="AL54" s="560"/>
      <c r="AQ54" s="536" t="s">
        <v>1006</v>
      </c>
      <c r="AR54" s="555">
        <v>5625.706270678995</v>
      </c>
      <c r="AS54" s="555">
        <v>1301.8898269439374</v>
      </c>
      <c r="AU54" s="552"/>
      <c r="AV54" s="553"/>
      <c r="AW54" s="553"/>
      <c r="AX54" s="553"/>
      <c r="AY54" s="685"/>
      <c r="AZ54" s="671"/>
      <c r="BA54" s="671"/>
      <c r="BC54" s="534"/>
      <c r="BF54" s="547"/>
      <c r="BG54" s="673"/>
      <c r="BN54" s="530" t="s">
        <v>622</v>
      </c>
      <c r="BO54" s="537">
        <v>51283.05</v>
      </c>
    </row>
    <row r="55" spans="1:67" ht="15">
      <c r="A55" s="687" t="s">
        <v>878</v>
      </c>
      <c r="C55" s="824">
        <f>+C13+C22+C30</f>
        <v>2139394.33</v>
      </c>
      <c r="R55" s="573"/>
      <c r="S55" s="577"/>
      <c r="X55" s="817"/>
      <c r="Y55" s="818"/>
      <c r="Z55" s="818"/>
      <c r="AC55" s="555"/>
      <c r="AD55" s="555"/>
      <c r="AE55" s="555"/>
      <c r="AF55" s="559"/>
      <c r="AG55" s="559"/>
      <c r="AH55" s="530" t="s">
        <v>627</v>
      </c>
      <c r="AI55" s="537">
        <v>10848.5</v>
      </c>
      <c r="AJ55" s="677"/>
      <c r="AK55" s="560"/>
      <c r="AL55" s="560"/>
      <c r="AQ55" s="1294" t="s">
        <v>1007</v>
      </c>
      <c r="AR55" s="655">
        <v>61726.989871050755</v>
      </c>
      <c r="AS55" s="655">
        <v>14284.738003445953</v>
      </c>
      <c r="AU55" s="552"/>
      <c r="AV55" s="553"/>
      <c r="AW55" s="553"/>
      <c r="AX55" s="553"/>
      <c r="BN55" s="530" t="s">
        <v>971</v>
      </c>
      <c r="BO55" s="537">
        <v>214397.42</v>
      </c>
    </row>
    <row r="56" spans="1:67" ht="15">
      <c r="A56" s="534" t="s">
        <v>871</v>
      </c>
      <c r="C56" s="686">
        <f>+C12+C21+C29</f>
        <v>3855473.4700000007</v>
      </c>
      <c r="R56" s="573"/>
      <c r="S56" s="577"/>
      <c r="X56" s="550"/>
      <c r="Y56" s="819"/>
      <c r="Z56" s="820"/>
      <c r="AC56" s="555"/>
      <c r="AD56" s="555"/>
      <c r="AE56" s="555"/>
      <c r="AF56" s="559"/>
      <c r="AG56" s="559"/>
      <c r="AH56" s="530" t="s">
        <v>752</v>
      </c>
      <c r="AI56" s="537">
        <v>6178.85</v>
      </c>
      <c r="AJ56" s="677"/>
      <c r="AK56" s="560"/>
      <c r="AL56" s="560"/>
      <c r="AQ56" s="685"/>
      <c r="AR56" s="671"/>
      <c r="AS56" s="671"/>
      <c r="AU56" s="685"/>
      <c r="AV56" s="671"/>
      <c r="AW56" s="671"/>
      <c r="AX56" s="553"/>
      <c r="BN56" s="530" t="s">
        <v>972</v>
      </c>
      <c r="BO56" s="537">
        <v>11390.52</v>
      </c>
    </row>
    <row r="57" spans="18:67" ht="15">
      <c r="R57" s="573"/>
      <c r="S57" s="577"/>
      <c r="X57" s="550"/>
      <c r="Y57" s="819"/>
      <c r="Z57" s="820"/>
      <c r="AC57" s="555"/>
      <c r="AD57" s="555"/>
      <c r="AE57" s="555"/>
      <c r="AF57" s="559"/>
      <c r="AG57" s="559"/>
      <c r="AH57" s="530" t="s">
        <v>753</v>
      </c>
      <c r="AI57" s="537">
        <v>417</v>
      </c>
      <c r="AJ57" s="677"/>
      <c r="AK57" s="560"/>
      <c r="AL57" s="560"/>
      <c r="AQ57" s="685"/>
      <c r="AR57" s="671"/>
      <c r="AS57" s="671"/>
      <c r="AU57" s="685"/>
      <c r="AV57" s="671"/>
      <c r="AW57" s="671"/>
      <c r="AX57" s="671"/>
      <c r="BC57" s="534"/>
      <c r="BF57" s="537">
        <f>BF53-BF50-BF51-BF52</f>
        <v>0</v>
      </c>
      <c r="BN57" s="530" t="s">
        <v>973</v>
      </c>
      <c r="BO57" s="537">
        <v>114925.06</v>
      </c>
    </row>
    <row r="58" spans="18:67" ht="15">
      <c r="R58" s="547"/>
      <c r="S58" s="577"/>
      <c r="X58" s="550"/>
      <c r="Y58" s="819"/>
      <c r="Z58" s="820"/>
      <c r="AC58" s="555"/>
      <c r="AD58" s="555"/>
      <c r="AE58" s="555"/>
      <c r="AF58" s="559"/>
      <c r="AG58" s="559"/>
      <c r="AH58" s="530" t="s">
        <v>774</v>
      </c>
      <c r="AI58" s="537">
        <v>0</v>
      </c>
      <c r="AJ58" s="677"/>
      <c r="AK58" s="560"/>
      <c r="AL58" s="560"/>
      <c r="AQ58" s="685"/>
      <c r="AR58" s="671"/>
      <c r="AS58" s="671"/>
      <c r="AU58" s="572"/>
      <c r="AV58" s="671"/>
      <c r="AW58" s="671"/>
      <c r="AX58" s="671"/>
      <c r="BN58" s="1038" t="s">
        <v>425</v>
      </c>
      <c r="BO58" s="1039">
        <f>SUM(BO5:BO57)</f>
        <v>174690282.54999995</v>
      </c>
    </row>
    <row r="59" spans="18:50" ht="15">
      <c r="R59" s="547"/>
      <c r="S59" s="577"/>
      <c r="X59" s="817"/>
      <c r="Y59" s="821"/>
      <c r="Z59" s="820"/>
      <c r="AC59" s="555"/>
      <c r="AD59" s="555"/>
      <c r="AE59" s="555"/>
      <c r="AF59" s="559"/>
      <c r="AG59" s="559"/>
      <c r="AH59" s="530" t="s">
        <v>775</v>
      </c>
      <c r="AI59" s="537">
        <v>26.54</v>
      </c>
      <c r="AJ59" s="677"/>
      <c r="AK59" s="560"/>
      <c r="AL59" s="560"/>
      <c r="AQ59" s="685"/>
      <c r="AR59" s="671"/>
      <c r="AS59" s="671"/>
      <c r="AU59" s="595"/>
      <c r="AV59" s="686"/>
      <c r="AW59" s="686"/>
      <c r="AX59" s="671"/>
    </row>
    <row r="60" spans="1:50" ht="12.75">
      <c r="A60" s="830" t="s">
        <v>767</v>
      </c>
      <c r="B60" s="831"/>
      <c r="C60" s="832">
        <v>340713</v>
      </c>
      <c r="X60" s="550"/>
      <c r="Y60" s="550"/>
      <c r="Z60" s="822"/>
      <c r="AC60" s="555"/>
      <c r="AD60" s="555"/>
      <c r="AE60" s="555"/>
      <c r="AF60" s="559"/>
      <c r="AG60" s="559"/>
      <c r="AH60" s="530" t="s">
        <v>776</v>
      </c>
      <c r="AI60" s="537">
        <v>4526.29</v>
      </c>
      <c r="AJ60" s="677"/>
      <c r="AK60" s="560"/>
      <c r="AL60" s="560"/>
      <c r="AQ60" s="685"/>
      <c r="AR60" s="671"/>
      <c r="AS60" s="671"/>
      <c r="AU60" s="552"/>
      <c r="AV60" s="655"/>
      <c r="AW60" s="655"/>
      <c r="AX60" s="671"/>
    </row>
    <row r="61" spans="1:53" ht="12.75">
      <c r="A61" s="687"/>
      <c r="B61" s="551" t="s">
        <v>537</v>
      </c>
      <c r="C61" s="827">
        <f>+C$60*C67</f>
        <v>214397.42387341414</v>
      </c>
      <c r="X61" s="550"/>
      <c r="Y61" s="550"/>
      <c r="Z61" s="550"/>
      <c r="AC61" s="555"/>
      <c r="AD61" s="555"/>
      <c r="AE61" s="555"/>
      <c r="AF61" s="559"/>
      <c r="AG61" s="559"/>
      <c r="AH61" s="530" t="s">
        <v>777</v>
      </c>
      <c r="AI61" s="537">
        <v>3807.48</v>
      </c>
      <c r="AJ61" s="677"/>
      <c r="AK61" s="560"/>
      <c r="AL61" s="560"/>
      <c r="AQ61" s="551" t="s">
        <v>707</v>
      </c>
      <c r="AR61" s="689">
        <f>SUM(AR4:AR60)</f>
        <v>13730955.67366224</v>
      </c>
      <c r="AS61" s="689">
        <f>SUM(AS4:AS60)</f>
        <v>3177590.6251858827</v>
      </c>
      <c r="AU61" s="687"/>
      <c r="AV61" s="686"/>
      <c r="AW61" s="686"/>
      <c r="AX61" s="671"/>
      <c r="AY61" s="685"/>
      <c r="AZ61" s="671"/>
      <c r="BA61" s="671"/>
    </row>
    <row r="62" spans="1:59" ht="12.75">
      <c r="A62" s="826"/>
      <c r="B62" s="551" t="s">
        <v>643</v>
      </c>
      <c r="C62" s="827">
        <f>+C$60*C68</f>
        <v>11390.519907921302</v>
      </c>
      <c r="X62" s="550"/>
      <c r="Y62" s="550"/>
      <c r="Z62" s="550"/>
      <c r="AC62" s="555"/>
      <c r="AD62" s="555"/>
      <c r="AE62" s="555"/>
      <c r="AF62" s="559"/>
      <c r="AG62" s="559"/>
      <c r="AH62" s="530" t="s">
        <v>778</v>
      </c>
      <c r="AI62" s="537">
        <v>1787</v>
      </c>
      <c r="AJ62" s="677"/>
      <c r="AK62" s="560"/>
      <c r="AL62" s="560"/>
      <c r="AQ62" s="620" t="s">
        <v>487</v>
      </c>
      <c r="AR62" s="690">
        <f>+BD50</f>
        <v>2692431.6819981486</v>
      </c>
      <c r="AS62" s="690">
        <f>+BE50</f>
        <v>623077.2187314851</v>
      </c>
      <c r="AU62" s="550"/>
      <c r="AV62" s="550"/>
      <c r="AW62" s="550"/>
      <c r="AX62" s="671"/>
      <c r="AY62" s="685"/>
      <c r="AZ62" s="671"/>
      <c r="BA62" s="671"/>
      <c r="BG62" s="547"/>
    </row>
    <row r="63" spans="1:59" ht="15.75" thickBot="1">
      <c r="A63" s="572"/>
      <c r="B63" s="551" t="s">
        <v>705</v>
      </c>
      <c r="C63" s="827">
        <f>+C$60*C69</f>
        <v>114925.05621866455</v>
      </c>
      <c r="X63" s="817"/>
      <c r="Y63" s="818"/>
      <c r="Z63" s="818"/>
      <c r="AC63" s="555"/>
      <c r="AD63" s="555"/>
      <c r="AE63" s="555"/>
      <c r="AF63" s="559"/>
      <c r="AG63" s="559"/>
      <c r="AH63" s="530" t="s">
        <v>779</v>
      </c>
      <c r="AI63" s="537">
        <v>11040.49</v>
      </c>
      <c r="AJ63" s="677"/>
      <c r="AK63" s="560"/>
      <c r="AL63" s="560"/>
      <c r="AQ63" s="566" t="s">
        <v>708</v>
      </c>
      <c r="AR63" s="691">
        <f>+AR61+AR62</f>
        <v>16423387.355660388</v>
      </c>
      <c r="AS63" s="691">
        <f>+AS61+AS62</f>
        <v>3800667.843917368</v>
      </c>
      <c r="AU63" s="552"/>
      <c r="AV63" s="550"/>
      <c r="AW63" s="671"/>
      <c r="AX63" s="671"/>
      <c r="AY63" s="685"/>
      <c r="AZ63" s="671"/>
      <c r="BA63" s="671"/>
      <c r="BG63" s="547"/>
    </row>
    <row r="64" spans="1:59" ht="15.75" thickTop="1">
      <c r="A64" s="687"/>
      <c r="B64" s="550"/>
      <c r="X64" s="550"/>
      <c r="Y64" s="819"/>
      <c r="Z64" s="820"/>
      <c r="AC64" s="555"/>
      <c r="AD64" s="555"/>
      <c r="AE64" s="555"/>
      <c r="AF64" s="559"/>
      <c r="AG64" s="559"/>
      <c r="AH64" s="530" t="s">
        <v>780</v>
      </c>
      <c r="AI64" s="537">
        <v>2343.1</v>
      </c>
      <c r="AJ64" s="677"/>
      <c r="AK64" s="560"/>
      <c r="AL64" s="560"/>
      <c r="AQ64" s="535"/>
      <c r="AR64" s="548">
        <f>AR61-AM8</f>
        <v>0.003662239760160446</v>
      </c>
      <c r="AS64" s="548">
        <f>AS61-AN8</f>
        <v>0.005185882560908794</v>
      </c>
      <c r="AU64" s="552"/>
      <c r="AX64" s="655"/>
      <c r="AY64" s="685"/>
      <c r="AZ64" s="671"/>
      <c r="BA64" s="671"/>
      <c r="BG64" s="547"/>
    </row>
    <row r="65" spans="1:59" ht="15">
      <c r="A65" s="572"/>
      <c r="B65" s="550"/>
      <c r="X65" s="550"/>
      <c r="Y65" s="819"/>
      <c r="Z65" s="820"/>
      <c r="AC65" s="555"/>
      <c r="AD65" s="555"/>
      <c r="AE65" s="555"/>
      <c r="AF65" s="559"/>
      <c r="AG65" s="559"/>
      <c r="AH65" s="530" t="s">
        <v>781</v>
      </c>
      <c r="AI65" s="537">
        <v>5063.47</v>
      </c>
      <c r="AJ65" s="677"/>
      <c r="AK65" s="560"/>
      <c r="AL65" s="560"/>
      <c r="AQ65" s="685"/>
      <c r="AR65" s="671"/>
      <c r="AS65" s="671"/>
      <c r="AU65" s="552"/>
      <c r="AX65" s="686"/>
      <c r="AY65" s="685"/>
      <c r="AZ65" s="671"/>
      <c r="BA65" s="671"/>
      <c r="BC65" s="534"/>
      <c r="BG65" s="547"/>
    </row>
    <row r="66" spans="1:53" ht="21">
      <c r="A66" s="828" t="s">
        <v>93</v>
      </c>
      <c r="B66" s="829" t="s">
        <v>423</v>
      </c>
      <c r="C66" s="829" t="s">
        <v>424</v>
      </c>
      <c r="U66" s="790" t="s">
        <v>766</v>
      </c>
      <c r="V66" s="791"/>
      <c r="W66" s="792"/>
      <c r="X66" s="792"/>
      <c r="Y66" s="792"/>
      <c r="Z66" s="791"/>
      <c r="AA66" s="791"/>
      <c r="AB66" s="793"/>
      <c r="AC66" s="555"/>
      <c r="AD66" s="555"/>
      <c r="AE66" s="555"/>
      <c r="AF66" s="559"/>
      <c r="AG66" s="559"/>
      <c r="AH66" s="530" t="s">
        <v>782</v>
      </c>
      <c r="AI66" s="537">
        <v>2269.53</v>
      </c>
      <c r="AJ66" s="677"/>
      <c r="AK66" s="560"/>
      <c r="AL66" s="560"/>
      <c r="AQ66" s="685"/>
      <c r="AR66" s="671"/>
      <c r="AS66" s="671"/>
      <c r="AU66" s="552"/>
      <c r="AX66" s="550"/>
      <c r="AY66" s="685"/>
      <c r="AZ66" s="671"/>
      <c r="BA66" s="671"/>
    </row>
    <row r="67" spans="1:53" ht="15">
      <c r="A67" s="529" t="s">
        <v>42</v>
      </c>
      <c r="B67" s="806">
        <v>422338</v>
      </c>
      <c r="C67" s="733">
        <f>+B67/B70</f>
        <v>0.6292610609909635</v>
      </c>
      <c r="U67" s="794" t="s">
        <v>756</v>
      </c>
      <c r="V67" s="788" t="s">
        <v>761</v>
      </c>
      <c r="W67" s="795"/>
      <c r="X67" s="789" t="s">
        <v>757</v>
      </c>
      <c r="Y67" s="789" t="s">
        <v>31</v>
      </c>
      <c r="Z67" s="789" t="s">
        <v>758</v>
      </c>
      <c r="AA67" s="795"/>
      <c r="AB67" s="796" t="s">
        <v>759</v>
      </c>
      <c r="AC67" s="555"/>
      <c r="AD67" s="555"/>
      <c r="AE67" s="555"/>
      <c r="AF67" s="559"/>
      <c r="AG67" s="559"/>
      <c r="AH67" s="530" t="s">
        <v>783</v>
      </c>
      <c r="AI67" s="537">
        <v>887.61</v>
      </c>
      <c r="AJ67" s="677"/>
      <c r="AK67" s="560"/>
      <c r="AL67" s="560"/>
      <c r="AQ67" s="685"/>
      <c r="AR67" s="671"/>
      <c r="AS67" s="671"/>
      <c r="AU67" s="552"/>
      <c r="AX67" s="550"/>
      <c r="AY67" s="552"/>
      <c r="AZ67" s="553"/>
      <c r="BA67" s="553"/>
    </row>
    <row r="68" spans="1:53" ht="15">
      <c r="A68" s="529" t="s">
        <v>24</v>
      </c>
      <c r="B68" s="806">
        <v>22438</v>
      </c>
      <c r="C68" s="733">
        <f>+B68/B70</f>
        <v>0.033431421483539815</v>
      </c>
      <c r="U68" s="797" t="s">
        <v>760</v>
      </c>
      <c r="V68" s="780">
        <v>132801</v>
      </c>
      <c r="X68" s="577">
        <v>91872</v>
      </c>
      <c r="Y68" s="781">
        <v>1551</v>
      </c>
      <c r="Z68" s="781">
        <v>165</v>
      </c>
      <c r="AA68" s="781"/>
      <c r="AB68" s="798">
        <f>SUM(V68:Z68)</f>
        <v>226389</v>
      </c>
      <c r="AF68" s="559"/>
      <c r="AG68" s="559"/>
      <c r="AH68" s="530" t="s">
        <v>784</v>
      </c>
      <c r="AI68" s="537">
        <v>2557.64</v>
      </c>
      <c r="AJ68" s="677"/>
      <c r="AK68" s="560"/>
      <c r="AL68" s="560"/>
      <c r="AQ68" s="685"/>
      <c r="AR68" s="671"/>
      <c r="AS68" s="671"/>
      <c r="AU68" s="552"/>
      <c r="AX68" s="550"/>
      <c r="AY68" s="552"/>
      <c r="AZ68" s="553"/>
      <c r="BA68" s="553"/>
    </row>
    <row r="69" spans="1:50" ht="15">
      <c r="A69" s="529" t="s">
        <v>43</v>
      </c>
      <c r="B69" s="806">
        <v>226389</v>
      </c>
      <c r="C69" s="733">
        <f>+B69/B70</f>
        <v>0.3373075175254967</v>
      </c>
      <c r="U69" s="797" t="s">
        <v>24</v>
      </c>
      <c r="V69" s="780">
        <v>22435</v>
      </c>
      <c r="X69" s="577">
        <v>0</v>
      </c>
      <c r="Y69" s="781"/>
      <c r="Z69" s="781">
        <v>3</v>
      </c>
      <c r="AA69" s="781"/>
      <c r="AB69" s="798">
        <f>SUM(V69:AA69)</f>
        <v>22438</v>
      </c>
      <c r="AC69" s="555"/>
      <c r="AD69" s="555"/>
      <c r="AE69" s="555"/>
      <c r="AF69" s="559"/>
      <c r="AG69" s="559"/>
      <c r="AH69" s="530" t="s">
        <v>785</v>
      </c>
      <c r="AI69" s="537">
        <v>1890.22</v>
      </c>
      <c r="AJ69" s="677"/>
      <c r="AK69" s="560"/>
      <c r="AL69" s="560"/>
      <c r="AQ69" s="685"/>
      <c r="AR69" s="671"/>
      <c r="AS69" s="671"/>
      <c r="AU69" s="552"/>
      <c r="AX69" s="550"/>
    </row>
    <row r="70" spans="1:47" ht="15.75" thickBot="1">
      <c r="A70" s="529" t="s">
        <v>558</v>
      </c>
      <c r="B70" s="807">
        <f>SUM(B67:B69)</f>
        <v>671165</v>
      </c>
      <c r="C70" s="734">
        <f>SUM(C67:C69)</f>
        <v>1</v>
      </c>
      <c r="U70" s="797" t="s">
        <v>42</v>
      </c>
      <c r="V70" s="780">
        <v>407133</v>
      </c>
      <c r="X70" s="577">
        <v>7847</v>
      </c>
      <c r="Y70" s="781">
        <v>3338</v>
      </c>
      <c r="Z70" s="781">
        <v>4020</v>
      </c>
      <c r="AA70" s="781"/>
      <c r="AB70" s="798">
        <f>SUM(V70:AA70)</f>
        <v>422338</v>
      </c>
      <c r="AC70" s="555"/>
      <c r="AD70" s="555"/>
      <c r="AE70" s="555"/>
      <c r="AF70" s="559"/>
      <c r="AG70" s="559"/>
      <c r="AH70" s="530" t="s">
        <v>786</v>
      </c>
      <c r="AI70" s="537">
        <v>1063.62</v>
      </c>
      <c r="AJ70" s="677"/>
      <c r="AK70" s="560"/>
      <c r="AL70" s="560"/>
      <c r="AQ70" s="685"/>
      <c r="AR70" s="671"/>
      <c r="AS70" s="671"/>
      <c r="AU70" s="552"/>
    </row>
    <row r="71" spans="21:53" ht="15.75" thickTop="1">
      <c r="U71" s="799" t="s">
        <v>31</v>
      </c>
      <c r="V71" s="782">
        <v>4889</v>
      </c>
      <c r="X71" s="577"/>
      <c r="Y71" s="823">
        <v>-4889</v>
      </c>
      <c r="Z71" s="781">
        <v>0</v>
      </c>
      <c r="AA71" s="781"/>
      <c r="AB71" s="798">
        <f>SUM(V71:AA71)</f>
        <v>0</v>
      </c>
      <c r="AC71" s="555"/>
      <c r="AD71" s="555"/>
      <c r="AE71" s="555"/>
      <c r="AF71" s="559"/>
      <c r="AG71" s="559"/>
      <c r="AH71" s="530" t="s">
        <v>787</v>
      </c>
      <c r="AI71" s="537">
        <v>872.23</v>
      </c>
      <c r="AJ71" s="677"/>
      <c r="AK71" s="560"/>
      <c r="AL71" s="560"/>
      <c r="AQ71" s="685"/>
      <c r="AR71" s="671"/>
      <c r="AS71" s="671"/>
      <c r="AU71" s="552"/>
      <c r="AY71" s="595"/>
      <c r="AZ71" s="671"/>
      <c r="BA71" s="671"/>
    </row>
    <row r="72" spans="21:53" ht="15">
      <c r="U72" s="799" t="s">
        <v>758</v>
      </c>
      <c r="V72" s="782">
        <v>4188</v>
      </c>
      <c r="X72" s="577"/>
      <c r="Y72" s="783"/>
      <c r="Z72" s="781">
        <v>-4188</v>
      </c>
      <c r="AA72" s="781"/>
      <c r="AB72" s="798">
        <f>SUM(V72:AA72)</f>
        <v>0</v>
      </c>
      <c r="AC72" s="555"/>
      <c r="AD72" s="555"/>
      <c r="AE72" s="555"/>
      <c r="AF72" s="559"/>
      <c r="AG72" s="559"/>
      <c r="AH72" s="530" t="s">
        <v>788</v>
      </c>
      <c r="AI72" s="537">
        <v>1089.07</v>
      </c>
      <c r="AJ72" s="677"/>
      <c r="AK72" s="560"/>
      <c r="AL72" s="560"/>
      <c r="AQ72" s="685"/>
      <c r="AR72" s="671"/>
      <c r="AS72" s="671"/>
      <c r="AU72" s="552"/>
      <c r="AY72" s="550"/>
      <c r="AZ72" s="671"/>
      <c r="BA72" s="671"/>
    </row>
    <row r="73" spans="21:53" ht="15">
      <c r="U73" s="800" t="s">
        <v>757</v>
      </c>
      <c r="V73" s="784">
        <v>99719</v>
      </c>
      <c r="X73" s="577">
        <v>-99719</v>
      </c>
      <c r="Y73" s="785">
        <v>0</v>
      </c>
      <c r="Z73" s="785">
        <v>0</v>
      </c>
      <c r="AA73" s="785">
        <v>0</v>
      </c>
      <c r="AB73" s="798">
        <f>SUM(V73:AA73)</f>
        <v>0</v>
      </c>
      <c r="AC73" s="576"/>
      <c r="AD73" s="576"/>
      <c r="AE73" s="576"/>
      <c r="AF73" s="559"/>
      <c r="AG73" s="559"/>
      <c r="AH73" s="530" t="s">
        <v>789</v>
      </c>
      <c r="AI73" s="537">
        <v>107.44</v>
      </c>
      <c r="AJ73" s="677"/>
      <c r="AK73" s="560"/>
      <c r="AL73" s="560"/>
      <c r="AQ73" s="685"/>
      <c r="AR73" s="671"/>
      <c r="AS73" s="671"/>
      <c r="AU73" s="552"/>
      <c r="AY73" s="551"/>
      <c r="AZ73" s="686"/>
      <c r="BA73" s="686"/>
    </row>
    <row r="74" spans="21:47" ht="15.75" thickBot="1">
      <c r="U74" s="801" t="s">
        <v>759</v>
      </c>
      <c r="V74" s="786">
        <f>SUM(V68:V73)</f>
        <v>671165</v>
      </c>
      <c r="W74" s="547"/>
      <c r="X74" s="787">
        <f>SUM(Y68:Y73)</f>
        <v>0</v>
      </c>
      <c r="Y74" s="787">
        <f>SUM(Z68:Z73)</f>
        <v>0</v>
      </c>
      <c r="Z74" s="787">
        <f>SUM(AA68:AA73)</f>
        <v>0</v>
      </c>
      <c r="AA74" s="547"/>
      <c r="AB74" s="802">
        <f>SUM(AB68:AB73)</f>
        <v>671165</v>
      </c>
      <c r="AC74" s="576"/>
      <c r="AD74" s="576"/>
      <c r="AE74" s="576"/>
      <c r="AF74" s="559"/>
      <c r="AG74" s="559"/>
      <c r="AH74" s="530" t="s">
        <v>790</v>
      </c>
      <c r="AI74" s="537">
        <v>1417.05</v>
      </c>
      <c r="AJ74" s="677"/>
      <c r="AK74" s="560"/>
      <c r="AL74" s="560"/>
      <c r="AQ74" s="685"/>
      <c r="AR74" s="671"/>
      <c r="AS74" s="671"/>
      <c r="AU74" s="552"/>
    </row>
    <row r="75" spans="21:47" ht="13.5" thickTop="1">
      <c r="U75" s="803"/>
      <c r="V75" s="804"/>
      <c r="W75" s="804"/>
      <c r="X75" s="804"/>
      <c r="Y75" s="804"/>
      <c r="Z75" s="804"/>
      <c r="AA75" s="804"/>
      <c r="AB75" s="805"/>
      <c r="AC75" s="576"/>
      <c r="AD75" s="576"/>
      <c r="AE75" s="576"/>
      <c r="AF75" s="559"/>
      <c r="AG75" s="559"/>
      <c r="AH75" s="530" t="s">
        <v>791</v>
      </c>
      <c r="AI75" s="537">
        <v>2324.34</v>
      </c>
      <c r="AJ75" s="677"/>
      <c r="AK75" s="560"/>
      <c r="AL75" s="560"/>
      <c r="AQ75" s="685"/>
      <c r="AR75" s="671"/>
      <c r="AS75" s="671"/>
      <c r="AU75" s="552"/>
    </row>
    <row r="76" spans="34:47" ht="12.75">
      <c r="AH76" s="530" t="s">
        <v>792</v>
      </c>
      <c r="AI76" s="537">
        <v>2449.01</v>
      </c>
      <c r="AJ76" s="677"/>
      <c r="AK76" s="560"/>
      <c r="AL76" s="560"/>
      <c r="AQ76" s="685"/>
      <c r="AR76" s="671"/>
      <c r="AS76" s="671"/>
      <c r="AU76" s="552"/>
    </row>
    <row r="77" spans="34:47" ht="12.75">
      <c r="AH77" s="530" t="s">
        <v>793</v>
      </c>
      <c r="AI77" s="537">
        <v>746.18</v>
      </c>
      <c r="AJ77" s="677"/>
      <c r="AK77" s="560"/>
      <c r="AL77" s="560"/>
      <c r="AQ77" s="685"/>
      <c r="AR77" s="671"/>
      <c r="AS77" s="671"/>
      <c r="AU77" s="552"/>
    </row>
    <row r="78" spans="34:47" ht="12.75">
      <c r="AH78" s="530" t="s">
        <v>794</v>
      </c>
      <c r="AI78" s="537">
        <v>984.4</v>
      </c>
      <c r="AJ78" s="677"/>
      <c r="AK78" s="560"/>
      <c r="AL78" s="560"/>
      <c r="AQ78" s="685"/>
      <c r="AR78" s="671"/>
      <c r="AS78" s="671"/>
      <c r="AU78" s="552"/>
    </row>
    <row r="79" spans="34:55" ht="12.75">
      <c r="AH79" s="530" t="s">
        <v>795</v>
      </c>
      <c r="AI79" s="537">
        <v>1384.68</v>
      </c>
      <c r="AJ79" s="677"/>
      <c r="AK79" s="560"/>
      <c r="AL79" s="560"/>
      <c r="AQ79" s="685"/>
      <c r="AR79" s="671"/>
      <c r="AS79" s="671"/>
      <c r="AU79" s="552"/>
      <c r="AV79" s="553"/>
      <c r="AW79" s="553"/>
      <c r="BC79" s="534"/>
    </row>
    <row r="80" spans="34:55" ht="12.75">
      <c r="AH80" s="530" t="s">
        <v>796</v>
      </c>
      <c r="AI80" s="537">
        <v>4436.24</v>
      </c>
      <c r="AJ80" s="677"/>
      <c r="AK80" s="560"/>
      <c r="AL80" s="560"/>
      <c r="AQ80" s="685"/>
      <c r="AR80" s="671"/>
      <c r="AS80" s="671"/>
      <c r="AU80" s="552"/>
      <c r="AV80" s="553"/>
      <c r="AW80" s="553"/>
      <c r="BC80" s="534"/>
    </row>
    <row r="81" spans="34:55" ht="12.75">
      <c r="AH81" s="530" t="s">
        <v>797</v>
      </c>
      <c r="AI81" s="537">
        <v>3283.52</v>
      </c>
      <c r="AJ81" s="677"/>
      <c r="AK81" s="560"/>
      <c r="AL81" s="560"/>
      <c r="AQ81" s="685"/>
      <c r="AR81" s="671"/>
      <c r="AS81" s="671"/>
      <c r="AU81" s="552"/>
      <c r="AV81" s="553"/>
      <c r="AW81" s="553"/>
      <c r="BC81" s="534"/>
    </row>
    <row r="82" spans="34:55" ht="12.75">
      <c r="AH82" s="530" t="s">
        <v>798</v>
      </c>
      <c r="AI82" s="537">
        <v>3920.23</v>
      </c>
      <c r="AJ82" s="677"/>
      <c r="AK82" s="560"/>
      <c r="AL82" s="560"/>
      <c r="AQ82" s="685"/>
      <c r="AR82" s="671"/>
      <c r="AS82" s="671"/>
      <c r="AU82" s="552"/>
      <c r="AV82" s="553"/>
      <c r="AW82" s="553"/>
      <c r="BC82" s="534"/>
    </row>
    <row r="83" spans="34:55" ht="12.75">
      <c r="AH83" s="530" t="s">
        <v>799</v>
      </c>
      <c r="AI83" s="537">
        <v>4906.49</v>
      </c>
      <c r="AJ83" s="677"/>
      <c r="AK83" s="560"/>
      <c r="AL83" s="560"/>
      <c r="AQ83" s="685"/>
      <c r="AR83" s="671"/>
      <c r="AS83" s="671"/>
      <c r="AU83" s="552"/>
      <c r="AV83" s="553"/>
      <c r="AW83" s="553"/>
      <c r="BC83" s="534"/>
    </row>
    <row r="84" spans="34:55" ht="12.75">
      <c r="AH84" s="530" t="s">
        <v>800</v>
      </c>
      <c r="AI84" s="537">
        <v>6021.86</v>
      </c>
      <c r="AJ84" s="677"/>
      <c r="AK84" s="560"/>
      <c r="AL84" s="560"/>
      <c r="AQ84" s="624"/>
      <c r="AR84" s="537"/>
      <c r="AS84" s="537"/>
      <c r="AU84" s="552"/>
      <c r="AV84" s="553"/>
      <c r="AW84" s="553"/>
      <c r="AX84" s="553"/>
      <c r="BC84" s="534"/>
    </row>
    <row r="85" spans="32:55" ht="12.75">
      <c r="AF85" s="559"/>
      <c r="AG85" s="559"/>
      <c r="AH85" s="530" t="s">
        <v>801</v>
      </c>
      <c r="AI85" s="537">
        <v>956.57</v>
      </c>
      <c r="AJ85" s="677"/>
      <c r="AK85" s="560"/>
      <c r="AL85" s="560"/>
      <c r="AQ85" s="624"/>
      <c r="AR85" s="537"/>
      <c r="AS85" s="537"/>
      <c r="AU85" s="552"/>
      <c r="AV85" s="553"/>
      <c r="AW85" s="553"/>
      <c r="AX85" s="553"/>
      <c r="BC85" s="534"/>
    </row>
    <row r="86" spans="32:55" ht="12.75">
      <c r="AF86" s="559"/>
      <c r="AG86" s="559"/>
      <c r="AH86" s="530" t="s">
        <v>802</v>
      </c>
      <c r="AI86" s="537">
        <v>2069.92</v>
      </c>
      <c r="AJ86" s="677"/>
      <c r="AK86" s="560"/>
      <c r="AL86" s="560"/>
      <c r="AQ86" s="624"/>
      <c r="AR86" s="537"/>
      <c r="AS86" s="537"/>
      <c r="AU86" s="552"/>
      <c r="AV86" s="553"/>
      <c r="AW86" s="553"/>
      <c r="AX86" s="553"/>
      <c r="BC86" s="534"/>
    </row>
    <row r="87" spans="32:55" ht="12.75">
      <c r="AF87" s="559"/>
      <c r="AG87" s="559"/>
      <c r="AH87" s="530" t="s">
        <v>803</v>
      </c>
      <c r="AI87" s="537">
        <v>90.21</v>
      </c>
      <c r="AJ87" s="677"/>
      <c r="AK87" s="560"/>
      <c r="AL87" s="560"/>
      <c r="AQ87" s="535"/>
      <c r="AR87" s="548"/>
      <c r="AS87" s="548"/>
      <c r="AU87" s="552"/>
      <c r="AV87" s="553"/>
      <c r="AW87" s="553"/>
      <c r="AX87" s="553"/>
      <c r="BC87" s="534"/>
    </row>
    <row r="88" spans="32:55" ht="12.75">
      <c r="AF88" s="559"/>
      <c r="AG88" s="559"/>
      <c r="AH88" s="530" t="s">
        <v>804</v>
      </c>
      <c r="AI88" s="537">
        <v>1664.45</v>
      </c>
      <c r="AJ88" s="677"/>
      <c r="AK88" s="560"/>
      <c r="AL88" s="560"/>
      <c r="AU88" s="552"/>
      <c r="AV88" s="553"/>
      <c r="AW88" s="553"/>
      <c r="AX88" s="553"/>
      <c r="BC88" s="566"/>
    </row>
    <row r="89" spans="32:55" ht="12.75">
      <c r="AF89" s="559"/>
      <c r="AG89" s="559"/>
      <c r="AH89" s="530" t="s">
        <v>805</v>
      </c>
      <c r="AI89" s="537">
        <v>309.85</v>
      </c>
      <c r="AJ89" s="677"/>
      <c r="AK89" s="560"/>
      <c r="AL89" s="560"/>
      <c r="AU89" s="552"/>
      <c r="AV89" s="553"/>
      <c r="AW89" s="553"/>
      <c r="AX89" s="553"/>
      <c r="AY89" s="552"/>
      <c r="AZ89" s="553"/>
      <c r="BA89" s="553"/>
      <c r="BC89" s="566"/>
    </row>
    <row r="90" spans="32:55" ht="12.75">
      <c r="AF90" s="559"/>
      <c r="AG90" s="559"/>
      <c r="AH90" s="530" t="s">
        <v>806</v>
      </c>
      <c r="AI90" s="537">
        <v>1625.92</v>
      </c>
      <c r="AJ90" s="677"/>
      <c r="AK90" s="560"/>
      <c r="AL90" s="560"/>
      <c r="AU90" s="552"/>
      <c r="AV90" s="553"/>
      <c r="AW90" s="553"/>
      <c r="AX90" s="553"/>
      <c r="AY90" s="552"/>
      <c r="AZ90" s="553"/>
      <c r="BA90" s="553"/>
      <c r="BC90" s="566"/>
    </row>
    <row r="91" spans="32:60" ht="12.75">
      <c r="AF91" s="559"/>
      <c r="AG91" s="559"/>
      <c r="AH91" s="530" t="s">
        <v>807</v>
      </c>
      <c r="AI91" s="537">
        <v>1062.56</v>
      </c>
      <c r="AJ91" s="677"/>
      <c r="AK91" s="560"/>
      <c r="AL91" s="560"/>
      <c r="AU91" s="552"/>
      <c r="AV91" s="553"/>
      <c r="AW91" s="553"/>
      <c r="AX91" s="553"/>
      <c r="AY91" s="552"/>
      <c r="AZ91" s="553"/>
      <c r="BA91" s="553"/>
      <c r="BC91" s="566"/>
      <c r="BH91" s="531"/>
    </row>
    <row r="92" spans="32:55" ht="12.75">
      <c r="AF92" s="574"/>
      <c r="AG92" s="559"/>
      <c r="AH92" s="530" t="s">
        <v>808</v>
      </c>
      <c r="AI92" s="537">
        <v>2643.91</v>
      </c>
      <c r="AJ92" s="677"/>
      <c r="AK92" s="560"/>
      <c r="AL92" s="560"/>
      <c r="AU92" s="552"/>
      <c r="AV92" s="553"/>
      <c r="AW92" s="553"/>
      <c r="AX92" s="553"/>
      <c r="AY92" s="552"/>
      <c r="AZ92" s="553"/>
      <c r="BA92" s="553"/>
      <c r="BC92" s="566"/>
    </row>
    <row r="93" spans="32:57" ht="12.75">
      <c r="AF93" s="574"/>
      <c r="AG93" s="562"/>
      <c r="AH93" s="530" t="s">
        <v>809</v>
      </c>
      <c r="AI93" s="537">
        <v>901.17</v>
      </c>
      <c r="AJ93" s="677"/>
      <c r="AK93" s="560"/>
      <c r="AL93" s="560"/>
      <c r="AU93" s="552"/>
      <c r="AV93" s="553"/>
      <c r="AW93" s="553"/>
      <c r="AX93" s="553"/>
      <c r="AY93" s="552"/>
      <c r="AZ93" s="553"/>
      <c r="BA93" s="553"/>
      <c r="BC93" s="566"/>
      <c r="BD93" s="567"/>
      <c r="BE93" s="567"/>
    </row>
    <row r="94" spans="32:57" ht="12.75">
      <c r="AF94" s="574"/>
      <c r="AG94" s="559"/>
      <c r="AH94" s="530" t="s">
        <v>810</v>
      </c>
      <c r="AI94" s="537">
        <v>3802.03</v>
      </c>
      <c r="AJ94" s="677"/>
      <c r="AK94" s="560"/>
      <c r="AL94" s="560"/>
      <c r="AU94" s="552"/>
      <c r="AV94" s="553"/>
      <c r="AW94" s="553"/>
      <c r="AX94" s="553"/>
      <c r="AY94" s="552"/>
      <c r="AZ94" s="553"/>
      <c r="BA94" s="553"/>
      <c r="BC94" s="566"/>
      <c r="BD94" s="567"/>
      <c r="BE94" s="567"/>
    </row>
    <row r="95" spans="32:57" ht="12.75">
      <c r="AF95" s="559"/>
      <c r="AG95" s="559"/>
      <c r="AH95" s="530" t="s">
        <v>811</v>
      </c>
      <c r="AI95" s="537">
        <v>4087.65</v>
      </c>
      <c r="AJ95" s="677"/>
      <c r="AK95" s="560"/>
      <c r="AL95" s="560"/>
      <c r="AU95" s="552"/>
      <c r="AV95" s="553"/>
      <c r="AW95" s="553"/>
      <c r="AX95" s="553"/>
      <c r="AY95" s="552"/>
      <c r="AZ95" s="553"/>
      <c r="BA95" s="553"/>
      <c r="BC95" s="566"/>
      <c r="BD95" s="567"/>
      <c r="BE95" s="567"/>
    </row>
    <row r="96" spans="34:57" ht="12.75">
      <c r="AH96" s="530" t="s">
        <v>812</v>
      </c>
      <c r="AI96" s="537">
        <v>612.35</v>
      </c>
      <c r="AJ96" s="677"/>
      <c r="AK96" s="560"/>
      <c r="AL96" s="560"/>
      <c r="AM96" s="532">
        <v>0</v>
      </c>
      <c r="AN96" s="532">
        <v>0</v>
      </c>
      <c r="AU96" s="552"/>
      <c r="AV96" s="553"/>
      <c r="AW96" s="553"/>
      <c r="AX96" s="553"/>
      <c r="AY96" s="552"/>
      <c r="AZ96" s="553"/>
      <c r="BA96" s="553"/>
      <c r="BC96" s="566"/>
      <c r="BD96" s="567"/>
      <c r="BE96" s="567"/>
    </row>
    <row r="97" spans="34:57" ht="12.75">
      <c r="AH97" s="530" t="s">
        <v>813</v>
      </c>
      <c r="AI97" s="537">
        <v>1592.15</v>
      </c>
      <c r="AJ97" s="677"/>
      <c r="AK97" s="560"/>
      <c r="AL97" s="560"/>
      <c r="AO97" s="955"/>
      <c r="AU97" s="552"/>
      <c r="AV97" s="553"/>
      <c r="AW97" s="553"/>
      <c r="AX97" s="553"/>
      <c r="AY97" s="552"/>
      <c r="AZ97" s="553"/>
      <c r="BA97" s="553"/>
      <c r="BC97" s="566"/>
      <c r="BD97" s="567"/>
      <c r="BE97" s="567"/>
    </row>
    <row r="98" spans="34:57" ht="12.75">
      <c r="AH98" s="530" t="s">
        <v>814</v>
      </c>
      <c r="AI98" s="537">
        <v>48.27</v>
      </c>
      <c r="AJ98" s="677"/>
      <c r="AK98" s="560"/>
      <c r="AL98" s="560"/>
      <c r="AU98" s="552"/>
      <c r="AV98" s="553"/>
      <c r="AW98" s="553"/>
      <c r="AX98" s="553"/>
      <c r="AY98" s="552"/>
      <c r="AZ98" s="553"/>
      <c r="BA98" s="553"/>
      <c r="BC98" s="566"/>
      <c r="BD98" s="567"/>
      <c r="BE98" s="567"/>
    </row>
    <row r="99" spans="32:57" ht="12.75">
      <c r="AF99" s="547"/>
      <c r="AH99" s="530" t="s">
        <v>815</v>
      </c>
      <c r="AI99" s="537">
        <v>2093.82</v>
      </c>
      <c r="AJ99" s="677"/>
      <c r="AK99" s="560"/>
      <c r="AL99" s="560"/>
      <c r="AU99" s="552"/>
      <c r="AV99" s="553"/>
      <c r="AW99" s="553"/>
      <c r="AX99" s="553"/>
      <c r="AY99" s="552"/>
      <c r="AZ99" s="553"/>
      <c r="BA99" s="553"/>
      <c r="BC99" s="566"/>
      <c r="BD99" s="567"/>
      <c r="BE99" s="567"/>
    </row>
    <row r="100" spans="32:57" ht="12.75">
      <c r="AF100" s="575"/>
      <c r="AH100" s="530" t="s">
        <v>816</v>
      </c>
      <c r="AI100" s="537">
        <v>2583.66</v>
      </c>
      <c r="AJ100" s="677"/>
      <c r="AK100" s="560"/>
      <c r="AL100" s="560"/>
      <c r="AU100" s="552"/>
      <c r="AV100" s="553"/>
      <c r="AW100" s="553"/>
      <c r="AX100" s="553"/>
      <c r="AY100" s="552"/>
      <c r="AZ100" s="553"/>
      <c r="BA100" s="553"/>
      <c r="BC100" s="566"/>
      <c r="BD100" s="567"/>
      <c r="BE100" s="567"/>
    </row>
    <row r="101" spans="34:57" ht="12.75">
      <c r="AH101" s="530" t="s">
        <v>817</v>
      </c>
      <c r="AI101" s="537">
        <v>631.24</v>
      </c>
      <c r="AJ101" s="677"/>
      <c r="AK101" s="560"/>
      <c r="AL101" s="560"/>
      <c r="AU101" s="552"/>
      <c r="AV101" s="553"/>
      <c r="AW101" s="553"/>
      <c r="AX101" s="553"/>
      <c r="AY101" s="552"/>
      <c r="AZ101" s="553"/>
      <c r="BA101" s="553"/>
      <c r="BC101" s="566"/>
      <c r="BD101" s="567"/>
      <c r="BE101" s="567"/>
    </row>
    <row r="102" spans="34:57" ht="12.75">
      <c r="AH102" s="530" t="s">
        <v>818</v>
      </c>
      <c r="AI102" s="537">
        <v>1174.77</v>
      </c>
      <c r="AJ102" s="677"/>
      <c r="AK102" s="560"/>
      <c r="AL102" s="560"/>
      <c r="AU102" s="552"/>
      <c r="AV102" s="553"/>
      <c r="AW102" s="553"/>
      <c r="AX102" s="553"/>
      <c r="AY102" s="552"/>
      <c r="AZ102" s="553"/>
      <c r="BA102" s="553"/>
      <c r="BC102" s="566"/>
      <c r="BD102" s="567"/>
      <c r="BE102" s="567"/>
    </row>
    <row r="103" spans="34:57" ht="12.75">
      <c r="AH103" s="530" t="s">
        <v>819</v>
      </c>
      <c r="AI103" s="537">
        <v>1132.71</v>
      </c>
      <c r="AJ103" s="677"/>
      <c r="AK103" s="560"/>
      <c r="AL103" s="560"/>
      <c r="AU103" s="552"/>
      <c r="AV103" s="553"/>
      <c r="AW103" s="553"/>
      <c r="AX103" s="553"/>
      <c r="AY103" s="552"/>
      <c r="AZ103" s="553"/>
      <c r="BA103" s="553"/>
      <c r="BC103" s="566"/>
      <c r="BD103" s="567"/>
      <c r="BE103" s="567"/>
    </row>
    <row r="104" spans="34:57" ht="12.75">
      <c r="AH104" s="530" t="s">
        <v>820</v>
      </c>
      <c r="AI104" s="537">
        <v>522.26</v>
      </c>
      <c r="AJ104" s="677"/>
      <c r="AK104" s="560"/>
      <c r="AL104" s="560"/>
      <c r="AU104" s="552"/>
      <c r="AV104" s="553"/>
      <c r="AW104" s="553"/>
      <c r="AX104" s="553"/>
      <c r="AY104" s="552"/>
      <c r="AZ104" s="548"/>
      <c r="BA104" s="548"/>
      <c r="BC104" s="566"/>
      <c r="BD104" s="567"/>
      <c r="BE104" s="567"/>
    </row>
    <row r="105" spans="34:57" ht="12.75">
      <c r="AH105" s="530" t="s">
        <v>821</v>
      </c>
      <c r="AI105" s="537">
        <v>2053.21</v>
      </c>
      <c r="AJ105" s="677"/>
      <c r="AK105" s="560"/>
      <c r="AL105" s="560"/>
      <c r="AU105" s="552"/>
      <c r="AV105" s="553"/>
      <c r="AW105" s="553"/>
      <c r="AX105" s="553"/>
      <c r="AY105" s="552"/>
      <c r="AZ105" s="548"/>
      <c r="BA105" s="548"/>
      <c r="BC105" s="566"/>
      <c r="BD105" s="567"/>
      <c r="BE105" s="567"/>
    </row>
    <row r="106" spans="34:57" ht="12.75">
      <c r="AH106" s="530" t="s">
        <v>822</v>
      </c>
      <c r="AI106" s="537">
        <v>40.22</v>
      </c>
      <c r="AJ106" s="677"/>
      <c r="AK106" s="560"/>
      <c r="AL106" s="560"/>
      <c r="AU106" s="552"/>
      <c r="AV106" s="548"/>
      <c r="AW106" s="548"/>
      <c r="AX106" s="553"/>
      <c r="AY106" s="552"/>
      <c r="AZ106" s="548"/>
      <c r="BA106" s="548"/>
      <c r="BC106" s="566"/>
      <c r="BD106" s="567"/>
      <c r="BE106" s="567"/>
    </row>
    <row r="107" spans="34:57" ht="12.75">
      <c r="AH107" s="530" t="s">
        <v>823</v>
      </c>
      <c r="AI107" s="537">
        <v>893.75</v>
      </c>
      <c r="AJ107" s="677"/>
      <c r="AK107" s="560"/>
      <c r="AL107" s="560"/>
      <c r="AU107" s="552"/>
      <c r="AV107" s="548"/>
      <c r="AW107" s="548"/>
      <c r="AX107" s="553"/>
      <c r="AY107" s="552"/>
      <c r="AZ107" s="553"/>
      <c r="BA107" s="553"/>
      <c r="BC107" s="566"/>
      <c r="BD107" s="567"/>
      <c r="BE107" s="567"/>
    </row>
    <row r="108" spans="34:57" ht="12.75">
      <c r="AH108" s="530" t="s">
        <v>824</v>
      </c>
      <c r="AI108" s="537">
        <v>138.79</v>
      </c>
      <c r="AJ108" s="677"/>
      <c r="AK108" s="560"/>
      <c r="AL108" s="560"/>
      <c r="AU108" s="552"/>
      <c r="AV108" s="548"/>
      <c r="AW108" s="548"/>
      <c r="AX108" s="553"/>
      <c r="AY108" s="552"/>
      <c r="AZ108" s="553"/>
      <c r="BA108" s="553"/>
      <c r="BC108" s="566"/>
      <c r="BD108" s="567"/>
      <c r="BE108" s="567"/>
    </row>
    <row r="109" spans="34:57" ht="12.75">
      <c r="AH109" s="530" t="s">
        <v>825</v>
      </c>
      <c r="AI109" s="537">
        <v>2340.78</v>
      </c>
      <c r="AJ109" s="677"/>
      <c r="AK109" s="560"/>
      <c r="AL109" s="560"/>
      <c r="AU109" s="552"/>
      <c r="AV109" s="553"/>
      <c r="AW109" s="553"/>
      <c r="AX109" s="553"/>
      <c r="AY109" s="552"/>
      <c r="AZ109" s="553"/>
      <c r="BA109" s="553"/>
      <c r="BC109" s="566"/>
      <c r="BD109" s="567"/>
      <c r="BE109" s="567"/>
    </row>
    <row r="110" spans="34:57" ht="12.75">
      <c r="AH110" s="530" t="s">
        <v>826</v>
      </c>
      <c r="AI110" s="537">
        <v>2379.03</v>
      </c>
      <c r="AJ110" s="677"/>
      <c r="AK110" s="560"/>
      <c r="AL110" s="560"/>
      <c r="AU110" s="552"/>
      <c r="AV110" s="553"/>
      <c r="AW110" s="553"/>
      <c r="AX110" s="553"/>
      <c r="AY110" s="552"/>
      <c r="AZ110" s="553"/>
      <c r="BA110" s="553"/>
      <c r="BC110" s="566"/>
      <c r="BD110" s="567"/>
      <c r="BE110" s="567"/>
    </row>
    <row r="111" spans="34:57" ht="12.75">
      <c r="AH111" s="530" t="s">
        <v>827</v>
      </c>
      <c r="AI111" s="537">
        <v>1195.07</v>
      </c>
      <c r="AJ111" s="677"/>
      <c r="AK111" s="560"/>
      <c r="AL111" s="560"/>
      <c r="AU111" s="552"/>
      <c r="AV111" s="553"/>
      <c r="AW111" s="553"/>
      <c r="AX111" s="553"/>
      <c r="AY111" s="552"/>
      <c r="AZ111" s="553"/>
      <c r="BA111" s="553"/>
      <c r="BC111" s="566"/>
      <c r="BD111" s="567"/>
      <c r="BE111" s="567"/>
    </row>
    <row r="112" spans="34:57" ht="12.75">
      <c r="AH112" s="530" t="s">
        <v>828</v>
      </c>
      <c r="AI112" s="537">
        <v>958.18</v>
      </c>
      <c r="AJ112" s="677"/>
      <c r="AK112" s="560"/>
      <c r="AL112" s="560"/>
      <c r="AU112" s="552"/>
      <c r="AV112" s="553"/>
      <c r="AW112" s="553"/>
      <c r="AX112" s="548"/>
      <c r="AY112" s="552"/>
      <c r="AZ112" s="553"/>
      <c r="BA112" s="553"/>
      <c r="BC112" s="566"/>
      <c r="BD112" s="567"/>
      <c r="BE112" s="567"/>
    </row>
    <row r="113" spans="34:57" ht="12.75">
      <c r="AH113" s="530" t="s">
        <v>829</v>
      </c>
      <c r="AI113" s="537">
        <v>1187.02</v>
      </c>
      <c r="AJ113" s="677"/>
      <c r="AK113" s="560"/>
      <c r="AL113" s="560"/>
      <c r="AU113" s="552"/>
      <c r="AV113" s="553"/>
      <c r="AW113" s="553"/>
      <c r="AX113" s="548"/>
      <c r="AY113" s="552"/>
      <c r="AZ113" s="553"/>
      <c r="BA113" s="553"/>
      <c r="BC113" s="566"/>
      <c r="BD113" s="567"/>
      <c r="BE113" s="567"/>
    </row>
    <row r="114" spans="34:57" ht="12.75">
      <c r="AH114" s="530" t="s">
        <v>830</v>
      </c>
      <c r="AI114" s="537">
        <v>1875.84</v>
      </c>
      <c r="AJ114" s="677"/>
      <c r="AK114" s="560"/>
      <c r="AL114" s="560"/>
      <c r="AU114" s="552"/>
      <c r="AV114" s="553"/>
      <c r="AW114" s="553"/>
      <c r="AX114" s="548"/>
      <c r="AY114" s="552"/>
      <c r="AZ114" s="553"/>
      <c r="BA114" s="553"/>
      <c r="BC114" s="566"/>
      <c r="BD114" s="567"/>
      <c r="BE114" s="567"/>
    </row>
    <row r="115" spans="2:57" ht="12.75">
      <c r="B115" s="550"/>
      <c r="C115" s="550"/>
      <c r="D115" s="966"/>
      <c r="AH115" s="530" t="s">
        <v>831</v>
      </c>
      <c r="AI115" s="537">
        <v>620.39</v>
      </c>
      <c r="AJ115" s="677"/>
      <c r="AK115" s="564"/>
      <c r="AL115" s="564"/>
      <c r="AU115" s="552"/>
      <c r="AV115" s="553"/>
      <c r="AW115" s="553"/>
      <c r="AX115" s="553"/>
      <c r="AY115" s="552"/>
      <c r="AZ115" s="553"/>
      <c r="BA115" s="553"/>
      <c r="BC115" s="566"/>
      <c r="BD115" s="567"/>
      <c r="BE115" s="567"/>
    </row>
    <row r="116" spans="2:57" ht="12.75">
      <c r="B116" s="550"/>
      <c r="C116" s="550"/>
      <c r="D116" s="966"/>
      <c r="AH116" s="530" t="s">
        <v>832</v>
      </c>
      <c r="AI116" s="537">
        <v>218.49</v>
      </c>
      <c r="AJ116" s="678"/>
      <c r="AU116" s="552"/>
      <c r="AV116" s="553"/>
      <c r="AW116" s="553"/>
      <c r="AX116" s="553"/>
      <c r="AY116" s="552"/>
      <c r="AZ116" s="553"/>
      <c r="BA116" s="553"/>
      <c r="BC116" s="566"/>
      <c r="BD116" s="567"/>
      <c r="BE116" s="567"/>
    </row>
    <row r="117" spans="2:57" ht="12.75">
      <c r="B117" s="550"/>
      <c r="C117" s="550"/>
      <c r="D117" s="966"/>
      <c r="AH117" s="530" t="s">
        <v>833</v>
      </c>
      <c r="AI117" s="537">
        <v>2086.11</v>
      </c>
      <c r="AU117" s="552"/>
      <c r="AV117" s="553"/>
      <c r="AW117" s="553"/>
      <c r="AX117" s="553"/>
      <c r="AY117" s="552"/>
      <c r="AZ117" s="553"/>
      <c r="BA117" s="553"/>
      <c r="BC117" s="566"/>
      <c r="BD117" s="567"/>
      <c r="BE117" s="567"/>
    </row>
    <row r="118" spans="2:57" ht="12.75">
      <c r="B118" s="860"/>
      <c r="C118" s="983"/>
      <c r="D118" s="966"/>
      <c r="AH118" s="530" t="s">
        <v>834</v>
      </c>
      <c r="AI118" s="537">
        <v>507.2</v>
      </c>
      <c r="AK118" s="560"/>
      <c r="AL118" s="560"/>
      <c r="AM118" s="594"/>
      <c r="AN118" s="594"/>
      <c r="AU118" s="552"/>
      <c r="AV118" s="553"/>
      <c r="AW118" s="553"/>
      <c r="AX118" s="553"/>
      <c r="AY118" s="552"/>
      <c r="AZ118" s="553"/>
      <c r="BA118" s="553"/>
      <c r="BC118" s="566"/>
      <c r="BD118" s="567"/>
      <c r="BE118" s="567"/>
    </row>
    <row r="119" spans="2:57" ht="12.75">
      <c r="B119" s="550"/>
      <c r="C119" s="996"/>
      <c r="D119" s="966"/>
      <c r="AH119" s="530" t="s">
        <v>835</v>
      </c>
      <c r="AI119" s="537">
        <v>620.73</v>
      </c>
      <c r="AJ119" s="677"/>
      <c r="AK119" s="560"/>
      <c r="AL119" s="560"/>
      <c r="AM119" s="594"/>
      <c r="AN119" s="594"/>
      <c r="AO119" s="955"/>
      <c r="AU119" s="552"/>
      <c r="AV119" s="553"/>
      <c r="AW119" s="553"/>
      <c r="AX119" s="553"/>
      <c r="AY119" s="552"/>
      <c r="AZ119" s="553"/>
      <c r="BA119" s="553"/>
      <c r="BC119" s="566"/>
      <c r="BD119" s="567"/>
      <c r="BE119" s="567"/>
    </row>
    <row r="120" spans="2:57" ht="12.75">
      <c r="B120" s="550"/>
      <c r="C120" s="671"/>
      <c r="D120" s="966"/>
      <c r="AH120" s="530" t="s">
        <v>836</v>
      </c>
      <c r="AI120" s="537">
        <v>2119.71</v>
      </c>
      <c r="AJ120" s="677"/>
      <c r="AK120" s="560"/>
      <c r="AL120" s="560"/>
      <c r="AM120" s="594"/>
      <c r="AN120" s="594"/>
      <c r="AO120" s="955"/>
      <c r="AU120" s="552"/>
      <c r="AV120" s="553"/>
      <c r="AW120" s="553"/>
      <c r="AX120" s="553"/>
      <c r="AY120" s="552"/>
      <c r="AZ120" s="553"/>
      <c r="BA120" s="553"/>
      <c r="BC120" s="566"/>
      <c r="BD120" s="567"/>
      <c r="BE120" s="567"/>
    </row>
    <row r="121" spans="2:57" ht="12.75">
      <c r="B121" s="687"/>
      <c r="C121" s="686"/>
      <c r="D121" s="966"/>
      <c r="AH121" s="530" t="s">
        <v>837</v>
      </c>
      <c r="AI121" s="537">
        <v>2819.17</v>
      </c>
      <c r="AJ121" s="677"/>
      <c r="AK121" s="560"/>
      <c r="AL121" s="560"/>
      <c r="AM121" s="547"/>
      <c r="AN121" s="594"/>
      <c r="AO121" s="955"/>
      <c r="AU121" s="552"/>
      <c r="AV121" s="553"/>
      <c r="AW121" s="553"/>
      <c r="AX121" s="553"/>
      <c r="AY121" s="552"/>
      <c r="AZ121" s="553"/>
      <c r="BA121" s="553"/>
      <c r="BC121" s="566"/>
      <c r="BD121" s="567"/>
      <c r="BE121" s="567"/>
    </row>
    <row r="122" spans="2:57" ht="12.75">
      <c r="B122" s="572"/>
      <c r="C122" s="671"/>
      <c r="D122" s="966"/>
      <c r="AH122" s="530" t="s">
        <v>838</v>
      </c>
      <c r="AI122" s="537">
        <v>682.42</v>
      </c>
      <c r="AJ122" s="677"/>
      <c r="AK122" s="564"/>
      <c r="AL122" s="564"/>
      <c r="AM122" s="566"/>
      <c r="AN122" s="575"/>
      <c r="AO122" s="955"/>
      <c r="AQ122" s="535"/>
      <c r="AR122" s="548"/>
      <c r="AS122" s="548"/>
      <c r="AU122" s="552"/>
      <c r="AV122" s="553"/>
      <c r="AW122" s="553"/>
      <c r="AX122" s="553"/>
      <c r="AY122" s="552"/>
      <c r="AZ122" s="553"/>
      <c r="BA122" s="553"/>
      <c r="BC122" s="566"/>
      <c r="BD122" s="567"/>
      <c r="BE122" s="567"/>
    </row>
    <row r="123" spans="2:57" ht="12.75">
      <c r="B123" s="572"/>
      <c r="C123" s="671"/>
      <c r="D123" s="966"/>
      <c r="AH123" s="530" t="s">
        <v>839</v>
      </c>
      <c r="AI123" s="537">
        <v>807.02</v>
      </c>
      <c r="AJ123" s="678"/>
      <c r="AM123" s="547"/>
      <c r="AN123" s="547"/>
      <c r="AO123" s="956"/>
      <c r="AQ123" s="535"/>
      <c r="AR123" s="548"/>
      <c r="AS123" s="548"/>
      <c r="AU123" s="552"/>
      <c r="AV123" s="553"/>
      <c r="AW123" s="553"/>
      <c r="AX123" s="553"/>
      <c r="AY123" s="552"/>
      <c r="AZ123" s="553"/>
      <c r="BA123" s="553"/>
      <c r="BC123" s="566"/>
      <c r="BD123" s="567"/>
      <c r="BE123" s="567"/>
    </row>
    <row r="124" spans="2:57" ht="12.75">
      <c r="B124" s="572"/>
      <c r="C124" s="671"/>
      <c r="D124" s="966"/>
      <c r="AH124" s="530" t="s">
        <v>840</v>
      </c>
      <c r="AI124" s="537">
        <v>1492.2</v>
      </c>
      <c r="AQ124" s="535"/>
      <c r="AR124" s="548"/>
      <c r="AS124" s="548"/>
      <c r="AU124" s="552"/>
      <c r="AV124" s="553"/>
      <c r="AW124" s="553"/>
      <c r="AX124" s="553"/>
      <c r="AY124" s="552"/>
      <c r="AZ124" s="553"/>
      <c r="BA124" s="553"/>
      <c r="BC124" s="566"/>
      <c r="BD124" s="567"/>
      <c r="BE124" s="567"/>
    </row>
    <row r="125" spans="2:57" ht="12.75">
      <c r="B125" s="572"/>
      <c r="C125" s="671"/>
      <c r="D125" s="966"/>
      <c r="AH125" s="530" t="s">
        <v>841</v>
      </c>
      <c r="AI125" s="537">
        <v>7026.44</v>
      </c>
      <c r="AQ125" s="535"/>
      <c r="AR125" s="548"/>
      <c r="AS125" s="548"/>
      <c r="AU125" s="552"/>
      <c r="AV125" s="553"/>
      <c r="AW125" s="553"/>
      <c r="AX125" s="553"/>
      <c r="AY125" s="552"/>
      <c r="AZ125" s="553"/>
      <c r="BA125" s="553"/>
      <c r="BC125" s="566"/>
      <c r="BD125" s="567"/>
      <c r="BE125" s="567"/>
    </row>
    <row r="126" spans="2:57" ht="12.75">
      <c r="B126" s="687"/>
      <c r="C126" s="686"/>
      <c r="D126" s="966"/>
      <c r="AH126" s="530" t="s">
        <v>842</v>
      </c>
      <c r="AI126" s="537">
        <v>3140.17</v>
      </c>
      <c r="AQ126" s="535"/>
      <c r="AR126" s="548"/>
      <c r="AS126" s="548"/>
      <c r="AU126" s="552"/>
      <c r="AV126" s="553"/>
      <c r="AW126" s="553"/>
      <c r="AX126" s="553"/>
      <c r="AY126" s="552"/>
      <c r="AZ126" s="553"/>
      <c r="BA126" s="553"/>
      <c r="BC126" s="566"/>
      <c r="BD126" s="567"/>
      <c r="BE126" s="567"/>
    </row>
    <row r="127" spans="2:57" ht="12.75">
      <c r="B127" s="687"/>
      <c r="C127" s="686"/>
      <c r="D127" s="966"/>
      <c r="AH127" s="530" t="s">
        <v>843</v>
      </c>
      <c r="AI127" s="537">
        <v>412.55</v>
      </c>
      <c r="AQ127" s="535"/>
      <c r="AR127" s="548"/>
      <c r="AS127" s="548"/>
      <c r="AU127" s="552"/>
      <c r="AV127" s="553"/>
      <c r="AW127" s="553"/>
      <c r="AX127" s="553"/>
      <c r="AY127" s="552"/>
      <c r="AZ127" s="553"/>
      <c r="BA127" s="553"/>
      <c r="BC127" s="566"/>
      <c r="BD127" s="567"/>
      <c r="BE127" s="567"/>
    </row>
    <row r="128" spans="2:57" ht="12.75">
      <c r="B128" s="572"/>
      <c r="C128" s="671"/>
      <c r="D128" s="966"/>
      <c r="AH128" s="530" t="s">
        <v>844</v>
      </c>
      <c r="AI128" s="537">
        <v>1536.1</v>
      </c>
      <c r="AU128" s="552"/>
      <c r="AV128" s="553"/>
      <c r="AW128" s="553"/>
      <c r="AX128" s="553"/>
      <c r="AY128" s="552"/>
      <c r="AZ128" s="553"/>
      <c r="BA128" s="553"/>
      <c r="BC128" s="566"/>
      <c r="BD128" s="567"/>
      <c r="BE128" s="567"/>
    </row>
    <row r="129" spans="2:57" ht="12.75">
      <c r="B129" s="572"/>
      <c r="C129" s="671"/>
      <c r="D129" s="966"/>
      <c r="AH129" s="530" t="s">
        <v>845</v>
      </c>
      <c r="AI129" s="537">
        <v>767.36</v>
      </c>
      <c r="AU129" s="552"/>
      <c r="AV129" s="553"/>
      <c r="AW129" s="553"/>
      <c r="AX129" s="553"/>
      <c r="AY129" s="552"/>
      <c r="AZ129" s="553"/>
      <c r="BA129" s="553"/>
      <c r="BC129" s="566"/>
      <c r="BD129" s="567"/>
      <c r="BE129" s="567"/>
    </row>
    <row r="130" spans="2:57" ht="12.75">
      <c r="B130" s="572"/>
      <c r="C130" s="671"/>
      <c r="D130" s="966"/>
      <c r="AH130" s="530" t="s">
        <v>846</v>
      </c>
      <c r="AI130" s="537">
        <v>911.93</v>
      </c>
      <c r="AU130" s="552"/>
      <c r="AV130" s="553"/>
      <c r="AW130" s="553"/>
      <c r="AX130" s="553"/>
      <c r="AY130" s="552"/>
      <c r="AZ130" s="553"/>
      <c r="BA130" s="553"/>
      <c r="BC130" s="566"/>
      <c r="BD130" s="567"/>
      <c r="BE130" s="567"/>
    </row>
    <row r="131" spans="2:57" ht="12.75">
      <c r="B131" s="572"/>
      <c r="C131" s="671"/>
      <c r="D131" s="966"/>
      <c r="AH131" s="530" t="s">
        <v>847</v>
      </c>
      <c r="AI131" s="537">
        <v>3994.29</v>
      </c>
      <c r="AU131" s="552"/>
      <c r="AV131" s="553"/>
      <c r="AW131" s="553"/>
      <c r="AX131" s="553"/>
      <c r="AY131" s="552"/>
      <c r="AZ131" s="553"/>
      <c r="BA131" s="553"/>
      <c r="BC131" s="566"/>
      <c r="BD131" s="567"/>
      <c r="BE131" s="567"/>
    </row>
    <row r="132" spans="2:57" ht="12.75">
      <c r="B132" s="687"/>
      <c r="C132" s="686"/>
      <c r="D132" s="966"/>
      <c r="AH132" s="530" t="s">
        <v>848</v>
      </c>
      <c r="AI132" s="537">
        <v>129.56</v>
      </c>
      <c r="AU132" s="552"/>
      <c r="AV132" s="553"/>
      <c r="AW132" s="553"/>
      <c r="AX132" s="553"/>
      <c r="AY132" s="552"/>
      <c r="AZ132" s="553"/>
      <c r="BA132" s="553"/>
      <c r="BC132" s="566"/>
      <c r="BD132" s="567"/>
      <c r="BE132" s="567"/>
    </row>
    <row r="133" spans="2:57" ht="12.75">
      <c r="B133" s="687"/>
      <c r="C133" s="686"/>
      <c r="D133" s="966"/>
      <c r="AH133" s="530" t="s">
        <v>849</v>
      </c>
      <c r="AI133" s="537">
        <v>751.88</v>
      </c>
      <c r="AU133" s="552"/>
      <c r="AV133" s="553"/>
      <c r="AW133" s="553"/>
      <c r="AX133" s="553"/>
      <c r="AY133" s="552"/>
      <c r="AZ133" s="553"/>
      <c r="BA133" s="553"/>
      <c r="BC133" s="566"/>
      <c r="BD133" s="567"/>
      <c r="BE133" s="567"/>
    </row>
    <row r="134" spans="2:57" ht="12.75">
      <c r="B134" s="572"/>
      <c r="C134" s="671"/>
      <c r="D134" s="966"/>
      <c r="AH134" s="530" t="s">
        <v>850</v>
      </c>
      <c r="AI134" s="537">
        <v>815.41</v>
      </c>
      <c r="AU134" s="552"/>
      <c r="AV134" s="553"/>
      <c r="AW134" s="553"/>
      <c r="AX134" s="553"/>
      <c r="AY134" s="552"/>
      <c r="AZ134" s="553"/>
      <c r="BA134" s="553"/>
      <c r="BC134" s="566"/>
      <c r="BD134" s="567"/>
      <c r="BE134" s="567"/>
    </row>
    <row r="135" spans="2:57" ht="12.75">
      <c r="B135" s="572"/>
      <c r="C135" s="671"/>
      <c r="D135" s="966"/>
      <c r="AH135" s="530" t="s">
        <v>851</v>
      </c>
      <c r="AI135" s="537">
        <v>887.77</v>
      </c>
      <c r="AQ135" s="535"/>
      <c r="AR135" s="548"/>
      <c r="AS135" s="548"/>
      <c r="AU135" s="552"/>
      <c r="AV135" s="553"/>
      <c r="AW135" s="553"/>
      <c r="AX135" s="553"/>
      <c r="AY135" s="552"/>
      <c r="AZ135" s="553"/>
      <c r="BA135" s="553"/>
      <c r="BC135" s="566"/>
      <c r="BD135" s="567"/>
      <c r="BE135" s="567"/>
    </row>
    <row r="136" spans="2:57" ht="12.75">
      <c r="B136" s="572"/>
      <c r="C136" s="671"/>
      <c r="D136" s="966"/>
      <c r="AH136" s="530" t="s">
        <v>852</v>
      </c>
      <c r="AI136" s="537">
        <v>377.32</v>
      </c>
      <c r="AQ136" s="535"/>
      <c r="AR136" s="548"/>
      <c r="AS136" s="548"/>
      <c r="AU136" s="552"/>
      <c r="AV136" s="553"/>
      <c r="AW136" s="553"/>
      <c r="AX136" s="553"/>
      <c r="AY136" s="552"/>
      <c r="AZ136" s="553"/>
      <c r="BA136" s="553"/>
      <c r="BC136" s="566"/>
      <c r="BD136" s="567"/>
      <c r="BE136" s="567"/>
    </row>
    <row r="137" spans="2:57" ht="12.75">
      <c r="B137" s="572"/>
      <c r="C137" s="671"/>
      <c r="D137" s="966"/>
      <c r="AH137" s="530" t="s">
        <v>853</v>
      </c>
      <c r="AI137" s="537">
        <v>16.12</v>
      </c>
      <c r="AQ137" s="552"/>
      <c r="AR137" s="553"/>
      <c r="AS137" s="553"/>
      <c r="AU137" s="552"/>
      <c r="AV137" s="553"/>
      <c r="AW137" s="553"/>
      <c r="AX137" s="553"/>
      <c r="AY137" s="552"/>
      <c r="AZ137" s="553"/>
      <c r="BA137" s="553"/>
      <c r="BC137" s="566"/>
      <c r="BD137" s="567"/>
      <c r="BE137" s="567"/>
    </row>
    <row r="138" spans="2:57" ht="12.75">
      <c r="B138" s="687"/>
      <c r="C138" s="686"/>
      <c r="D138" s="966"/>
      <c r="AH138" s="530" t="s">
        <v>854</v>
      </c>
      <c r="AI138" s="537">
        <v>453.55</v>
      </c>
      <c r="AQ138" s="552"/>
      <c r="AR138" s="553"/>
      <c r="AS138" s="553"/>
      <c r="AU138" s="552"/>
      <c r="AV138" s="553"/>
      <c r="AW138" s="553"/>
      <c r="AX138" s="553"/>
      <c r="AY138" s="552"/>
      <c r="AZ138" s="553"/>
      <c r="BA138" s="553"/>
      <c r="BC138" s="566"/>
      <c r="BD138" s="567"/>
      <c r="BE138" s="567"/>
    </row>
    <row r="139" spans="2:57" ht="12.75">
      <c r="B139" s="572"/>
      <c r="C139" s="671"/>
      <c r="D139" s="966"/>
      <c r="AH139" s="530" t="s">
        <v>855</v>
      </c>
      <c r="AI139" s="537">
        <v>446.76</v>
      </c>
      <c r="AQ139" s="552"/>
      <c r="AR139" s="553"/>
      <c r="AS139" s="553"/>
      <c r="AU139" s="552"/>
      <c r="AV139" s="553"/>
      <c r="AW139" s="553"/>
      <c r="AX139" s="553"/>
      <c r="AY139" s="552"/>
      <c r="AZ139" s="553"/>
      <c r="BA139" s="553"/>
      <c r="BC139" s="566"/>
      <c r="BD139" s="567"/>
      <c r="BE139" s="567"/>
    </row>
    <row r="140" spans="2:57" ht="12.75">
      <c r="B140" s="572"/>
      <c r="C140" s="671"/>
      <c r="D140" s="966"/>
      <c r="AH140" s="530" t="s">
        <v>856</v>
      </c>
      <c r="AI140" s="537">
        <v>603.43</v>
      </c>
      <c r="AQ140" s="552"/>
      <c r="AR140" s="553"/>
      <c r="AS140" s="553"/>
      <c r="AU140" s="552"/>
      <c r="AV140" s="553"/>
      <c r="AW140" s="553"/>
      <c r="AX140" s="553"/>
      <c r="AY140" s="552"/>
      <c r="AZ140" s="553"/>
      <c r="BA140" s="553"/>
      <c r="BC140" s="566"/>
      <c r="BD140" s="567"/>
      <c r="BE140" s="567"/>
    </row>
    <row r="141" spans="2:57" ht="12.75">
      <c r="B141" s="572"/>
      <c r="C141" s="671"/>
      <c r="D141" s="966"/>
      <c r="AH141" s="530" t="s">
        <v>857</v>
      </c>
      <c r="AI141" s="537">
        <v>1864.19</v>
      </c>
      <c r="AQ141" s="552"/>
      <c r="AR141" s="553"/>
      <c r="AS141" s="553"/>
      <c r="AU141" s="552"/>
      <c r="AV141" s="553"/>
      <c r="AW141" s="553"/>
      <c r="AX141" s="553"/>
      <c r="AY141" s="552"/>
      <c r="AZ141" s="553"/>
      <c r="BA141" s="553"/>
      <c r="BC141" s="566"/>
      <c r="BD141" s="567"/>
      <c r="BE141" s="567"/>
    </row>
    <row r="142" spans="2:57" ht="12.75">
      <c r="B142" s="572"/>
      <c r="C142" s="671"/>
      <c r="D142" s="966"/>
      <c r="AH142" s="530" t="s">
        <v>858</v>
      </c>
      <c r="AI142" s="537">
        <v>259.12</v>
      </c>
      <c r="AQ142" s="552"/>
      <c r="AR142" s="553"/>
      <c r="AS142" s="553"/>
      <c r="AU142" s="552"/>
      <c r="AV142" s="553"/>
      <c r="AW142" s="553"/>
      <c r="AX142" s="553"/>
      <c r="AY142" s="552"/>
      <c r="AZ142" s="553"/>
      <c r="BA142" s="553"/>
      <c r="BC142" s="566"/>
      <c r="BD142" s="567"/>
      <c r="BE142" s="567"/>
    </row>
    <row r="143" spans="2:57" ht="12.75">
      <c r="B143" s="572"/>
      <c r="C143" s="671"/>
      <c r="D143" s="966"/>
      <c r="AH143" s="530" t="s">
        <v>859</v>
      </c>
      <c r="AI143" s="537">
        <v>82.47</v>
      </c>
      <c r="AQ143" s="552"/>
      <c r="AR143" s="553"/>
      <c r="AS143" s="553"/>
      <c r="AU143" s="552"/>
      <c r="AV143" s="553"/>
      <c r="AW143" s="553"/>
      <c r="AX143" s="553"/>
      <c r="AY143" s="552"/>
      <c r="AZ143" s="553"/>
      <c r="BA143" s="553"/>
      <c r="BC143" s="566"/>
      <c r="BD143" s="567"/>
      <c r="BE143" s="567"/>
    </row>
    <row r="144" spans="2:57" ht="12.75">
      <c r="B144" s="572"/>
      <c r="C144" s="671"/>
      <c r="D144" s="966"/>
      <c r="AH144" s="530" t="s">
        <v>860</v>
      </c>
      <c r="AI144" s="537">
        <v>97.04</v>
      </c>
      <c r="AQ144" s="552"/>
      <c r="AR144" s="553"/>
      <c r="AS144" s="553"/>
      <c r="AU144" s="552"/>
      <c r="AV144" s="553"/>
      <c r="AW144" s="553"/>
      <c r="AX144" s="553"/>
      <c r="AY144" s="552"/>
      <c r="AZ144" s="553"/>
      <c r="BA144" s="553"/>
      <c r="BC144" s="566"/>
      <c r="BD144" s="567"/>
      <c r="BE144" s="567"/>
    </row>
    <row r="145" spans="2:57" ht="12.75">
      <c r="B145" s="572"/>
      <c r="C145" s="671"/>
      <c r="D145" s="966"/>
      <c r="AH145" s="530" t="s">
        <v>861</v>
      </c>
      <c r="AI145" s="537">
        <v>581.27</v>
      </c>
      <c r="AQ145" s="552"/>
      <c r="AR145" s="553"/>
      <c r="AS145" s="553"/>
      <c r="AU145" s="552"/>
      <c r="AV145" s="553"/>
      <c r="AW145" s="553"/>
      <c r="AX145" s="553"/>
      <c r="AY145" s="552"/>
      <c r="AZ145" s="554"/>
      <c r="BA145" s="554"/>
      <c r="BC145" s="566"/>
      <c r="BD145" s="567"/>
      <c r="BE145" s="567"/>
    </row>
    <row r="146" spans="2:57" ht="12.75">
      <c r="B146" s="572"/>
      <c r="C146" s="671"/>
      <c r="D146" s="966"/>
      <c r="AH146" s="530" t="s">
        <v>862</v>
      </c>
      <c r="AI146" s="537">
        <v>480.62</v>
      </c>
      <c r="AQ146" s="552"/>
      <c r="AR146" s="553"/>
      <c r="AS146" s="553"/>
      <c r="AU146" s="552"/>
      <c r="AV146" s="553"/>
      <c r="AW146" s="553"/>
      <c r="AX146" s="553"/>
      <c r="BC146" s="566"/>
      <c r="BD146" s="567"/>
      <c r="BE146" s="567"/>
    </row>
    <row r="147" spans="2:57" ht="12.75">
      <c r="B147" s="572"/>
      <c r="C147" s="671"/>
      <c r="D147" s="966"/>
      <c r="AH147" s="530" t="s">
        <v>863</v>
      </c>
      <c r="AI147" s="537">
        <v>32.17</v>
      </c>
      <c r="AQ147" s="552"/>
      <c r="AR147" s="553"/>
      <c r="AS147" s="553"/>
      <c r="AU147" s="552"/>
      <c r="AV147" s="553"/>
      <c r="AW147" s="553"/>
      <c r="AX147" s="553"/>
      <c r="BC147" s="566"/>
      <c r="BD147" s="567"/>
      <c r="BE147" s="567"/>
    </row>
    <row r="148" spans="2:57" ht="12.75">
      <c r="B148" s="572"/>
      <c r="C148" s="671"/>
      <c r="D148" s="966"/>
      <c r="AH148" s="530" t="s">
        <v>864</v>
      </c>
      <c r="AI148" s="537">
        <v>1293.36</v>
      </c>
      <c r="AQ148" s="552"/>
      <c r="AR148" s="553"/>
      <c r="AS148" s="553"/>
      <c r="AU148" s="552"/>
      <c r="AV148" s="553"/>
      <c r="AW148" s="553"/>
      <c r="AX148" s="553"/>
      <c r="BC148" s="566"/>
      <c r="BD148" s="567"/>
      <c r="BE148" s="567"/>
    </row>
    <row r="149" spans="2:57" ht="12.75">
      <c r="B149" s="572"/>
      <c r="C149" s="671"/>
      <c r="D149" s="966"/>
      <c r="AH149" s="530" t="s">
        <v>865</v>
      </c>
      <c r="AI149" s="537">
        <v>149.27</v>
      </c>
      <c r="AQ149" s="552"/>
      <c r="AR149" s="553"/>
      <c r="AS149" s="553"/>
      <c r="AU149" s="552"/>
      <c r="AV149" s="553"/>
      <c r="AW149" s="553"/>
      <c r="AX149" s="553"/>
      <c r="BC149" s="566"/>
      <c r="BD149" s="567"/>
      <c r="BE149" s="567"/>
    </row>
    <row r="150" spans="2:57" ht="12.75">
      <c r="B150" s="572"/>
      <c r="C150" s="671"/>
      <c r="D150" s="966"/>
      <c r="AH150" s="530" t="s">
        <v>866</v>
      </c>
      <c r="AI150" s="537">
        <v>4436</v>
      </c>
      <c r="AQ150" s="552"/>
      <c r="AR150" s="553"/>
      <c r="AS150" s="553"/>
      <c r="AU150" s="552"/>
      <c r="AV150" s="554"/>
      <c r="AW150" s="554"/>
      <c r="AX150" s="553"/>
      <c r="BC150" s="566"/>
      <c r="BD150" s="567"/>
      <c r="BE150" s="567"/>
    </row>
    <row r="151" spans="2:57" ht="12.75">
      <c r="B151" s="572"/>
      <c r="C151" s="671"/>
      <c r="D151" s="966"/>
      <c r="AH151" s="530" t="s">
        <v>867</v>
      </c>
      <c r="AI151" s="537">
        <v>2208</v>
      </c>
      <c r="AS151" s="553"/>
      <c r="AX151" s="553"/>
      <c r="BC151" s="566"/>
      <c r="BD151" s="567"/>
      <c r="BE151" s="567"/>
    </row>
    <row r="152" spans="2:57" ht="12.75">
      <c r="B152" s="687"/>
      <c r="C152" s="686"/>
      <c r="D152" s="966"/>
      <c r="AH152" s="530" t="s">
        <v>868</v>
      </c>
      <c r="AI152" s="537">
        <v>-157</v>
      </c>
      <c r="AS152" s="553"/>
      <c r="AX152" s="553"/>
      <c r="BC152" s="566"/>
      <c r="BD152" s="567"/>
      <c r="BE152" s="567"/>
    </row>
    <row r="153" spans="2:57" ht="12.75">
      <c r="B153" s="572"/>
      <c r="C153" s="671"/>
      <c r="D153" s="966"/>
      <c r="AH153" s="530" t="s">
        <v>869</v>
      </c>
      <c r="AI153" s="537">
        <v>1930</v>
      </c>
      <c r="AS153" s="553"/>
      <c r="AX153" s="553"/>
      <c r="BC153" s="566"/>
      <c r="BD153" s="567"/>
      <c r="BE153" s="567"/>
    </row>
    <row r="154" spans="2:57" ht="12.75">
      <c r="B154" s="550"/>
      <c r="C154" s="996"/>
      <c r="D154" s="966"/>
      <c r="AH154" s="547"/>
      <c r="AI154" s="547"/>
      <c r="AS154" s="553"/>
      <c r="AX154" s="553"/>
      <c r="BC154" s="566"/>
      <c r="BD154" s="567"/>
      <c r="BE154" s="567"/>
    </row>
    <row r="155" spans="2:57" ht="12.75">
      <c r="B155" s="687"/>
      <c r="C155" s="997"/>
      <c r="D155" s="966"/>
      <c r="AH155" s="547"/>
      <c r="AI155" s="547"/>
      <c r="AS155" s="553"/>
      <c r="AX155" s="554"/>
      <c r="BC155" s="566"/>
      <c r="BD155" s="567"/>
      <c r="BE155" s="567"/>
    </row>
    <row r="156" spans="2:57" ht="12.75">
      <c r="B156" s="550"/>
      <c r="C156" s="996"/>
      <c r="D156" s="966"/>
      <c r="AH156" s="547"/>
      <c r="AI156" s="547"/>
      <c r="AQ156" s="535"/>
      <c r="AR156" s="548"/>
      <c r="AS156" s="553"/>
      <c r="BC156" s="566"/>
      <c r="BD156" s="567"/>
      <c r="BE156" s="567"/>
    </row>
    <row r="157" spans="2:57" ht="13.5" thickBot="1">
      <c r="B157" s="551"/>
      <c r="C157" s="997"/>
      <c r="D157" s="966"/>
      <c r="AH157" s="565" t="s">
        <v>425</v>
      </c>
      <c r="AI157" s="579">
        <f>SUM(AI3:AI156)</f>
        <v>2139394.3300000005</v>
      </c>
      <c r="AQ157" s="552"/>
      <c r="AR157" s="553"/>
      <c r="AS157" s="553"/>
      <c r="BC157" s="566"/>
      <c r="BD157" s="567"/>
      <c r="BE157" s="567"/>
    </row>
    <row r="158" spans="2:57" ht="13.5" thickTop="1">
      <c r="B158" s="550"/>
      <c r="C158" s="996"/>
      <c r="D158" s="966"/>
      <c r="AH158" s="573"/>
      <c r="AI158" s="583"/>
      <c r="AQ158" s="552"/>
      <c r="AR158" s="553"/>
      <c r="AS158" s="553"/>
      <c r="BC158" s="566"/>
      <c r="BD158" s="567"/>
      <c r="BE158" s="567"/>
    </row>
    <row r="159" spans="2:57" ht="12.75">
      <c r="B159" s="550"/>
      <c r="C159" s="550"/>
      <c r="D159" s="966"/>
      <c r="AH159" s="573"/>
      <c r="AI159" s="583"/>
      <c r="AQ159" s="552"/>
      <c r="AR159" s="553"/>
      <c r="AS159" s="553"/>
      <c r="BC159" s="547"/>
      <c r="BD159" s="567"/>
      <c r="BE159" s="567"/>
    </row>
    <row r="160" spans="2:57" ht="12.75">
      <c r="B160" s="550"/>
      <c r="C160" s="550"/>
      <c r="D160" s="966"/>
      <c r="AH160" s="628" t="s">
        <v>666</v>
      </c>
      <c r="AI160" s="584"/>
      <c r="AQ160" s="552"/>
      <c r="AR160" s="553"/>
      <c r="AS160" s="553"/>
      <c r="BC160" s="547"/>
      <c r="BD160" s="567"/>
      <c r="BE160" s="567"/>
    </row>
    <row r="161" spans="2:57" ht="12.75">
      <c r="B161" s="550"/>
      <c r="C161" s="550"/>
      <c r="D161" s="966"/>
      <c r="AH161" s="628" t="s">
        <v>42</v>
      </c>
      <c r="AI161" s="670">
        <f>SUM(AI3:AI22)+AI169</f>
        <v>1413904.5576648382</v>
      </c>
      <c r="AQ161" s="552"/>
      <c r="AR161" s="553"/>
      <c r="AS161" s="553"/>
      <c r="BC161" s="547"/>
      <c r="BD161" s="567"/>
      <c r="BE161" s="567"/>
    </row>
    <row r="162" spans="2:57" ht="12.75">
      <c r="B162" s="550"/>
      <c r="C162" s="550"/>
      <c r="D162" s="966"/>
      <c r="AH162" s="628" t="s">
        <v>24</v>
      </c>
      <c r="AI162" s="670">
        <f>SUM(AI23:AI40)</f>
        <v>217274.50999999995</v>
      </c>
      <c r="AQ162" s="552"/>
      <c r="AR162" s="553"/>
      <c r="AS162" s="553"/>
      <c r="BC162" s="547"/>
      <c r="BD162" s="567"/>
      <c r="BE162" s="567"/>
    </row>
    <row r="163" spans="2:57" ht="12.75">
      <c r="B163" s="550"/>
      <c r="C163" s="550"/>
      <c r="D163" s="966"/>
      <c r="AH163" s="566" t="s">
        <v>43</v>
      </c>
      <c r="AI163" s="670">
        <f>SUM(AI41:AI57)+AI170</f>
        <v>508215.2623351618</v>
      </c>
      <c r="AQ163" s="552"/>
      <c r="AR163" s="553"/>
      <c r="AS163" s="553"/>
      <c r="BC163" s="547"/>
      <c r="BD163" s="567"/>
      <c r="BE163" s="567"/>
    </row>
    <row r="164" spans="2:57" ht="12.75">
      <c r="B164" s="550"/>
      <c r="C164" s="550"/>
      <c r="D164" s="966"/>
      <c r="AH164" s="687"/>
      <c r="AI164" s="850"/>
      <c r="AQ164" s="552"/>
      <c r="AR164" s="553"/>
      <c r="AS164" s="553"/>
      <c r="BC164" s="547"/>
      <c r="BD164" s="567"/>
      <c r="BE164" s="567"/>
    </row>
    <row r="165" spans="2:57" ht="13.5" thickBot="1">
      <c r="B165" s="550"/>
      <c r="C165" s="550"/>
      <c r="D165" s="966"/>
      <c r="AH165" s="565" t="s">
        <v>425</v>
      </c>
      <c r="AI165" s="579">
        <f>SUM(AI161:AI163)</f>
        <v>2139394.33</v>
      </c>
      <c r="AQ165" s="552"/>
      <c r="AR165" s="553"/>
      <c r="AS165" s="553"/>
      <c r="BC165" s="547"/>
      <c r="BD165" s="567"/>
      <c r="BE165" s="567"/>
    </row>
    <row r="166" spans="2:45" ht="13.5" thickTop="1">
      <c r="B166" s="550"/>
      <c r="C166" s="550"/>
      <c r="D166" s="966"/>
      <c r="AH166" s="547"/>
      <c r="AI166" s="547"/>
      <c r="AQ166" s="552"/>
      <c r="AR166" s="553"/>
      <c r="AS166" s="553"/>
    </row>
    <row r="167" spans="2:45" ht="12.75">
      <c r="B167" s="550"/>
      <c r="C167" s="550"/>
      <c r="D167" s="966"/>
      <c r="AH167" s="547"/>
      <c r="AI167" s="547"/>
      <c r="AQ167" s="552"/>
      <c r="AR167" s="553"/>
      <c r="AS167" s="553"/>
    </row>
    <row r="168" spans="2:45" ht="12.75">
      <c r="B168" s="550"/>
      <c r="C168" s="550"/>
      <c r="D168" s="966"/>
      <c r="AH168" s="851" t="s">
        <v>870</v>
      </c>
      <c r="AI168" s="852">
        <f>SUM(AI58:AI153)</f>
        <v>161373.68</v>
      </c>
      <c r="AQ168" s="552"/>
      <c r="AR168" s="553"/>
      <c r="AS168" s="553"/>
    </row>
    <row r="169" spans="2:45" ht="12.75">
      <c r="B169" s="550"/>
      <c r="C169" s="550"/>
      <c r="D169" s="966"/>
      <c r="AH169" s="566" t="s">
        <v>537</v>
      </c>
      <c r="AI169" s="670">
        <f>+AI168*Z11</f>
        <v>12697.057664838196</v>
      </c>
      <c r="AQ169" s="552"/>
      <c r="AR169" s="553"/>
      <c r="AS169" s="553"/>
    </row>
    <row r="170" spans="2:45" ht="12.75">
      <c r="B170" s="550"/>
      <c r="C170" s="550"/>
      <c r="D170" s="966"/>
      <c r="AH170" s="551" t="s">
        <v>638</v>
      </c>
      <c r="AI170" s="670">
        <f>+AI168*AK176</f>
        <v>148676.6223351618</v>
      </c>
      <c r="AQ170" s="552"/>
      <c r="AR170" s="553"/>
      <c r="AS170" s="553"/>
    </row>
    <row r="171" spans="2:45" ht="12.75">
      <c r="B171" s="550"/>
      <c r="C171" s="550"/>
      <c r="D171" s="966"/>
      <c r="AH171" s="547"/>
      <c r="AI171" s="547"/>
      <c r="AQ171" s="552"/>
      <c r="AR171" s="553"/>
      <c r="AS171" s="553"/>
    </row>
    <row r="172" spans="2:45" ht="12.75">
      <c r="B172" s="550"/>
      <c r="C172" s="550"/>
      <c r="D172" s="966"/>
      <c r="AH172" s="547"/>
      <c r="AI172" s="583"/>
      <c r="AQ172" s="552"/>
      <c r="AR172" s="553"/>
      <c r="AS172" s="553"/>
    </row>
    <row r="173" spans="2:45" ht="12.75">
      <c r="B173" s="550"/>
      <c r="C173" s="550"/>
      <c r="D173" s="966"/>
      <c r="AQ173" s="552"/>
      <c r="AR173" s="553"/>
      <c r="AS173" s="553"/>
    </row>
    <row r="174" spans="2:45" ht="15">
      <c r="B174" s="550"/>
      <c r="C174" s="550"/>
      <c r="D174" s="966"/>
      <c r="AH174" s="810" t="s">
        <v>763</v>
      </c>
      <c r="AI174" s="811" t="s">
        <v>759</v>
      </c>
      <c r="AK174" s="811" t="s">
        <v>762</v>
      </c>
      <c r="AQ174" s="552"/>
      <c r="AR174" s="553"/>
      <c r="AS174" s="553"/>
    </row>
    <row r="175" spans="2:45" ht="15">
      <c r="B175" s="550"/>
      <c r="C175" s="550"/>
      <c r="D175" s="966"/>
      <c r="AH175" s="534" t="s">
        <v>537</v>
      </c>
      <c r="AI175" s="814">
        <v>7846</v>
      </c>
      <c r="AK175" s="815">
        <f>+AI175/AI177</f>
        <v>0.07868109387378534</v>
      </c>
      <c r="AQ175" s="552"/>
      <c r="AR175" s="553"/>
      <c r="AS175" s="553"/>
    </row>
    <row r="176" spans="2:45" ht="15">
      <c r="B176" s="550"/>
      <c r="C176" s="550"/>
      <c r="D176" s="966"/>
      <c r="AH176" s="534" t="s">
        <v>764</v>
      </c>
      <c r="AI176" s="812">
        <v>91873</v>
      </c>
      <c r="AK176" s="808">
        <f>+AI176/AI177</f>
        <v>0.9213189061262147</v>
      </c>
      <c r="AQ176" s="552"/>
      <c r="AR176" s="553"/>
      <c r="AS176" s="553"/>
    </row>
    <row r="177" spans="2:45" ht="15.75" thickBot="1">
      <c r="B177" s="550"/>
      <c r="C177" s="550"/>
      <c r="D177" s="966"/>
      <c r="AH177" s="534" t="s">
        <v>765</v>
      </c>
      <c r="AI177" s="813">
        <v>99719</v>
      </c>
      <c r="AK177" s="809">
        <f>SUM(AK175:AK175)</f>
        <v>0.07868109387378534</v>
      </c>
      <c r="AQ177" s="552"/>
      <c r="AR177" s="553"/>
      <c r="AS177" s="553"/>
    </row>
    <row r="178" spans="2:45" ht="13.5" thickTop="1">
      <c r="B178" s="550"/>
      <c r="C178" s="550"/>
      <c r="D178" s="966"/>
      <c r="AQ178" s="552"/>
      <c r="AR178" s="553"/>
      <c r="AS178" s="553"/>
    </row>
    <row r="179" spans="2:43" ht="12.75">
      <c r="B179" s="550"/>
      <c r="C179" s="550"/>
      <c r="D179" s="966"/>
      <c r="AQ179" s="552"/>
    </row>
    <row r="180" spans="2:43" ht="12.75">
      <c r="B180" s="550"/>
      <c r="C180" s="550"/>
      <c r="D180" s="966"/>
      <c r="AQ180" s="535"/>
    </row>
    <row r="181" spans="2:43" ht="12.75">
      <c r="B181" s="550"/>
      <c r="C181" s="550"/>
      <c r="D181" s="966"/>
      <c r="AQ181" s="535"/>
    </row>
    <row r="182" spans="2:43" ht="12.75">
      <c r="B182" s="550"/>
      <c r="C182" s="550"/>
      <c r="D182" s="966"/>
      <c r="AQ182" s="535"/>
    </row>
    <row r="183" spans="2:45" ht="12.75">
      <c r="B183" s="550"/>
      <c r="C183" s="550"/>
      <c r="D183" s="966"/>
      <c r="AQ183" s="535"/>
      <c r="AR183" s="548"/>
      <c r="AS183" s="548"/>
    </row>
    <row r="184" spans="2:45" ht="12.75">
      <c r="B184" s="550"/>
      <c r="C184" s="550"/>
      <c r="D184" s="966"/>
      <c r="AQ184" s="535"/>
      <c r="AR184" s="548"/>
      <c r="AS184" s="548"/>
    </row>
    <row r="185" spans="43:45" ht="12.75">
      <c r="AQ185" s="535"/>
      <c r="AR185" s="548"/>
      <c r="AS185" s="548"/>
    </row>
    <row r="186" spans="43:45" ht="12.75">
      <c r="AQ186" s="535"/>
      <c r="AR186" s="548"/>
      <c r="AS186" s="548"/>
    </row>
    <row r="187" spans="43:45" ht="12.75">
      <c r="AQ187" s="535"/>
      <c r="AR187" s="548"/>
      <c r="AS187" s="548"/>
    </row>
    <row r="188" spans="43:45" ht="12.75">
      <c r="AQ188" s="535"/>
      <c r="AR188" s="548"/>
      <c r="AS188" s="548"/>
    </row>
    <row r="189" spans="43:45" ht="12.75">
      <c r="AQ189" s="535"/>
      <c r="AR189" s="548"/>
      <c r="AS189" s="548"/>
    </row>
    <row r="190" spans="43:45" ht="12.75">
      <c r="AQ190" s="535"/>
      <c r="AR190" s="548"/>
      <c r="AS190" s="548"/>
    </row>
    <row r="191" spans="43:45" ht="12.75">
      <c r="AQ191" s="535"/>
      <c r="AR191" s="548"/>
      <c r="AS191" s="548"/>
    </row>
    <row r="192" spans="43:45" ht="12.75">
      <c r="AQ192" s="535"/>
      <c r="AR192" s="548"/>
      <c r="AS192" s="548"/>
    </row>
    <row r="193" spans="43:45" ht="12.75">
      <c r="AQ193" s="535"/>
      <c r="AR193" s="548"/>
      <c r="AS193" s="548"/>
    </row>
    <row r="194" spans="43:45" ht="12.75">
      <c r="AQ194" s="535"/>
      <c r="AR194" s="548"/>
      <c r="AS194" s="548"/>
    </row>
    <row r="195" spans="43:45" ht="12.75">
      <c r="AQ195" s="535"/>
      <c r="AR195" s="548"/>
      <c r="AS195" s="548"/>
    </row>
    <row r="196" spans="43:45" ht="12.75">
      <c r="AQ196" s="535"/>
      <c r="AR196" s="548"/>
      <c r="AS196" s="548"/>
    </row>
    <row r="197" spans="43:45" ht="12.75">
      <c r="AQ197" s="535"/>
      <c r="AR197" s="548"/>
      <c r="AS197" s="548"/>
    </row>
    <row r="198" spans="43:45" ht="12.75">
      <c r="AQ198" s="535"/>
      <c r="AR198" s="548"/>
      <c r="AS198" s="548"/>
    </row>
    <row r="199" spans="43:45" ht="12.75">
      <c r="AQ199" s="535"/>
      <c r="AR199" s="548"/>
      <c r="AS199" s="548"/>
    </row>
    <row r="200" spans="43:45" ht="12.75">
      <c r="AQ200" s="535"/>
      <c r="AR200" s="548"/>
      <c r="AS200" s="548"/>
    </row>
    <row r="201" spans="43:45" ht="12.75">
      <c r="AQ201" s="535"/>
      <c r="AR201" s="548"/>
      <c r="AS201" s="548"/>
    </row>
    <row r="202" spans="43:45" ht="12.75">
      <c r="AQ202" s="535"/>
      <c r="AR202" s="548"/>
      <c r="AS202" s="548"/>
    </row>
    <row r="203" spans="43:45" ht="12.75">
      <c r="AQ203" s="535"/>
      <c r="AR203" s="548"/>
      <c r="AS203" s="548"/>
    </row>
    <row r="204" spans="43:45" ht="12.75">
      <c r="AQ204" s="535"/>
      <c r="AR204" s="548"/>
      <c r="AS204" s="548"/>
    </row>
    <row r="205" spans="43:45" ht="12.75">
      <c r="AQ205" s="535"/>
      <c r="AR205" s="548"/>
      <c r="AS205" s="548"/>
    </row>
    <row r="206" spans="43:45" ht="12.75">
      <c r="AQ206" s="535"/>
      <c r="AR206" s="548"/>
      <c r="AS206" s="548"/>
    </row>
    <row r="207" spans="43:45" ht="12.75">
      <c r="AQ207" s="535"/>
      <c r="AR207" s="548"/>
      <c r="AS207" s="548"/>
    </row>
    <row r="208" spans="43:45" ht="12.75">
      <c r="AQ208" s="535"/>
      <c r="AR208" s="548"/>
      <c r="AS208" s="548"/>
    </row>
    <row r="209" spans="43:45" ht="12.75">
      <c r="AQ209" s="535"/>
      <c r="AR209" s="548"/>
      <c r="AS209" s="548"/>
    </row>
    <row r="210" spans="43:45" ht="12.75">
      <c r="AQ210" s="535"/>
      <c r="AR210" s="548"/>
      <c r="AS210" s="548"/>
    </row>
    <row r="211" spans="43:45" ht="12.75">
      <c r="AQ211" s="535"/>
      <c r="AR211" s="548"/>
      <c r="AS211" s="548"/>
    </row>
    <row r="212" spans="43:45" ht="12.75">
      <c r="AQ212" s="535"/>
      <c r="AR212" s="548"/>
      <c r="AS212" s="548"/>
    </row>
    <row r="213" spans="43:45" ht="12.75">
      <c r="AQ213" s="535"/>
      <c r="AR213" s="548"/>
      <c r="AS213" s="548"/>
    </row>
    <row r="214" spans="43:45" ht="12.75">
      <c r="AQ214" s="535"/>
      <c r="AR214" s="548"/>
      <c r="AS214" s="548"/>
    </row>
    <row r="215" spans="43:45" ht="12.75">
      <c r="AQ215" s="535"/>
      <c r="AR215" s="548"/>
      <c r="AS215" s="548"/>
    </row>
    <row r="216" spans="43:45" ht="12.75">
      <c r="AQ216" s="535"/>
      <c r="AR216" s="548"/>
      <c r="AS216" s="548"/>
    </row>
    <row r="217" spans="43:45" ht="12.75">
      <c r="AQ217" s="535"/>
      <c r="AR217" s="548"/>
      <c r="AS217" s="548"/>
    </row>
    <row r="218" spans="43:45" ht="12.75">
      <c r="AQ218" s="535"/>
      <c r="AR218" s="548"/>
      <c r="AS218" s="548"/>
    </row>
    <row r="219" spans="43:45" ht="12.75">
      <c r="AQ219" s="535"/>
      <c r="AR219" s="548"/>
      <c r="AS219" s="548"/>
    </row>
    <row r="220" spans="43:45" ht="12.75">
      <c r="AQ220" s="535"/>
      <c r="AR220" s="548"/>
      <c r="AS220" s="548"/>
    </row>
    <row r="221" spans="43:45" ht="12.75">
      <c r="AQ221" s="535"/>
      <c r="AR221" s="548"/>
      <c r="AS221" s="548"/>
    </row>
    <row r="222" spans="43:45" ht="12.75">
      <c r="AQ222" s="535"/>
      <c r="AR222" s="548"/>
      <c r="AS222" s="548"/>
    </row>
    <row r="223" spans="43:45" ht="12.75">
      <c r="AQ223" s="535"/>
      <c r="AR223" s="548"/>
      <c r="AS223" s="548"/>
    </row>
    <row r="224" spans="43:45" ht="12.75">
      <c r="AQ224" s="535"/>
      <c r="AR224" s="548"/>
      <c r="AS224" s="548"/>
    </row>
    <row r="225" spans="43:45" ht="12.75">
      <c r="AQ225" s="535"/>
      <c r="AR225" s="548"/>
      <c r="AS225" s="548"/>
    </row>
    <row r="226" spans="43:45" ht="12.75">
      <c r="AQ226" s="535"/>
      <c r="AR226" s="548"/>
      <c r="AS226" s="548"/>
    </row>
    <row r="227" spans="43:45" ht="12.75">
      <c r="AQ227" s="535"/>
      <c r="AR227" s="548"/>
      <c r="AS227" s="548"/>
    </row>
    <row r="228" spans="43:45" ht="12.75">
      <c r="AQ228" s="535"/>
      <c r="AR228" s="548"/>
      <c r="AS228" s="548"/>
    </row>
    <row r="229" spans="43:45" ht="12.75">
      <c r="AQ229" s="535"/>
      <c r="AR229" s="548"/>
      <c r="AS229" s="548"/>
    </row>
    <row r="230" spans="43:45" ht="12.75">
      <c r="AQ230" s="535"/>
      <c r="AR230" s="548"/>
      <c r="AS230" s="548"/>
    </row>
    <row r="231" spans="43:45" ht="12.75">
      <c r="AQ231" s="535"/>
      <c r="AR231" s="548"/>
      <c r="AS231" s="548"/>
    </row>
    <row r="232" spans="43:45" ht="12.75">
      <c r="AQ232" s="535"/>
      <c r="AR232" s="548"/>
      <c r="AS232" s="548"/>
    </row>
    <row r="233" spans="43:45" ht="12.75">
      <c r="AQ233" s="535"/>
      <c r="AR233" s="548"/>
      <c r="AS233" s="548"/>
    </row>
    <row r="234" spans="43:45" ht="12.75">
      <c r="AQ234" s="535"/>
      <c r="AR234" s="548"/>
      <c r="AS234" s="548"/>
    </row>
    <row r="235" spans="43:45" ht="12.75">
      <c r="AQ235" s="535"/>
      <c r="AR235" s="548"/>
      <c r="AS235" s="548"/>
    </row>
    <row r="236" spans="43:45" ht="12.75">
      <c r="AQ236" s="535"/>
      <c r="AR236" s="548"/>
      <c r="AS236" s="548"/>
    </row>
    <row r="237" spans="43:45" ht="12.75">
      <c r="AQ237" s="535"/>
      <c r="AR237" s="548"/>
      <c r="AS237" s="548"/>
    </row>
    <row r="238" spans="43:45" ht="12.75">
      <c r="AQ238" s="535"/>
      <c r="AR238" s="548"/>
      <c r="AS238" s="548"/>
    </row>
    <row r="239" spans="43:45" ht="12.75">
      <c r="AQ239" s="535"/>
      <c r="AR239" s="548"/>
      <c r="AS239" s="548"/>
    </row>
    <row r="240" spans="43:45" ht="12.75">
      <c r="AQ240" s="535"/>
      <c r="AR240" s="548"/>
      <c r="AS240" s="548"/>
    </row>
    <row r="241" spans="43:45" ht="12.75">
      <c r="AQ241" s="535"/>
      <c r="AR241" s="548"/>
      <c r="AS241" s="548"/>
    </row>
    <row r="242" spans="43:45" ht="12.75">
      <c r="AQ242" s="535"/>
      <c r="AR242" s="548"/>
      <c r="AS242" s="548"/>
    </row>
    <row r="243" spans="43:45" ht="12.75">
      <c r="AQ243" s="535"/>
      <c r="AR243" s="548"/>
      <c r="AS243" s="548"/>
    </row>
    <row r="244" spans="43:45" ht="12.75">
      <c r="AQ244" s="535"/>
      <c r="AR244" s="548"/>
      <c r="AS244" s="548"/>
    </row>
    <row r="245" spans="43:45" ht="12.75">
      <c r="AQ245" s="535"/>
      <c r="AR245" s="548"/>
      <c r="AS245" s="548"/>
    </row>
    <row r="246" spans="43:45" ht="12.75">
      <c r="AQ246" s="535"/>
      <c r="AR246" s="548"/>
      <c r="AS246" s="548"/>
    </row>
    <row r="247" spans="43:45" ht="12.75">
      <c r="AQ247" s="535"/>
      <c r="AR247" s="548"/>
      <c r="AS247" s="548"/>
    </row>
    <row r="248" spans="43:45" ht="12.75">
      <c r="AQ248" s="535"/>
      <c r="AR248" s="548"/>
      <c r="AS248" s="548"/>
    </row>
    <row r="249" spans="43:45" ht="12.75">
      <c r="AQ249" s="535"/>
      <c r="AR249" s="548"/>
      <c r="AS249" s="548"/>
    </row>
    <row r="250" spans="43:45" ht="12.75">
      <c r="AQ250" s="535"/>
      <c r="AR250" s="548"/>
      <c r="AS250" s="548"/>
    </row>
    <row r="251" spans="43:45" ht="12.75">
      <c r="AQ251" s="535"/>
      <c r="AR251" s="548"/>
      <c r="AS251" s="548"/>
    </row>
    <row r="252" spans="43:45" ht="12.75">
      <c r="AQ252" s="535"/>
      <c r="AR252" s="548"/>
      <c r="AS252" s="548"/>
    </row>
    <row r="253" spans="43:45" ht="12.75">
      <c r="AQ253" s="535"/>
      <c r="AR253" s="548"/>
      <c r="AS253" s="548"/>
    </row>
    <row r="254" spans="43:45" ht="12.75">
      <c r="AQ254" s="535"/>
      <c r="AR254" s="548"/>
      <c r="AS254" s="548"/>
    </row>
    <row r="255" spans="43:45" ht="12.75">
      <c r="AQ255" s="535"/>
      <c r="AR255" s="548"/>
      <c r="AS255" s="548"/>
    </row>
    <row r="256" spans="43:45" ht="12.75">
      <c r="AQ256" s="535"/>
      <c r="AR256" s="548"/>
      <c r="AS256" s="548"/>
    </row>
    <row r="257" spans="43:45" ht="12.75">
      <c r="AQ257" s="535"/>
      <c r="AR257" s="548"/>
      <c r="AS257" s="548"/>
    </row>
    <row r="258" spans="43:45" ht="12.75">
      <c r="AQ258" s="535"/>
      <c r="AR258" s="548"/>
      <c r="AS258" s="548"/>
    </row>
    <row r="259" spans="43:45" ht="12.75">
      <c r="AQ259" s="535"/>
      <c r="AR259" s="548"/>
      <c r="AS259" s="548"/>
    </row>
    <row r="260" spans="43:45" ht="12.75">
      <c r="AQ260" s="535"/>
      <c r="AR260" s="548"/>
      <c r="AS260" s="548"/>
    </row>
    <row r="261" spans="43:45" ht="12.75">
      <c r="AQ261" s="535"/>
      <c r="AR261" s="548"/>
      <c r="AS261" s="548"/>
    </row>
    <row r="262" spans="43:45" ht="12.75">
      <c r="AQ262" s="535"/>
      <c r="AR262" s="548"/>
      <c r="AS262" s="548"/>
    </row>
    <row r="263" spans="43:45" ht="12.75">
      <c r="AQ263" s="535"/>
      <c r="AR263" s="548"/>
      <c r="AS263" s="548"/>
    </row>
    <row r="264" spans="43:45" ht="12.75">
      <c r="AQ264" s="535"/>
      <c r="AR264" s="548"/>
      <c r="AS264" s="548"/>
    </row>
    <row r="265" spans="43:45" ht="12.75">
      <c r="AQ265" s="535"/>
      <c r="AR265" s="548"/>
      <c r="AS265" s="548"/>
    </row>
    <row r="266" spans="43:45" ht="12.75">
      <c r="AQ266" s="535"/>
      <c r="AR266" s="548"/>
      <c r="AS266" s="548"/>
    </row>
    <row r="267" spans="43:45" ht="12.75">
      <c r="AQ267" s="535"/>
      <c r="AR267" s="548"/>
      <c r="AS267" s="548"/>
    </row>
    <row r="268" spans="43:45" ht="12.75">
      <c r="AQ268" s="535"/>
      <c r="AR268" s="548"/>
      <c r="AS268" s="548"/>
    </row>
    <row r="269" spans="43:45" ht="12.75">
      <c r="AQ269" s="535"/>
      <c r="AR269" s="548"/>
      <c r="AS269" s="548"/>
    </row>
    <row r="270" spans="43:45" ht="12.75">
      <c r="AQ270" s="535"/>
      <c r="AR270" s="548"/>
      <c r="AS270" s="548"/>
    </row>
    <row r="271" spans="43:45" ht="12.75">
      <c r="AQ271" s="535"/>
      <c r="AR271" s="548"/>
      <c r="AS271" s="548"/>
    </row>
    <row r="272" spans="43:45" ht="12.75">
      <c r="AQ272" s="535"/>
      <c r="AR272" s="548"/>
      <c r="AS272" s="548"/>
    </row>
    <row r="273" spans="43:45" ht="12.75">
      <c r="AQ273" s="535"/>
      <c r="AR273" s="548"/>
      <c r="AS273" s="548"/>
    </row>
    <row r="274" spans="43:45" ht="12.75">
      <c r="AQ274" s="535"/>
      <c r="AR274" s="548"/>
      <c r="AS274" s="548"/>
    </row>
    <row r="275" spans="43:45" ht="12.75">
      <c r="AQ275" s="535"/>
      <c r="AR275" s="548"/>
      <c r="AS275" s="548"/>
    </row>
    <row r="276" spans="43:45" ht="12.75">
      <c r="AQ276" s="535"/>
      <c r="AR276" s="548"/>
      <c r="AS276" s="548"/>
    </row>
    <row r="277" spans="43:45" ht="12.75">
      <c r="AQ277" s="535"/>
      <c r="AR277" s="548"/>
      <c r="AS277" s="548"/>
    </row>
    <row r="278" spans="43:45" ht="12.75">
      <c r="AQ278" s="535"/>
      <c r="AR278" s="548"/>
      <c r="AS278" s="548"/>
    </row>
    <row r="279" spans="43:45" ht="12.75">
      <c r="AQ279" s="535"/>
      <c r="AR279" s="548"/>
      <c r="AS279" s="548"/>
    </row>
    <row r="280" spans="43:45" ht="12.75">
      <c r="AQ280" s="535"/>
      <c r="AR280" s="548"/>
      <c r="AS280" s="548"/>
    </row>
    <row r="281" spans="43:45" ht="12.75">
      <c r="AQ281" s="535"/>
      <c r="AR281" s="548"/>
      <c r="AS281" s="548"/>
    </row>
    <row r="282" spans="43:45" ht="12.75">
      <c r="AQ282" s="535"/>
      <c r="AR282" s="548"/>
      <c r="AS282" s="548"/>
    </row>
    <row r="283" spans="43:45" ht="12.75">
      <c r="AQ283" s="535"/>
      <c r="AR283" s="548"/>
      <c r="AS283" s="548"/>
    </row>
    <row r="284" spans="43:45" ht="12.75">
      <c r="AQ284" s="535"/>
      <c r="AR284" s="548"/>
      <c r="AS284" s="548"/>
    </row>
    <row r="285" spans="43:45" ht="12.75">
      <c r="AQ285" s="535"/>
      <c r="AR285" s="548"/>
      <c r="AS285" s="548"/>
    </row>
    <row r="286" spans="43:45" ht="12.75">
      <c r="AQ286" s="535"/>
      <c r="AR286" s="548"/>
      <c r="AS286" s="548"/>
    </row>
    <row r="287" spans="43:45" ht="12.75">
      <c r="AQ287" s="535"/>
      <c r="AR287" s="548"/>
      <c r="AS287" s="548"/>
    </row>
    <row r="288" spans="43:45" ht="12.75">
      <c r="AQ288" s="535"/>
      <c r="AR288" s="548"/>
      <c r="AS288" s="548"/>
    </row>
    <row r="289" spans="43:45" ht="12.75">
      <c r="AQ289" s="535"/>
      <c r="AR289" s="548"/>
      <c r="AS289" s="548"/>
    </row>
    <row r="290" spans="43:45" ht="12.75">
      <c r="AQ290" s="535"/>
      <c r="AR290" s="548"/>
      <c r="AS290" s="548"/>
    </row>
    <row r="291" spans="43:45" ht="12.75">
      <c r="AQ291" s="535"/>
      <c r="AR291" s="548"/>
      <c r="AS291" s="548"/>
    </row>
    <row r="292" spans="43:45" ht="12.75">
      <c r="AQ292" s="535"/>
      <c r="AR292" s="548"/>
      <c r="AS292" s="548"/>
    </row>
    <row r="293" spans="43:45" ht="12.75">
      <c r="AQ293" s="535"/>
      <c r="AR293" s="548"/>
      <c r="AS293" s="548"/>
    </row>
    <row r="294" spans="43:45" ht="12.75">
      <c r="AQ294" s="535"/>
      <c r="AR294" s="548"/>
      <c r="AS294" s="548"/>
    </row>
    <row r="295" spans="43:45" ht="12.75">
      <c r="AQ295" s="535"/>
      <c r="AR295" s="548"/>
      <c r="AS295" s="548"/>
    </row>
    <row r="296" spans="43:45" ht="12.75">
      <c r="AQ296" s="535"/>
      <c r="AR296" s="548"/>
      <c r="AS296" s="548"/>
    </row>
    <row r="297" spans="43:45" ht="12.75">
      <c r="AQ297" s="535"/>
      <c r="AR297" s="548"/>
      <c r="AS297" s="548"/>
    </row>
    <row r="298" spans="43:45" ht="12.75">
      <c r="AQ298" s="535"/>
      <c r="AR298" s="548"/>
      <c r="AS298" s="548"/>
    </row>
    <row r="299" spans="43:45" ht="12.75">
      <c r="AQ299" s="535"/>
      <c r="AR299" s="548"/>
      <c r="AS299" s="548"/>
    </row>
    <row r="300" spans="43:45" ht="12.75">
      <c r="AQ300" s="535"/>
      <c r="AR300" s="548"/>
      <c r="AS300" s="548"/>
    </row>
    <row r="301" spans="43:45" ht="12.75">
      <c r="AQ301" s="535"/>
      <c r="AR301" s="548"/>
      <c r="AS301" s="548"/>
    </row>
    <row r="302" spans="43:45" ht="12.75">
      <c r="AQ302" s="535"/>
      <c r="AR302" s="548"/>
      <c r="AS302" s="548"/>
    </row>
    <row r="303" spans="43:45" ht="12.75">
      <c r="AQ303" s="535"/>
      <c r="AR303" s="548"/>
      <c r="AS303" s="548"/>
    </row>
    <row r="304" spans="43:45" ht="12.75">
      <c r="AQ304" s="535"/>
      <c r="AR304" s="548"/>
      <c r="AS304" s="548"/>
    </row>
    <row r="305" spans="43:45" ht="12.75">
      <c r="AQ305" s="535"/>
      <c r="AR305" s="548"/>
      <c r="AS305" s="548"/>
    </row>
    <row r="306" spans="43:45" ht="12.75">
      <c r="AQ306" s="535"/>
      <c r="AR306" s="548"/>
      <c r="AS306" s="548"/>
    </row>
    <row r="307" spans="43:45" ht="12.75">
      <c r="AQ307" s="535"/>
      <c r="AR307" s="548"/>
      <c r="AS307" s="548"/>
    </row>
    <row r="308" spans="43:45" ht="12.75">
      <c r="AQ308" s="535"/>
      <c r="AR308" s="548"/>
      <c r="AS308" s="548"/>
    </row>
    <row r="309" spans="43:45" ht="12.75">
      <c r="AQ309" s="535"/>
      <c r="AR309" s="548"/>
      <c r="AS309" s="548"/>
    </row>
    <row r="310" spans="43:45" ht="12.75">
      <c r="AQ310" s="535"/>
      <c r="AR310" s="548"/>
      <c r="AS310" s="548"/>
    </row>
    <row r="311" spans="43:45" ht="12.75">
      <c r="AQ311" s="535"/>
      <c r="AR311" s="548"/>
      <c r="AS311" s="548"/>
    </row>
    <row r="312" spans="43:45" ht="12.75">
      <c r="AQ312" s="535"/>
      <c r="AR312" s="548"/>
      <c r="AS312" s="548"/>
    </row>
    <row r="313" spans="43:45" ht="12.75">
      <c r="AQ313" s="535"/>
      <c r="AR313" s="548"/>
      <c r="AS313" s="548"/>
    </row>
    <row r="314" spans="43:45" ht="12.75">
      <c r="AQ314" s="535"/>
      <c r="AR314" s="548"/>
      <c r="AS314" s="548"/>
    </row>
    <row r="315" spans="43:45" ht="12.75">
      <c r="AQ315" s="535"/>
      <c r="AR315" s="548"/>
      <c r="AS315" s="548"/>
    </row>
    <row r="316" spans="43:45" ht="12.75">
      <c r="AQ316" s="535"/>
      <c r="AR316" s="548"/>
      <c r="AS316" s="548"/>
    </row>
    <row r="317" spans="43:45" ht="12.75">
      <c r="AQ317" s="535"/>
      <c r="AR317" s="548"/>
      <c r="AS317" s="548"/>
    </row>
    <row r="318" spans="43:45" ht="12.75">
      <c r="AQ318" s="535"/>
      <c r="AR318" s="548"/>
      <c r="AS318" s="548"/>
    </row>
    <row r="319" spans="43:45" ht="12.75">
      <c r="AQ319" s="535"/>
      <c r="AR319" s="548"/>
      <c r="AS319" s="548"/>
    </row>
    <row r="320" spans="43:45" ht="12.75">
      <c r="AQ320" s="535"/>
      <c r="AR320" s="548"/>
      <c r="AS320" s="548"/>
    </row>
    <row r="321" spans="43:45" ht="12.75">
      <c r="AQ321" s="535"/>
      <c r="AR321" s="548"/>
      <c r="AS321" s="548"/>
    </row>
    <row r="322" spans="43:45" ht="12.75">
      <c r="AQ322" s="535"/>
      <c r="AR322" s="548"/>
      <c r="AS322" s="548"/>
    </row>
    <row r="323" spans="43:45" ht="12.75">
      <c r="AQ323" s="535"/>
      <c r="AR323" s="548"/>
      <c r="AS323" s="548"/>
    </row>
    <row r="324" spans="43:45" ht="12.75">
      <c r="AQ324" s="535"/>
      <c r="AR324" s="548"/>
      <c r="AS324" s="548"/>
    </row>
    <row r="325" spans="43:45" ht="12.75">
      <c r="AQ325" s="535"/>
      <c r="AR325" s="548"/>
      <c r="AS325" s="548"/>
    </row>
    <row r="326" spans="43:45" ht="12.75">
      <c r="AQ326" s="535"/>
      <c r="AR326" s="548"/>
      <c r="AS326" s="548"/>
    </row>
    <row r="327" spans="43:45" ht="12.75">
      <c r="AQ327" s="535"/>
      <c r="AR327" s="548"/>
      <c r="AS327" s="548"/>
    </row>
    <row r="328" spans="43:45" ht="12.75">
      <c r="AQ328" s="535"/>
      <c r="AR328" s="548"/>
      <c r="AS328" s="548"/>
    </row>
    <row r="329" spans="43:45" ht="12.75">
      <c r="AQ329" s="535"/>
      <c r="AR329" s="548"/>
      <c r="AS329" s="548"/>
    </row>
    <row r="330" spans="43:45" ht="12.75">
      <c r="AQ330" s="535"/>
      <c r="AR330" s="548"/>
      <c r="AS330" s="548"/>
    </row>
    <row r="331" spans="43:45" ht="12.75">
      <c r="AQ331" s="535"/>
      <c r="AR331" s="548"/>
      <c r="AS331" s="548"/>
    </row>
    <row r="332" spans="43:45" ht="12.75">
      <c r="AQ332" s="535"/>
      <c r="AR332" s="548"/>
      <c r="AS332" s="548"/>
    </row>
    <row r="333" spans="43:45" ht="12.75">
      <c r="AQ333" s="535"/>
      <c r="AR333" s="548"/>
      <c r="AS333" s="548"/>
    </row>
    <row r="334" spans="43:45" ht="12.75">
      <c r="AQ334" s="535"/>
      <c r="AR334" s="548"/>
      <c r="AS334" s="548"/>
    </row>
    <row r="335" spans="43:45" ht="12.75">
      <c r="AQ335" s="535"/>
      <c r="AR335" s="548"/>
      <c r="AS335" s="548"/>
    </row>
    <row r="336" spans="43:45" ht="12.75">
      <c r="AQ336" s="535"/>
      <c r="AR336" s="548"/>
      <c r="AS336" s="548"/>
    </row>
    <row r="337" spans="43:45" ht="12.75">
      <c r="AQ337" s="535"/>
      <c r="AR337" s="548"/>
      <c r="AS337" s="548"/>
    </row>
    <row r="338" spans="43:45" ht="12.75">
      <c r="AQ338" s="535"/>
      <c r="AR338" s="548"/>
      <c r="AS338" s="548"/>
    </row>
    <row r="339" spans="43:45" ht="12.75">
      <c r="AQ339" s="535"/>
      <c r="AR339" s="548"/>
      <c r="AS339" s="548"/>
    </row>
    <row r="340" spans="43:45" ht="12.75">
      <c r="AQ340" s="535"/>
      <c r="AR340" s="548"/>
      <c r="AS340" s="548"/>
    </row>
    <row r="341" spans="43:45" ht="12.75">
      <c r="AQ341" s="535"/>
      <c r="AR341" s="548"/>
      <c r="AS341" s="548"/>
    </row>
    <row r="342" spans="43:45" ht="12.75">
      <c r="AQ342" s="535"/>
      <c r="AR342" s="548"/>
      <c r="AS342" s="548"/>
    </row>
    <row r="343" spans="43:45" ht="12.75">
      <c r="AQ343" s="535"/>
      <c r="AR343" s="548"/>
      <c r="AS343" s="548"/>
    </row>
    <row r="344" spans="43:45" ht="12.75">
      <c r="AQ344" s="535"/>
      <c r="AR344" s="548"/>
      <c r="AS344" s="548"/>
    </row>
    <row r="345" spans="43:45" ht="12.75">
      <c r="AQ345" s="535"/>
      <c r="AR345" s="548"/>
      <c r="AS345" s="548"/>
    </row>
    <row r="346" spans="43:45" ht="12.75">
      <c r="AQ346" s="535"/>
      <c r="AR346" s="548"/>
      <c r="AS346" s="548"/>
    </row>
    <row r="347" spans="43:45" ht="12.75">
      <c r="AQ347" s="535"/>
      <c r="AR347" s="548"/>
      <c r="AS347" s="548"/>
    </row>
    <row r="348" spans="43:45" ht="12.75">
      <c r="AQ348" s="535"/>
      <c r="AR348" s="548"/>
      <c r="AS348" s="548"/>
    </row>
    <row r="349" spans="43:45" ht="12.75">
      <c r="AQ349" s="535"/>
      <c r="AR349" s="548"/>
      <c r="AS349" s="548"/>
    </row>
    <row r="350" spans="43:45" ht="12.75">
      <c r="AQ350" s="535"/>
      <c r="AR350" s="548"/>
      <c r="AS350" s="548"/>
    </row>
    <row r="351" spans="43:45" ht="12.75">
      <c r="AQ351" s="535"/>
      <c r="AR351" s="548"/>
      <c r="AS351" s="548"/>
    </row>
    <row r="352" spans="43:45" ht="12.75">
      <c r="AQ352" s="535"/>
      <c r="AR352" s="548"/>
      <c r="AS352" s="548"/>
    </row>
    <row r="353" spans="43:45" ht="12.75">
      <c r="AQ353" s="535"/>
      <c r="AR353" s="548"/>
      <c r="AS353" s="548"/>
    </row>
    <row r="354" spans="43:45" ht="12.75">
      <c r="AQ354" s="535"/>
      <c r="AR354" s="548"/>
      <c r="AS354" s="548"/>
    </row>
    <row r="355" spans="43:45" ht="12.75">
      <c r="AQ355" s="535"/>
      <c r="AR355" s="548"/>
      <c r="AS355" s="548"/>
    </row>
    <row r="356" spans="43:45" ht="12.75">
      <c r="AQ356" s="535"/>
      <c r="AR356" s="548"/>
      <c r="AS356" s="548"/>
    </row>
    <row r="357" spans="43:45" ht="12.75">
      <c r="AQ357" s="535"/>
      <c r="AR357" s="548"/>
      <c r="AS357" s="548"/>
    </row>
    <row r="358" spans="43:45" ht="12.75">
      <c r="AQ358" s="535"/>
      <c r="AR358" s="548"/>
      <c r="AS358" s="548"/>
    </row>
    <row r="359" spans="43:45" ht="12.75">
      <c r="AQ359" s="535"/>
      <c r="AR359" s="548"/>
      <c r="AS359" s="548"/>
    </row>
    <row r="360" spans="43:45" ht="12.75">
      <c r="AQ360" s="535"/>
      <c r="AR360" s="548"/>
      <c r="AS360" s="548"/>
    </row>
    <row r="361" spans="43:45" ht="12.75">
      <c r="AQ361" s="535"/>
      <c r="AR361" s="548"/>
      <c r="AS361" s="548"/>
    </row>
    <row r="362" spans="43:45" ht="12.75">
      <c r="AQ362" s="535"/>
      <c r="AR362" s="548"/>
      <c r="AS362" s="548"/>
    </row>
    <row r="363" spans="43:45" ht="12.75">
      <c r="AQ363" s="535"/>
      <c r="AR363" s="548"/>
      <c r="AS363" s="548"/>
    </row>
    <row r="364" spans="43:45" ht="12.75">
      <c r="AQ364" s="535"/>
      <c r="AR364" s="548"/>
      <c r="AS364" s="548"/>
    </row>
    <row r="365" spans="43:45" ht="12.75">
      <c r="AQ365" s="535"/>
      <c r="AR365" s="548"/>
      <c r="AS365" s="548"/>
    </row>
    <row r="366" spans="43:45" ht="12.75">
      <c r="AQ366" s="535"/>
      <c r="AR366" s="548"/>
      <c r="AS366" s="548"/>
    </row>
    <row r="367" spans="43:45" ht="12.75">
      <c r="AQ367" s="535"/>
      <c r="AR367" s="548"/>
      <c r="AS367" s="548"/>
    </row>
    <row r="368" spans="43:45" ht="12.75">
      <c r="AQ368" s="535"/>
      <c r="AR368" s="548"/>
      <c r="AS368" s="548"/>
    </row>
    <row r="369" spans="43:45" ht="12.75">
      <c r="AQ369" s="535"/>
      <c r="AR369" s="548"/>
      <c r="AS369" s="548"/>
    </row>
    <row r="370" spans="43:45" ht="12.75">
      <c r="AQ370" s="535"/>
      <c r="AR370" s="548"/>
      <c r="AS370" s="548"/>
    </row>
    <row r="371" spans="43:45" ht="12.75">
      <c r="AQ371" s="535"/>
      <c r="AR371" s="548"/>
      <c r="AS371" s="548"/>
    </row>
    <row r="372" spans="43:45" ht="12.75">
      <c r="AQ372" s="535"/>
      <c r="AR372" s="548"/>
      <c r="AS372" s="548"/>
    </row>
    <row r="373" spans="43:45" ht="12.75">
      <c r="AQ373" s="535"/>
      <c r="AR373" s="548"/>
      <c r="AS373" s="548"/>
    </row>
    <row r="374" spans="43:45" ht="12.75">
      <c r="AQ374" s="535"/>
      <c r="AR374" s="548"/>
      <c r="AS374" s="548"/>
    </row>
    <row r="375" spans="43:45" ht="12.75">
      <c r="AQ375" s="535"/>
      <c r="AR375" s="548"/>
      <c r="AS375" s="548"/>
    </row>
    <row r="376" spans="43:45" ht="12.75">
      <c r="AQ376" s="535"/>
      <c r="AR376" s="548"/>
      <c r="AS376" s="548"/>
    </row>
    <row r="377" spans="43:45" ht="12.75">
      <c r="AQ377" s="535"/>
      <c r="AR377" s="548"/>
      <c r="AS377" s="548"/>
    </row>
    <row r="378" spans="43:45" ht="12.75">
      <c r="AQ378" s="535"/>
      <c r="AR378" s="548"/>
      <c r="AS378" s="548"/>
    </row>
    <row r="379" spans="43:45" ht="12.75">
      <c r="AQ379" s="535"/>
      <c r="AR379" s="548"/>
      <c r="AS379" s="548"/>
    </row>
    <row r="380" spans="43:45" ht="12.75">
      <c r="AQ380" s="535"/>
      <c r="AR380" s="548"/>
      <c r="AS380" s="548"/>
    </row>
    <row r="381" spans="43:45" ht="12.75">
      <c r="AQ381" s="535"/>
      <c r="AR381" s="548"/>
      <c r="AS381" s="548"/>
    </row>
    <row r="382" spans="43:45" ht="12.75">
      <c r="AQ382" s="535"/>
      <c r="AR382" s="548"/>
      <c r="AS382" s="548"/>
    </row>
    <row r="383" spans="43:45" ht="12.75">
      <c r="AQ383" s="535"/>
      <c r="AR383" s="548"/>
      <c r="AS383" s="548"/>
    </row>
    <row r="384" spans="43:45" ht="12.75">
      <c r="AQ384" s="535"/>
      <c r="AR384" s="548"/>
      <c r="AS384" s="548"/>
    </row>
    <row r="385" spans="43:45" ht="12.75">
      <c r="AQ385" s="535"/>
      <c r="AR385" s="548"/>
      <c r="AS385" s="548"/>
    </row>
    <row r="386" spans="43:45" ht="12.75">
      <c r="AQ386" s="535"/>
      <c r="AR386" s="548"/>
      <c r="AS386" s="548"/>
    </row>
    <row r="387" spans="43:45" ht="12.75">
      <c r="AQ387" s="535"/>
      <c r="AR387" s="548"/>
      <c r="AS387" s="548"/>
    </row>
    <row r="388" spans="43:45" ht="12.75">
      <c r="AQ388" s="535"/>
      <c r="AR388" s="548"/>
      <c r="AS388" s="548"/>
    </row>
    <row r="389" spans="43:45" ht="12.75">
      <c r="AQ389" s="535"/>
      <c r="AR389" s="548"/>
      <c r="AS389" s="548"/>
    </row>
    <row r="390" spans="43:45" ht="12.75">
      <c r="AQ390" s="535"/>
      <c r="AR390" s="548"/>
      <c r="AS390" s="548"/>
    </row>
    <row r="391" spans="43:45" ht="12.75">
      <c r="AQ391" s="535"/>
      <c r="AR391" s="548"/>
      <c r="AS391" s="548"/>
    </row>
    <row r="392" spans="43:45" ht="12.75">
      <c r="AQ392" s="535"/>
      <c r="AR392" s="548"/>
      <c r="AS392" s="548"/>
    </row>
    <row r="393" spans="43:45" ht="12.75">
      <c r="AQ393" s="535"/>
      <c r="AR393" s="548"/>
      <c r="AS393" s="548"/>
    </row>
    <row r="394" spans="43:45" ht="12.75">
      <c r="AQ394" s="535"/>
      <c r="AR394" s="548"/>
      <c r="AS394" s="548"/>
    </row>
    <row r="395" spans="43:45" ht="12.75">
      <c r="AQ395" s="535"/>
      <c r="AR395" s="548"/>
      <c r="AS395" s="548"/>
    </row>
    <row r="396" spans="43:45" ht="12.75">
      <c r="AQ396" s="535"/>
      <c r="AR396" s="548"/>
      <c r="AS396" s="548"/>
    </row>
    <row r="397" spans="43:45" ht="12.75">
      <c r="AQ397" s="535"/>
      <c r="AR397" s="548"/>
      <c r="AS397" s="548"/>
    </row>
    <row r="398" spans="43:45" ht="12.75">
      <c r="AQ398" s="535"/>
      <c r="AR398" s="548"/>
      <c r="AS398" s="548"/>
    </row>
    <row r="399" spans="43:45" ht="12.75">
      <c r="AQ399" s="535"/>
      <c r="AR399" s="548"/>
      <c r="AS399" s="548"/>
    </row>
    <row r="400" spans="43:45" ht="12.75">
      <c r="AQ400" s="535"/>
      <c r="AR400" s="548"/>
      <c r="AS400" s="548"/>
    </row>
    <row r="401" spans="43:45" ht="12.75">
      <c r="AQ401" s="535"/>
      <c r="AR401" s="548"/>
      <c r="AS401" s="548"/>
    </row>
    <row r="402" spans="43:45" ht="12.75">
      <c r="AQ402" s="535"/>
      <c r="AR402" s="548"/>
      <c r="AS402" s="548"/>
    </row>
    <row r="403" spans="43:45" ht="12.75">
      <c r="AQ403" s="535"/>
      <c r="AR403" s="548"/>
      <c r="AS403" s="548"/>
    </row>
    <row r="404" spans="43:45" ht="12.75">
      <c r="AQ404" s="535"/>
      <c r="AR404" s="548"/>
      <c r="AS404" s="548"/>
    </row>
    <row r="405" spans="43:45" ht="12.75">
      <c r="AQ405" s="535"/>
      <c r="AR405" s="548"/>
      <c r="AS405" s="548"/>
    </row>
    <row r="406" spans="43:45" ht="12.75">
      <c r="AQ406" s="535"/>
      <c r="AR406" s="548"/>
      <c r="AS406" s="548"/>
    </row>
    <row r="407" spans="43:45" ht="12.75">
      <c r="AQ407" s="535"/>
      <c r="AR407" s="548"/>
      <c r="AS407" s="548"/>
    </row>
    <row r="408" spans="43:45" ht="12.75">
      <c r="AQ408" s="535"/>
      <c r="AR408" s="548"/>
      <c r="AS408" s="548"/>
    </row>
    <row r="409" spans="43:45" ht="12.75">
      <c r="AQ409" s="535"/>
      <c r="AR409" s="548"/>
      <c r="AS409" s="548"/>
    </row>
    <row r="410" spans="43:45" ht="12.75">
      <c r="AQ410" s="535"/>
      <c r="AR410" s="548"/>
      <c r="AS410" s="548"/>
    </row>
    <row r="411" spans="43:45" ht="12.75">
      <c r="AQ411" s="535"/>
      <c r="AR411" s="548"/>
      <c r="AS411" s="548"/>
    </row>
    <row r="412" spans="43:45" ht="12.75">
      <c r="AQ412" s="535"/>
      <c r="AR412" s="548"/>
      <c r="AS412" s="548"/>
    </row>
    <row r="413" spans="43:45" ht="12.75">
      <c r="AQ413" s="535"/>
      <c r="AR413" s="548"/>
      <c r="AS413" s="548"/>
    </row>
    <row r="414" spans="43:45" ht="12.75">
      <c r="AQ414" s="535"/>
      <c r="AR414" s="548"/>
      <c r="AS414" s="548"/>
    </row>
    <row r="415" spans="43:45" ht="12.75">
      <c r="AQ415" s="535"/>
      <c r="AR415" s="548"/>
      <c r="AS415" s="548"/>
    </row>
    <row r="416" spans="43:45" ht="12.75">
      <c r="AQ416" s="535"/>
      <c r="AR416" s="548"/>
      <c r="AS416" s="548"/>
    </row>
    <row r="417" spans="43:45" ht="12.75">
      <c r="AQ417" s="535"/>
      <c r="AR417" s="548"/>
      <c r="AS417" s="548"/>
    </row>
    <row r="418" spans="43:45" ht="12.75">
      <c r="AQ418" s="535"/>
      <c r="AR418" s="548"/>
      <c r="AS418" s="548"/>
    </row>
    <row r="419" spans="43:45" ht="12.75">
      <c r="AQ419" s="535"/>
      <c r="AR419" s="548"/>
      <c r="AS419" s="548"/>
    </row>
    <row r="420" spans="43:45" ht="12.75">
      <c r="AQ420" s="535"/>
      <c r="AR420" s="548"/>
      <c r="AS420" s="548"/>
    </row>
    <row r="421" spans="43:45" ht="12.75">
      <c r="AQ421" s="535"/>
      <c r="AR421" s="548"/>
      <c r="AS421" s="548"/>
    </row>
    <row r="422" spans="43:45" ht="12.75">
      <c r="AQ422" s="535"/>
      <c r="AR422" s="548"/>
      <c r="AS422" s="548"/>
    </row>
    <row r="423" spans="43:45" ht="12.75">
      <c r="AQ423" s="535"/>
      <c r="AR423" s="548"/>
      <c r="AS423" s="548"/>
    </row>
    <row r="424" spans="43:45" ht="12.75">
      <c r="AQ424" s="535"/>
      <c r="AR424" s="548"/>
      <c r="AS424" s="548"/>
    </row>
    <row r="425" spans="43:45" ht="12.75">
      <c r="AQ425" s="535"/>
      <c r="AR425" s="548"/>
      <c r="AS425" s="548"/>
    </row>
    <row r="426" spans="43:45" ht="12.75">
      <c r="AQ426" s="535"/>
      <c r="AR426" s="548"/>
      <c r="AS426" s="548"/>
    </row>
    <row r="427" spans="43:45" ht="12.75">
      <c r="AQ427" s="535"/>
      <c r="AR427" s="548"/>
      <c r="AS427" s="548"/>
    </row>
    <row r="428" spans="43:45" ht="12.75">
      <c r="AQ428" s="535"/>
      <c r="AR428" s="548"/>
      <c r="AS428" s="548"/>
    </row>
    <row r="429" spans="43:45" ht="12.75">
      <c r="AQ429" s="535"/>
      <c r="AR429" s="548"/>
      <c r="AS429" s="548"/>
    </row>
    <row r="430" spans="43:45" ht="12.75">
      <c r="AQ430" s="535"/>
      <c r="AR430" s="548"/>
      <c r="AS430" s="548"/>
    </row>
    <row r="431" spans="43:45" ht="12.75">
      <c r="AQ431" s="535"/>
      <c r="AR431" s="548"/>
      <c r="AS431" s="548"/>
    </row>
    <row r="432" spans="43:45" ht="12.75">
      <c r="AQ432" s="535"/>
      <c r="AR432" s="548"/>
      <c r="AS432" s="548"/>
    </row>
    <row r="433" spans="43:45" ht="12.75">
      <c r="AQ433" s="535"/>
      <c r="AR433" s="548"/>
      <c r="AS433" s="548"/>
    </row>
    <row r="434" spans="43:45" ht="12.75">
      <c r="AQ434" s="535"/>
      <c r="AR434" s="548"/>
      <c r="AS434" s="548"/>
    </row>
    <row r="435" spans="43:45" ht="12.75">
      <c r="AQ435" s="535"/>
      <c r="AR435" s="548"/>
      <c r="AS435" s="548"/>
    </row>
    <row r="436" spans="43:45" ht="12.75">
      <c r="AQ436" s="535"/>
      <c r="AR436" s="548"/>
      <c r="AS436" s="548"/>
    </row>
    <row r="437" spans="43:45" ht="12.75">
      <c r="AQ437" s="535"/>
      <c r="AR437" s="548"/>
      <c r="AS437" s="548"/>
    </row>
    <row r="438" spans="43:45" ht="12.75">
      <c r="AQ438" s="535"/>
      <c r="AR438" s="548"/>
      <c r="AS438" s="548"/>
    </row>
    <row r="439" spans="43:45" ht="12.75">
      <c r="AQ439" s="535"/>
      <c r="AR439" s="548"/>
      <c r="AS439" s="548"/>
    </row>
    <row r="440" spans="43:45" ht="12.75">
      <c r="AQ440" s="535"/>
      <c r="AR440" s="548"/>
      <c r="AS440" s="548"/>
    </row>
    <row r="441" spans="43:45" ht="12.75">
      <c r="AQ441" s="535"/>
      <c r="AR441" s="548"/>
      <c r="AS441" s="548"/>
    </row>
    <row r="442" spans="43:45" ht="12.75">
      <c r="AQ442" s="535"/>
      <c r="AR442" s="548"/>
      <c r="AS442" s="548"/>
    </row>
    <row r="443" spans="43:45" ht="12.75">
      <c r="AQ443" s="535"/>
      <c r="AR443" s="548"/>
      <c r="AS443" s="548"/>
    </row>
    <row r="444" spans="43:45" ht="12.75">
      <c r="AQ444" s="535"/>
      <c r="AR444" s="548"/>
      <c r="AS444" s="548"/>
    </row>
    <row r="445" spans="43:45" ht="12.75">
      <c r="AQ445" s="535"/>
      <c r="AR445" s="548"/>
      <c r="AS445" s="548"/>
    </row>
    <row r="446" spans="43:45" ht="12.75">
      <c r="AQ446" s="535"/>
      <c r="AR446" s="548"/>
      <c r="AS446" s="548"/>
    </row>
    <row r="447" spans="43:45" ht="12.75">
      <c r="AQ447" s="535"/>
      <c r="AR447" s="548"/>
      <c r="AS447" s="548"/>
    </row>
    <row r="448" spans="43:45" ht="12.75">
      <c r="AQ448" s="535"/>
      <c r="AR448" s="548"/>
      <c r="AS448" s="548"/>
    </row>
    <row r="449" spans="43:45" ht="12.75">
      <c r="AQ449" s="535"/>
      <c r="AR449" s="548"/>
      <c r="AS449" s="548"/>
    </row>
    <row r="450" spans="43:45" ht="12.75">
      <c r="AQ450" s="535"/>
      <c r="AR450" s="548"/>
      <c r="AS450" s="548"/>
    </row>
    <row r="451" spans="43:45" ht="12.75">
      <c r="AQ451" s="535"/>
      <c r="AR451" s="548"/>
      <c r="AS451" s="548"/>
    </row>
    <row r="452" spans="43:45" ht="12.75">
      <c r="AQ452" s="535"/>
      <c r="AR452" s="548"/>
      <c r="AS452" s="548"/>
    </row>
    <row r="453" spans="43:45" ht="12.75">
      <c r="AQ453" s="535"/>
      <c r="AR453" s="548"/>
      <c r="AS453" s="548"/>
    </row>
    <row r="454" spans="43:45" ht="12.75">
      <c r="AQ454" s="535"/>
      <c r="AR454" s="548"/>
      <c r="AS454" s="548"/>
    </row>
    <row r="455" spans="43:45" ht="12.75">
      <c r="AQ455" s="535"/>
      <c r="AR455" s="548"/>
      <c r="AS455" s="548"/>
    </row>
    <row r="456" spans="43:45" ht="12.75">
      <c r="AQ456" s="535"/>
      <c r="AR456" s="548"/>
      <c r="AS456" s="548"/>
    </row>
    <row r="457" spans="43:45" ht="12.75">
      <c r="AQ457" s="535"/>
      <c r="AR457" s="548"/>
      <c r="AS457" s="548"/>
    </row>
    <row r="458" spans="43:45" ht="12.75">
      <c r="AQ458" s="535"/>
      <c r="AR458" s="548"/>
      <c r="AS458" s="548"/>
    </row>
    <row r="459" spans="43:45" ht="12.75">
      <c r="AQ459" s="535"/>
      <c r="AR459" s="548"/>
      <c r="AS459" s="548"/>
    </row>
    <row r="460" spans="43:45" ht="12.75">
      <c r="AQ460" s="535"/>
      <c r="AR460" s="548"/>
      <c r="AS460" s="548"/>
    </row>
    <row r="461" spans="43:45" ht="12.75">
      <c r="AQ461" s="535"/>
      <c r="AR461" s="548"/>
      <c r="AS461" s="548"/>
    </row>
    <row r="462" spans="43:45" ht="12.75">
      <c r="AQ462" s="535"/>
      <c r="AR462" s="548"/>
      <c r="AS462" s="548"/>
    </row>
    <row r="463" spans="43:45" ht="12.75">
      <c r="AQ463" s="535"/>
      <c r="AR463" s="548"/>
      <c r="AS463" s="548"/>
    </row>
    <row r="464" spans="43:45" ht="12.75">
      <c r="AQ464" s="535"/>
      <c r="AR464" s="548"/>
      <c r="AS464" s="548"/>
    </row>
    <row r="465" spans="43:45" ht="12.75">
      <c r="AQ465" s="535"/>
      <c r="AR465" s="548"/>
      <c r="AS465" s="548"/>
    </row>
    <row r="466" spans="43:45" ht="12.75">
      <c r="AQ466" s="535"/>
      <c r="AR466" s="548"/>
      <c r="AS466" s="548"/>
    </row>
    <row r="467" spans="43:45" ht="12.75">
      <c r="AQ467" s="535"/>
      <c r="AR467" s="548"/>
      <c r="AS467" s="548"/>
    </row>
    <row r="468" spans="43:45" ht="12.75">
      <c r="AQ468" s="535"/>
      <c r="AR468" s="548"/>
      <c r="AS468" s="548"/>
    </row>
    <row r="469" spans="43:45" ht="12.75">
      <c r="AQ469" s="535"/>
      <c r="AR469" s="548"/>
      <c r="AS469" s="548"/>
    </row>
    <row r="470" spans="43:45" ht="12.75">
      <c r="AQ470" s="535"/>
      <c r="AR470" s="548"/>
      <c r="AS470" s="548"/>
    </row>
    <row r="471" spans="43:45" ht="12.75">
      <c r="AQ471" s="535"/>
      <c r="AR471" s="548"/>
      <c r="AS471" s="548"/>
    </row>
    <row r="472" spans="43:45" ht="12.75">
      <c r="AQ472" s="535"/>
      <c r="AR472" s="548"/>
      <c r="AS472" s="548"/>
    </row>
    <row r="473" spans="43:45" ht="12.75">
      <c r="AQ473" s="535"/>
      <c r="AR473" s="548"/>
      <c r="AS473" s="548"/>
    </row>
    <row r="474" spans="43:45" ht="12.75">
      <c r="AQ474" s="535"/>
      <c r="AR474" s="548"/>
      <c r="AS474" s="548"/>
    </row>
    <row r="475" spans="43:45" ht="12.75">
      <c r="AQ475" s="535"/>
      <c r="AR475" s="548"/>
      <c r="AS475" s="548"/>
    </row>
    <row r="476" spans="43:45" ht="12.75">
      <c r="AQ476" s="535"/>
      <c r="AR476" s="548"/>
      <c r="AS476" s="548"/>
    </row>
    <row r="477" spans="43:45" ht="12.75">
      <c r="AQ477" s="535"/>
      <c r="AR477" s="548"/>
      <c r="AS477" s="548"/>
    </row>
    <row r="478" spans="43:45" ht="12.75">
      <c r="AQ478" s="535"/>
      <c r="AR478" s="548"/>
      <c r="AS478" s="548"/>
    </row>
    <row r="479" spans="43:45" ht="12.75">
      <c r="AQ479" s="535"/>
      <c r="AR479" s="548"/>
      <c r="AS479" s="548"/>
    </row>
    <row r="480" spans="43:45" ht="12.75">
      <c r="AQ480" s="535"/>
      <c r="AR480" s="548"/>
      <c r="AS480" s="548"/>
    </row>
    <row r="481" spans="43:45" ht="12.75">
      <c r="AQ481" s="535"/>
      <c r="AR481" s="548"/>
      <c r="AS481" s="548"/>
    </row>
    <row r="482" spans="43:45" ht="12.75">
      <c r="AQ482" s="535"/>
      <c r="AR482" s="548"/>
      <c r="AS482" s="548"/>
    </row>
    <row r="483" spans="43:45" ht="12.75">
      <c r="AQ483" s="535"/>
      <c r="AR483" s="548"/>
      <c r="AS483" s="548"/>
    </row>
    <row r="484" spans="43:45" ht="12.75">
      <c r="AQ484" s="535"/>
      <c r="AR484" s="548"/>
      <c r="AS484" s="548"/>
    </row>
    <row r="485" spans="43:45" ht="12.75">
      <c r="AQ485" s="535"/>
      <c r="AR485" s="548"/>
      <c r="AS485" s="548"/>
    </row>
    <row r="486" spans="43:45" ht="12.75">
      <c r="AQ486" s="535"/>
      <c r="AR486" s="548"/>
      <c r="AS486" s="548"/>
    </row>
    <row r="487" spans="43:45" ht="12.75">
      <c r="AQ487" s="535"/>
      <c r="AR487" s="548"/>
      <c r="AS487" s="548"/>
    </row>
    <row r="488" spans="43:45" ht="12.75">
      <c r="AQ488" s="535"/>
      <c r="AR488" s="548"/>
      <c r="AS488" s="548"/>
    </row>
    <row r="489" spans="43:45" ht="12.75">
      <c r="AQ489" s="535"/>
      <c r="AR489" s="548"/>
      <c r="AS489" s="548"/>
    </row>
    <row r="490" spans="43:45" ht="12.75">
      <c r="AQ490" s="535"/>
      <c r="AR490" s="548"/>
      <c r="AS490" s="548"/>
    </row>
    <row r="491" spans="43:45" ht="12.75">
      <c r="AQ491" s="535"/>
      <c r="AR491" s="548"/>
      <c r="AS491" s="548"/>
    </row>
    <row r="492" spans="43:45" ht="12.75">
      <c r="AQ492" s="535"/>
      <c r="AR492" s="548"/>
      <c r="AS492" s="548"/>
    </row>
    <row r="493" spans="43:45" ht="12.75">
      <c r="AQ493" s="535"/>
      <c r="AR493" s="548"/>
      <c r="AS493" s="548"/>
    </row>
    <row r="494" spans="43:45" ht="12.75">
      <c r="AQ494" s="535"/>
      <c r="AR494" s="548"/>
      <c r="AS494" s="548"/>
    </row>
    <row r="495" spans="43:45" ht="12.75">
      <c r="AQ495" s="535"/>
      <c r="AR495" s="548"/>
      <c r="AS495" s="548"/>
    </row>
    <row r="496" spans="43:45" ht="12.75">
      <c r="AQ496" s="535"/>
      <c r="AR496" s="548"/>
      <c r="AS496" s="548"/>
    </row>
    <row r="497" spans="43:45" ht="12.75">
      <c r="AQ497" s="535"/>
      <c r="AR497" s="548"/>
      <c r="AS497" s="548"/>
    </row>
    <row r="498" spans="43:45" ht="12.75">
      <c r="AQ498" s="535"/>
      <c r="AR498" s="548"/>
      <c r="AS498" s="548"/>
    </row>
    <row r="499" spans="43:45" ht="12.75">
      <c r="AQ499" s="535"/>
      <c r="AR499" s="548"/>
      <c r="AS499" s="548"/>
    </row>
    <row r="500" spans="43:45" ht="12.75">
      <c r="AQ500" s="535"/>
      <c r="AR500" s="548"/>
      <c r="AS500" s="548"/>
    </row>
    <row r="501" spans="43:45" ht="12.75">
      <c r="AQ501" s="535"/>
      <c r="AR501" s="548"/>
      <c r="AS501" s="548"/>
    </row>
    <row r="502" spans="43:45" ht="12.75">
      <c r="AQ502" s="535"/>
      <c r="AR502" s="548"/>
      <c r="AS502" s="548"/>
    </row>
    <row r="503" spans="43:45" ht="12.75">
      <c r="AQ503" s="535"/>
      <c r="AR503" s="548"/>
      <c r="AS503" s="548"/>
    </row>
    <row r="504" spans="43:45" ht="12.75">
      <c r="AQ504" s="535"/>
      <c r="AR504" s="548"/>
      <c r="AS504" s="548"/>
    </row>
    <row r="505" spans="43:45" ht="12.75">
      <c r="AQ505" s="535"/>
      <c r="AR505" s="548"/>
      <c r="AS505" s="548"/>
    </row>
    <row r="506" spans="43:45" ht="12.75">
      <c r="AQ506" s="535"/>
      <c r="AR506" s="548"/>
      <c r="AS506" s="548"/>
    </row>
    <row r="507" spans="43:45" ht="12.75">
      <c r="AQ507" s="535"/>
      <c r="AR507" s="548"/>
      <c r="AS507" s="548"/>
    </row>
    <row r="508" spans="43:45" ht="12.75">
      <c r="AQ508" s="535"/>
      <c r="AR508" s="548"/>
      <c r="AS508" s="548"/>
    </row>
    <row r="509" spans="43:45" ht="12.75">
      <c r="AQ509" s="535"/>
      <c r="AR509" s="548"/>
      <c r="AS509" s="548"/>
    </row>
    <row r="510" spans="43:45" ht="12.75">
      <c r="AQ510" s="535"/>
      <c r="AR510" s="548"/>
      <c r="AS510" s="548"/>
    </row>
    <row r="511" spans="43:45" ht="12.75">
      <c r="AQ511" s="535"/>
      <c r="AR511" s="548"/>
      <c r="AS511" s="548"/>
    </row>
    <row r="512" spans="43:45" ht="12.75">
      <c r="AQ512" s="535"/>
      <c r="AR512" s="548"/>
      <c r="AS512" s="548"/>
    </row>
    <row r="513" spans="43:45" ht="12.75">
      <c r="AQ513" s="535"/>
      <c r="AR513" s="548"/>
      <c r="AS513" s="548"/>
    </row>
    <row r="514" spans="43:45" ht="12.75">
      <c r="AQ514" s="535"/>
      <c r="AR514" s="548"/>
      <c r="AS514" s="548"/>
    </row>
    <row r="515" spans="43:45" ht="12.75">
      <c r="AQ515" s="535"/>
      <c r="AR515" s="548"/>
      <c r="AS515" s="548"/>
    </row>
    <row r="516" spans="43:45" ht="12.75">
      <c r="AQ516" s="535"/>
      <c r="AR516" s="548"/>
      <c r="AS516" s="548"/>
    </row>
    <row r="517" spans="43:45" ht="12.75">
      <c r="AQ517" s="535"/>
      <c r="AR517" s="548"/>
      <c r="AS517" s="548"/>
    </row>
    <row r="518" spans="43:45" ht="12.75">
      <c r="AQ518" s="535"/>
      <c r="AR518" s="548"/>
      <c r="AS518" s="548"/>
    </row>
    <row r="519" spans="43:45" ht="12.75">
      <c r="AQ519" s="535"/>
      <c r="AR519" s="548"/>
      <c r="AS519" s="548"/>
    </row>
    <row r="520" spans="43:45" ht="12.75">
      <c r="AQ520" s="535"/>
      <c r="AR520" s="548"/>
      <c r="AS520" s="548"/>
    </row>
    <row r="521" spans="43:45" ht="12.75">
      <c r="AQ521" s="535"/>
      <c r="AR521" s="548"/>
      <c r="AS521" s="548"/>
    </row>
    <row r="522" spans="43:45" ht="12.75">
      <c r="AQ522" s="535"/>
      <c r="AR522" s="548"/>
      <c r="AS522" s="548"/>
    </row>
    <row r="523" spans="43:45" ht="12.75">
      <c r="AQ523" s="535"/>
      <c r="AR523" s="548"/>
      <c r="AS523" s="548"/>
    </row>
    <row r="524" spans="43:45" ht="12.75">
      <c r="AQ524" s="535"/>
      <c r="AR524" s="548"/>
      <c r="AS524" s="548"/>
    </row>
    <row r="525" spans="43:45" ht="12.75">
      <c r="AQ525" s="535"/>
      <c r="AR525" s="548"/>
      <c r="AS525" s="548"/>
    </row>
    <row r="526" spans="43:45" ht="12.75">
      <c r="AQ526" s="535"/>
      <c r="AR526" s="548"/>
      <c r="AS526" s="548"/>
    </row>
    <row r="527" spans="43:45" ht="12.75">
      <c r="AQ527" s="535"/>
      <c r="AR527" s="548"/>
      <c r="AS527" s="548"/>
    </row>
    <row r="528" spans="43:45" ht="12.75">
      <c r="AQ528" s="535"/>
      <c r="AR528" s="548"/>
      <c r="AS528" s="548"/>
    </row>
    <row r="529" spans="43:45" ht="12.75">
      <c r="AQ529" s="535"/>
      <c r="AR529" s="548"/>
      <c r="AS529" s="548"/>
    </row>
    <row r="530" spans="43:45" ht="12.75">
      <c r="AQ530" s="535"/>
      <c r="AR530" s="548"/>
      <c r="AS530" s="548"/>
    </row>
    <row r="531" spans="43:45" ht="12.75">
      <c r="AQ531" s="535"/>
      <c r="AR531" s="548"/>
      <c r="AS531" s="548"/>
    </row>
    <row r="532" spans="43:45" ht="12.75">
      <c r="AQ532" s="535"/>
      <c r="AR532" s="548"/>
      <c r="AS532" s="548"/>
    </row>
    <row r="533" spans="43:45" ht="12.75">
      <c r="AQ533" s="535"/>
      <c r="AR533" s="548"/>
      <c r="AS533" s="548"/>
    </row>
    <row r="534" spans="43:45" ht="12.75">
      <c r="AQ534" s="535"/>
      <c r="AR534" s="548"/>
      <c r="AS534" s="548"/>
    </row>
    <row r="535" spans="43:45" ht="12.75">
      <c r="AQ535" s="535"/>
      <c r="AR535" s="548"/>
      <c r="AS535" s="548"/>
    </row>
    <row r="536" spans="43:45" ht="12.75">
      <c r="AQ536" s="535"/>
      <c r="AR536" s="548"/>
      <c r="AS536" s="548"/>
    </row>
    <row r="537" spans="43:45" ht="12.75">
      <c r="AQ537" s="535"/>
      <c r="AR537" s="548"/>
      <c r="AS537" s="548"/>
    </row>
    <row r="538" spans="43:45" ht="12.75">
      <c r="AQ538" s="535"/>
      <c r="AR538" s="548"/>
      <c r="AS538" s="548"/>
    </row>
    <row r="539" spans="43:45" ht="12.75">
      <c r="AQ539" s="535"/>
      <c r="AR539" s="548"/>
      <c r="AS539" s="548"/>
    </row>
    <row r="540" spans="43:45" ht="12.75">
      <c r="AQ540" s="535"/>
      <c r="AR540" s="548"/>
      <c r="AS540" s="548"/>
    </row>
    <row r="541" spans="43:45" ht="12.75">
      <c r="AQ541" s="535"/>
      <c r="AR541" s="548"/>
      <c r="AS541" s="548"/>
    </row>
    <row r="542" spans="43:45" ht="12.75">
      <c r="AQ542" s="535"/>
      <c r="AR542" s="548"/>
      <c r="AS542" s="548"/>
    </row>
    <row r="543" spans="43:45" ht="12.75">
      <c r="AQ543" s="535"/>
      <c r="AR543" s="548"/>
      <c r="AS543" s="548"/>
    </row>
    <row r="544" spans="43:45" ht="12.75">
      <c r="AQ544" s="535"/>
      <c r="AR544" s="548"/>
      <c r="AS544" s="548"/>
    </row>
    <row r="545" spans="43:45" ht="12.75">
      <c r="AQ545" s="535"/>
      <c r="AR545" s="548"/>
      <c r="AS545" s="548"/>
    </row>
    <row r="546" spans="43:45" ht="12.75">
      <c r="AQ546" s="535"/>
      <c r="AR546" s="548"/>
      <c r="AS546" s="548"/>
    </row>
    <row r="547" spans="43:45" ht="12.75">
      <c r="AQ547" s="535"/>
      <c r="AR547" s="548"/>
      <c r="AS547" s="548"/>
    </row>
    <row r="548" spans="43:45" ht="12.75">
      <c r="AQ548" s="535"/>
      <c r="AR548" s="548"/>
      <c r="AS548" s="548"/>
    </row>
    <row r="549" spans="43:45" ht="12.75">
      <c r="AQ549" s="535"/>
      <c r="AR549" s="548"/>
      <c r="AS549" s="548"/>
    </row>
    <row r="550" spans="43:45" ht="12.75">
      <c r="AQ550" s="535"/>
      <c r="AR550" s="548"/>
      <c r="AS550" s="548"/>
    </row>
    <row r="551" spans="43:45" ht="12.75">
      <c r="AQ551" s="535"/>
      <c r="AR551" s="548"/>
      <c r="AS551" s="548"/>
    </row>
    <row r="552" spans="43:45" ht="12.75">
      <c r="AQ552" s="535"/>
      <c r="AR552" s="548"/>
      <c r="AS552" s="548"/>
    </row>
    <row r="553" spans="43:45" ht="12.75">
      <c r="AQ553" s="535"/>
      <c r="AR553" s="548"/>
      <c r="AS553" s="548"/>
    </row>
    <row r="554" spans="43:45" ht="12.75">
      <c r="AQ554" s="535"/>
      <c r="AR554" s="548"/>
      <c r="AS554" s="548"/>
    </row>
    <row r="555" spans="43:45" ht="12.75">
      <c r="AQ555" s="535"/>
      <c r="AR555" s="548"/>
      <c r="AS555" s="548"/>
    </row>
    <row r="556" spans="43:45" ht="12.75">
      <c r="AQ556" s="535"/>
      <c r="AR556" s="548"/>
      <c r="AS556" s="548"/>
    </row>
    <row r="557" spans="43:45" ht="12.75">
      <c r="AQ557" s="535"/>
      <c r="AR557" s="548"/>
      <c r="AS557" s="548"/>
    </row>
    <row r="558" spans="43:45" ht="12.75">
      <c r="AQ558" s="535"/>
      <c r="AR558" s="548"/>
      <c r="AS558" s="548"/>
    </row>
    <row r="559" spans="43:45" ht="12.75">
      <c r="AQ559" s="535"/>
      <c r="AR559" s="548"/>
      <c r="AS559" s="548"/>
    </row>
    <row r="560" spans="43:45" ht="12.75">
      <c r="AQ560" s="535"/>
      <c r="AR560" s="548"/>
      <c r="AS560" s="548"/>
    </row>
    <row r="561" spans="43:45" ht="12.75">
      <c r="AQ561" s="535"/>
      <c r="AR561" s="548"/>
      <c r="AS561" s="548"/>
    </row>
    <row r="562" spans="43:45" ht="12.75">
      <c r="AQ562" s="535"/>
      <c r="AR562" s="548"/>
      <c r="AS562" s="548"/>
    </row>
    <row r="563" spans="43:45" ht="12.75">
      <c r="AQ563" s="535"/>
      <c r="AR563" s="548"/>
      <c r="AS563" s="548"/>
    </row>
    <row r="564" spans="43:45" ht="12.75">
      <c r="AQ564" s="535"/>
      <c r="AR564" s="548"/>
      <c r="AS564" s="548"/>
    </row>
    <row r="565" spans="43:45" ht="12.75">
      <c r="AQ565" s="535"/>
      <c r="AR565" s="548"/>
      <c r="AS565" s="548"/>
    </row>
    <row r="566" spans="43:45" ht="12.75">
      <c r="AQ566" s="535"/>
      <c r="AR566" s="548"/>
      <c r="AS566" s="548"/>
    </row>
    <row r="567" spans="43:45" ht="12.75">
      <c r="AQ567" s="535"/>
      <c r="AR567" s="548"/>
      <c r="AS567" s="548"/>
    </row>
    <row r="568" spans="43:45" ht="12.75">
      <c r="AQ568" s="535"/>
      <c r="AR568" s="548"/>
      <c r="AS568" s="548"/>
    </row>
    <row r="569" spans="43:45" ht="12.75">
      <c r="AQ569" s="535"/>
      <c r="AR569" s="548"/>
      <c r="AS569" s="548"/>
    </row>
    <row r="570" spans="43:45" ht="12.75">
      <c r="AQ570" s="535"/>
      <c r="AR570" s="548"/>
      <c r="AS570" s="548"/>
    </row>
    <row r="571" spans="43:45" ht="12.75">
      <c r="AQ571" s="535"/>
      <c r="AR571" s="548"/>
      <c r="AS571" s="548"/>
    </row>
    <row r="572" spans="43:45" ht="12.75">
      <c r="AQ572" s="535"/>
      <c r="AR572" s="548"/>
      <c r="AS572" s="548"/>
    </row>
    <row r="573" spans="43:45" ht="12.75">
      <c r="AQ573" s="535"/>
      <c r="AR573" s="548"/>
      <c r="AS573" s="548"/>
    </row>
    <row r="574" spans="43:45" ht="12.75">
      <c r="AQ574" s="535"/>
      <c r="AR574" s="548"/>
      <c r="AS574" s="548"/>
    </row>
    <row r="575" spans="43:45" ht="12.75">
      <c r="AQ575" s="535"/>
      <c r="AR575" s="548"/>
      <c r="AS575" s="548"/>
    </row>
    <row r="576" spans="43:45" ht="12.75">
      <c r="AQ576" s="535"/>
      <c r="AR576" s="548"/>
      <c r="AS576" s="548"/>
    </row>
    <row r="577" spans="43:45" ht="12.75">
      <c r="AQ577" s="535"/>
      <c r="AR577" s="548"/>
      <c r="AS577" s="548"/>
    </row>
    <row r="578" spans="43:45" ht="12.75">
      <c r="AQ578" s="535"/>
      <c r="AR578" s="548"/>
      <c r="AS578" s="548"/>
    </row>
    <row r="579" spans="43:45" ht="12.75">
      <c r="AQ579" s="535"/>
      <c r="AR579" s="548"/>
      <c r="AS579" s="548"/>
    </row>
    <row r="580" spans="43:45" ht="12.75">
      <c r="AQ580" s="535"/>
      <c r="AR580" s="548"/>
      <c r="AS580" s="548"/>
    </row>
    <row r="581" spans="43:45" ht="12.75">
      <c r="AQ581" s="535"/>
      <c r="AR581" s="548"/>
      <c r="AS581" s="548"/>
    </row>
    <row r="582" spans="43:45" ht="12.75">
      <c r="AQ582" s="535"/>
      <c r="AR582" s="548"/>
      <c r="AS582" s="548"/>
    </row>
    <row r="583" spans="43:45" ht="12.75">
      <c r="AQ583" s="535"/>
      <c r="AR583" s="548"/>
      <c r="AS583" s="548"/>
    </row>
    <row r="584" spans="43:45" ht="12.75">
      <c r="AQ584" s="535"/>
      <c r="AR584" s="548"/>
      <c r="AS584" s="548"/>
    </row>
    <row r="585" spans="43:45" ht="12.75">
      <c r="AQ585" s="535"/>
      <c r="AR585" s="548"/>
      <c r="AS585" s="548"/>
    </row>
    <row r="586" spans="43:45" ht="12.75">
      <c r="AQ586" s="535"/>
      <c r="AR586" s="548"/>
      <c r="AS586" s="548"/>
    </row>
    <row r="587" spans="43:45" ht="12.75">
      <c r="AQ587" s="535"/>
      <c r="AR587" s="548"/>
      <c r="AS587" s="548"/>
    </row>
    <row r="588" spans="43:45" ht="12.75">
      <c r="AQ588" s="535"/>
      <c r="AR588" s="548"/>
      <c r="AS588" s="548"/>
    </row>
    <row r="589" spans="43:45" ht="12.75">
      <c r="AQ589" s="535"/>
      <c r="AR589" s="548"/>
      <c r="AS589" s="548"/>
    </row>
    <row r="590" spans="43:45" ht="12.75">
      <c r="AQ590" s="535"/>
      <c r="AR590" s="548"/>
      <c r="AS590" s="548"/>
    </row>
    <row r="591" spans="43:45" ht="12.75">
      <c r="AQ591" s="535"/>
      <c r="AR591" s="548"/>
      <c r="AS591" s="548"/>
    </row>
    <row r="592" spans="43:45" ht="12.75">
      <c r="AQ592" s="535"/>
      <c r="AR592" s="548"/>
      <c r="AS592" s="548"/>
    </row>
    <row r="593" spans="43:45" ht="12.75">
      <c r="AQ593" s="535"/>
      <c r="AR593" s="548"/>
      <c r="AS593" s="548"/>
    </row>
    <row r="594" spans="43:45" ht="12.75">
      <c r="AQ594" s="535"/>
      <c r="AR594" s="548"/>
      <c r="AS594" s="548"/>
    </row>
    <row r="595" spans="43:45" ht="12.75">
      <c r="AQ595" s="535"/>
      <c r="AR595" s="548"/>
      <c r="AS595" s="548"/>
    </row>
    <row r="596" spans="43:45" ht="12.75">
      <c r="AQ596" s="535"/>
      <c r="AR596" s="548"/>
      <c r="AS596" s="548"/>
    </row>
    <row r="597" spans="43:45" ht="12.75">
      <c r="AQ597" s="535"/>
      <c r="AR597" s="548"/>
      <c r="AS597" s="548"/>
    </row>
    <row r="598" spans="43:45" ht="12.75">
      <c r="AQ598" s="535"/>
      <c r="AR598" s="548"/>
      <c r="AS598" s="548"/>
    </row>
    <row r="599" spans="43:45" ht="12.75">
      <c r="AQ599" s="535"/>
      <c r="AR599" s="548"/>
      <c r="AS599" s="548"/>
    </row>
    <row r="600" spans="43:45" ht="12.75">
      <c r="AQ600" s="535"/>
      <c r="AR600" s="548"/>
      <c r="AS600" s="548"/>
    </row>
    <row r="601" spans="43:45" ht="12.75">
      <c r="AQ601" s="535"/>
      <c r="AR601" s="548"/>
      <c r="AS601" s="548"/>
    </row>
    <row r="602" spans="43:45" ht="12.75">
      <c r="AQ602" s="535"/>
      <c r="AR602" s="548"/>
      <c r="AS602" s="548"/>
    </row>
    <row r="603" spans="43:45" ht="12.75">
      <c r="AQ603" s="535"/>
      <c r="AR603" s="548"/>
      <c r="AS603" s="548"/>
    </row>
    <row r="604" spans="43:45" ht="12.75">
      <c r="AQ604" s="535"/>
      <c r="AR604" s="548"/>
      <c r="AS604" s="548"/>
    </row>
    <row r="605" spans="43:45" ht="12.75">
      <c r="AQ605" s="546"/>
      <c r="AR605" s="549"/>
      <c r="AS605" s="549"/>
    </row>
  </sheetData>
  <sheetProtection/>
  <mergeCells count="1">
    <mergeCell ref="AK1:AN1"/>
  </mergeCells>
  <printOptions gridLines="1"/>
  <pageMargins left="0.95" right="0.2" top="0.5" bottom="0.25" header="0.3" footer="0.3"/>
  <pageSetup fitToHeight="1" fitToWidth="1" horizontalDpi="600" verticalDpi="600" orientation="portrait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C2:M67"/>
  <sheetViews>
    <sheetView zoomScalePageLayoutView="0" workbookViewId="0" topLeftCell="A1">
      <selection activeCell="C1" sqref="C1"/>
    </sheetView>
  </sheetViews>
  <sheetFormatPr defaultColWidth="9.140625" defaultRowHeight="12.75"/>
  <cols>
    <col min="2" max="2" width="10.421875" style="0" customWidth="1"/>
    <col min="3" max="3" width="27.7109375" style="0" customWidth="1"/>
    <col min="4" max="4" width="22.7109375" style="0" bestFit="1" customWidth="1"/>
    <col min="5" max="5" width="13.421875" style="0" bestFit="1" customWidth="1"/>
    <col min="6" max="6" width="10.57421875" style="0" customWidth="1"/>
    <col min="7" max="7" width="11.140625" style="0" bestFit="1" customWidth="1"/>
    <col min="8" max="8" width="18.140625" style="0" customWidth="1"/>
    <col min="9" max="12" width="15.140625" style="0" customWidth="1"/>
    <col min="13" max="13" width="10.7109375" style="0" customWidth="1"/>
  </cols>
  <sheetData>
    <row r="2" spans="3:5" ht="12.75">
      <c r="C2" s="534" t="s">
        <v>958</v>
      </c>
      <c r="E2" s="536"/>
    </row>
    <row r="3" ht="12.75">
      <c r="C3" s="534" t="s">
        <v>987</v>
      </c>
    </row>
    <row r="5" spans="3:4" ht="12.75">
      <c r="C5" s="1024" t="s">
        <v>930</v>
      </c>
      <c r="D5" s="1025" t="s">
        <v>933</v>
      </c>
    </row>
    <row r="7" spans="4:8" ht="25.5">
      <c r="D7" s="1020" t="s">
        <v>537</v>
      </c>
      <c r="E7" s="1021" t="s">
        <v>643</v>
      </c>
      <c r="F7" s="1022" t="s">
        <v>764</v>
      </c>
      <c r="G7" s="1022" t="s">
        <v>947</v>
      </c>
      <c r="H7" s="1022" t="s">
        <v>931</v>
      </c>
    </row>
    <row r="8" spans="3:5" ht="12.75">
      <c r="C8" s="1023" t="s">
        <v>951</v>
      </c>
      <c r="D8" s="966"/>
      <c r="E8" s="674"/>
    </row>
    <row r="9" spans="3:8" ht="12.75">
      <c r="C9" s="981" t="s">
        <v>937</v>
      </c>
      <c r="D9" s="1002">
        <f>+D36</f>
        <v>519258.45</v>
      </c>
      <c r="E9" s="1002">
        <v>0</v>
      </c>
      <c r="F9" s="1002">
        <v>0</v>
      </c>
      <c r="G9" s="1002">
        <v>0</v>
      </c>
      <c r="H9" s="1012">
        <f>SUM(D9:F9)</f>
        <v>519258.45</v>
      </c>
    </row>
    <row r="10" spans="3:8" ht="12.75">
      <c r="C10" s="981" t="s">
        <v>942</v>
      </c>
      <c r="D10" s="1004">
        <f>+J58</f>
        <v>5687037.600000001</v>
      </c>
      <c r="E10" s="1005">
        <f>+J59</f>
        <v>1596073.6</v>
      </c>
      <c r="F10" s="1005"/>
      <c r="G10" s="1005"/>
      <c r="H10" s="1013">
        <f>SUM(D10:F10)</f>
        <v>7283111.200000001</v>
      </c>
    </row>
    <row r="11" spans="3:8" ht="12.75">
      <c r="C11" s="944" t="s">
        <v>943</v>
      </c>
      <c r="D11" s="1007">
        <f>SUM(D9:D10)</f>
        <v>6206296.050000001</v>
      </c>
      <c r="E11" s="1007">
        <f>SUM(E9:E10)</f>
        <v>1596073.6</v>
      </c>
      <c r="F11" s="1007">
        <f>SUM(F9:F10)</f>
        <v>0</v>
      </c>
      <c r="G11" s="1007">
        <f>SUM(G9:G10)</f>
        <v>0</v>
      </c>
      <c r="H11" s="1007">
        <f>SUM(H9:H10)</f>
        <v>7802369.650000001</v>
      </c>
    </row>
    <row r="12" spans="3:8" ht="12.75">
      <c r="C12" s="981"/>
      <c r="D12" s="1002"/>
      <c r="E12" s="1002"/>
      <c r="F12" s="1002"/>
      <c r="G12" s="1002"/>
      <c r="H12" s="1012"/>
    </row>
    <row r="13" spans="3:8" ht="12.75">
      <c r="C13" s="1023" t="s">
        <v>952</v>
      </c>
      <c r="D13" s="1003"/>
      <c r="E13" s="1002"/>
      <c r="F13" s="1002"/>
      <c r="G13" s="1002"/>
      <c r="H13" s="1012"/>
    </row>
    <row r="14" spans="3:8" ht="12.75">
      <c r="C14" s="981" t="s">
        <v>938</v>
      </c>
      <c r="D14" s="1003">
        <f>+D37+D38+D39+D40</f>
        <v>6220915.8</v>
      </c>
      <c r="E14" s="1002">
        <f>+D41+D44+D45</f>
        <v>50313.86</v>
      </c>
      <c r="F14" s="1002">
        <f>+D42+D46</f>
        <v>292497.24</v>
      </c>
      <c r="G14" s="1002">
        <v>0</v>
      </c>
      <c r="H14" s="1012">
        <f>SUM(D14:G14)</f>
        <v>6563726.9</v>
      </c>
    </row>
    <row r="15" spans="3:8" ht="12.75">
      <c r="C15" s="981" t="s">
        <v>936</v>
      </c>
      <c r="D15" s="1014">
        <f>+K58</f>
        <v>1421759.4000000001</v>
      </c>
      <c r="E15" s="1014">
        <f>+K59</f>
        <v>399018.4</v>
      </c>
      <c r="F15" s="1010">
        <v>0</v>
      </c>
      <c r="G15" s="1010">
        <v>0</v>
      </c>
      <c r="H15" s="1013">
        <f>SUM(D15:G15)</f>
        <v>1820777.8000000003</v>
      </c>
    </row>
    <row r="16" spans="3:8" ht="12.75">
      <c r="C16" s="944" t="s">
        <v>953</v>
      </c>
      <c r="D16" s="1015">
        <f>SUM(D14:D15)</f>
        <v>7642675.2</v>
      </c>
      <c r="E16" s="1015">
        <f>SUM(E14:E15)</f>
        <v>449332.26</v>
      </c>
      <c r="F16" s="1015">
        <f>SUM(F14:F15)</f>
        <v>292497.24</v>
      </c>
      <c r="G16" s="1015">
        <f>SUM(G14:G15)</f>
        <v>0</v>
      </c>
      <c r="H16" s="1015">
        <f>SUM(H14:H15)</f>
        <v>8384504.700000001</v>
      </c>
    </row>
    <row r="17" spans="3:8" ht="12.75">
      <c r="C17" s="981"/>
      <c r="H17" s="534"/>
    </row>
    <row r="18" spans="3:8" ht="12.75">
      <c r="C18" s="1023" t="s">
        <v>947</v>
      </c>
      <c r="D18" s="966"/>
      <c r="E18" s="674"/>
      <c r="F18" s="555"/>
      <c r="G18" s="555"/>
      <c r="H18" s="593"/>
    </row>
    <row r="19" spans="3:8" ht="12.75">
      <c r="C19" s="981" t="s">
        <v>948</v>
      </c>
      <c r="D19" s="966"/>
      <c r="E19" s="674"/>
      <c r="F19" s="555"/>
      <c r="G19" s="1002">
        <f>SUM(D48:D50)</f>
        <v>147090.74000000002</v>
      </c>
      <c r="H19" s="1012">
        <f>SUM(D19:G19)</f>
        <v>147090.74000000002</v>
      </c>
    </row>
    <row r="20" spans="3:8" ht="12.75">
      <c r="C20" s="981" t="s">
        <v>949</v>
      </c>
      <c r="D20" s="1008"/>
      <c r="E20" s="1009"/>
      <c r="F20" s="1010"/>
      <c r="G20" s="1005">
        <f>SUM(D51:D54)</f>
        <v>2182465.23</v>
      </c>
      <c r="H20" s="1013">
        <f>SUM(D20:G20)</f>
        <v>2182465.23</v>
      </c>
    </row>
    <row r="21" spans="3:8" ht="12.75">
      <c r="C21" s="944" t="s">
        <v>950</v>
      </c>
      <c r="D21" s="1011">
        <f>SUM(D19:D20)</f>
        <v>0</v>
      </c>
      <c r="E21" s="1011">
        <f>SUM(E19:E20)</f>
        <v>0</v>
      </c>
      <c r="F21" s="1011">
        <f>SUM(F19:F20)</f>
        <v>0</v>
      </c>
      <c r="G21" s="1011">
        <f>SUM(G19:G20)</f>
        <v>2329555.97</v>
      </c>
      <c r="H21" s="1011">
        <f>SUM(H19:H20)</f>
        <v>2329555.97</v>
      </c>
    </row>
    <row r="22" spans="3:8" ht="12.75">
      <c r="C22" s="981"/>
      <c r="D22" s="966"/>
      <c r="E22" s="674"/>
      <c r="H22" s="534"/>
    </row>
    <row r="23" spans="3:8" ht="12.75">
      <c r="C23" s="981"/>
      <c r="D23" s="972"/>
      <c r="E23" s="972"/>
      <c r="F23" s="972"/>
      <c r="G23" s="972"/>
      <c r="H23" s="973"/>
    </row>
    <row r="24" spans="3:11" ht="13.5" thickBot="1">
      <c r="C24" s="944" t="s">
        <v>888</v>
      </c>
      <c r="D24" s="1036">
        <f>+D11+D16+D21</f>
        <v>13848971.25</v>
      </c>
      <c r="E24" s="1036">
        <f>+E11+E16+E21</f>
        <v>2045405.86</v>
      </c>
      <c r="F24" s="1036">
        <f>+F11+F16+F21</f>
        <v>292497.24</v>
      </c>
      <c r="G24" s="1036">
        <f>+G11+G16+G21</f>
        <v>2329555.97</v>
      </c>
      <c r="H24" s="1036">
        <f>SUM(D24:G24)</f>
        <v>18516430.32</v>
      </c>
      <c r="K24" s="1018"/>
    </row>
    <row r="25" spans="3:5" ht="13.5" thickTop="1">
      <c r="C25" s="981"/>
      <c r="D25" s="674"/>
      <c r="E25" s="674"/>
    </row>
    <row r="26" spans="8:13" ht="12.75">
      <c r="H26" s="981"/>
      <c r="I26" s="674"/>
      <c r="J26" s="674"/>
      <c r="M26" s="1018"/>
    </row>
    <row r="27" spans="9:10" ht="12.75">
      <c r="I27" s="674"/>
      <c r="J27" s="674"/>
    </row>
    <row r="28" spans="9:12" ht="12.75">
      <c r="I28" s="1017"/>
      <c r="J28" s="1016"/>
      <c r="K28" s="1006"/>
      <c r="L28" s="986"/>
    </row>
    <row r="29" spans="9:12" ht="12.75">
      <c r="I29" s="1017"/>
      <c r="J29" s="1016"/>
      <c r="K29" s="1006"/>
      <c r="L29" s="1006"/>
    </row>
    <row r="30" spans="3:12" ht="12.75">
      <c r="C30" s="860" t="s">
        <v>734</v>
      </c>
      <c r="D30" s="687"/>
      <c r="E30" s="671"/>
      <c r="F30" s="966"/>
      <c r="I30" s="975"/>
      <c r="J30" s="1016"/>
      <c r="K30" s="991"/>
      <c r="L30" s="985"/>
    </row>
    <row r="31" spans="3:6" ht="12.75">
      <c r="C31" s="551" t="s">
        <v>929</v>
      </c>
      <c r="D31" s="687"/>
      <c r="E31" s="671"/>
      <c r="F31" s="966"/>
    </row>
    <row r="32" spans="3:6" ht="12.75">
      <c r="C32" s="550"/>
      <c r="D32" s="572"/>
      <c r="E32" s="671"/>
      <c r="F32" s="966"/>
    </row>
    <row r="33" spans="3:6" ht="12.75">
      <c r="C33" s="967" t="s">
        <v>930</v>
      </c>
      <c r="D33" s="968" t="s">
        <v>933</v>
      </c>
      <c r="E33" s="671"/>
      <c r="F33" s="966"/>
    </row>
    <row r="34" spans="3:6" ht="12.75">
      <c r="C34" s="550"/>
      <c r="D34" s="572"/>
      <c r="E34" s="1033"/>
      <c r="F34" s="969"/>
    </row>
    <row r="35" spans="3:7" ht="12.75">
      <c r="C35" s="970" t="s">
        <v>939</v>
      </c>
      <c r="D35" s="971" t="s">
        <v>874</v>
      </c>
      <c r="E35" s="1033"/>
      <c r="G35" s="674"/>
    </row>
    <row r="36" spans="3:6" ht="12.75">
      <c r="C36" s="974" t="s">
        <v>875</v>
      </c>
      <c r="D36" s="977">
        <v>519258.45</v>
      </c>
      <c r="E36" s="999" t="s">
        <v>537</v>
      </c>
      <c r="F36" s="998" t="s">
        <v>937</v>
      </c>
    </row>
    <row r="37" spans="3:10" ht="12.75">
      <c r="C37" s="974" t="s">
        <v>428</v>
      </c>
      <c r="D37" s="977">
        <v>758446.3599999999</v>
      </c>
      <c r="E37" s="999" t="s">
        <v>537</v>
      </c>
      <c r="F37" s="998" t="s">
        <v>938</v>
      </c>
      <c r="I37" s="674"/>
      <c r="J37" s="674"/>
    </row>
    <row r="38" spans="3:6" ht="12.75">
      <c r="C38" s="974" t="s">
        <v>429</v>
      </c>
      <c r="D38" s="977">
        <v>1429.06</v>
      </c>
      <c r="E38" s="999" t="s">
        <v>537</v>
      </c>
      <c r="F38" s="998" t="s">
        <v>938</v>
      </c>
    </row>
    <row r="39" spans="3:6" ht="12.75">
      <c r="C39" s="974" t="s">
        <v>418</v>
      </c>
      <c r="D39" s="977">
        <v>4915412.38</v>
      </c>
      <c r="E39" s="999" t="s">
        <v>537</v>
      </c>
      <c r="F39" s="998" t="s">
        <v>938</v>
      </c>
    </row>
    <row r="40" spans="3:6" ht="12.75">
      <c r="C40" s="975" t="s">
        <v>876</v>
      </c>
      <c r="D40" s="978">
        <v>545628</v>
      </c>
      <c r="E40" s="1000" t="s">
        <v>944</v>
      </c>
      <c r="F40" s="998" t="s">
        <v>938</v>
      </c>
    </row>
    <row r="41" spans="3:6" ht="12.75">
      <c r="C41" s="975" t="s">
        <v>876</v>
      </c>
      <c r="D41" s="978">
        <v>28988</v>
      </c>
      <c r="E41" s="1000" t="s">
        <v>945</v>
      </c>
      <c r="F41" s="998" t="s">
        <v>938</v>
      </c>
    </row>
    <row r="42" spans="3:6" ht="12.75">
      <c r="C42" s="975" t="s">
        <v>876</v>
      </c>
      <c r="D42" s="978">
        <v>292477</v>
      </c>
      <c r="E42" s="1000" t="s">
        <v>946</v>
      </c>
      <c r="F42" s="998" t="s">
        <v>938</v>
      </c>
    </row>
    <row r="43" ht="12.75">
      <c r="E43" s="981"/>
    </row>
    <row r="44" spans="3:6" ht="12.75">
      <c r="C44" s="974" t="s">
        <v>430</v>
      </c>
      <c r="D44" s="979">
        <v>14798.97</v>
      </c>
      <c r="E44" s="1000" t="s">
        <v>643</v>
      </c>
      <c r="F44" s="998" t="s">
        <v>938</v>
      </c>
    </row>
    <row r="45" spans="3:6" ht="12.75">
      <c r="C45" s="974" t="s">
        <v>419</v>
      </c>
      <c r="D45" s="980">
        <v>6526.89</v>
      </c>
      <c r="E45" s="1000" t="s">
        <v>643</v>
      </c>
      <c r="F45" s="998" t="s">
        <v>938</v>
      </c>
    </row>
    <row r="46" spans="3:6" ht="12.75">
      <c r="C46" s="974" t="s">
        <v>420</v>
      </c>
      <c r="D46" s="980">
        <v>20.24</v>
      </c>
      <c r="E46" s="1000" t="s">
        <v>764</v>
      </c>
      <c r="F46" s="998" t="s">
        <v>938</v>
      </c>
    </row>
    <row r="47" spans="3:6" ht="12.75">
      <c r="C47" s="976"/>
      <c r="D47" s="981"/>
      <c r="E47" s="976"/>
      <c r="F47" s="998"/>
    </row>
    <row r="48" spans="3:6" ht="12.75">
      <c r="C48" s="974" t="s">
        <v>436</v>
      </c>
      <c r="D48" s="982">
        <v>4063.23</v>
      </c>
      <c r="E48" s="1001" t="s">
        <v>932</v>
      </c>
      <c r="F48" s="998" t="s">
        <v>938</v>
      </c>
    </row>
    <row r="49" spans="3:6" ht="12.75">
      <c r="C49" s="974" t="s">
        <v>437</v>
      </c>
      <c r="D49" s="982">
        <v>555</v>
      </c>
      <c r="E49" s="1001" t="s">
        <v>932</v>
      </c>
      <c r="F49" s="998" t="s">
        <v>938</v>
      </c>
    </row>
    <row r="50" spans="3:6" ht="12.75">
      <c r="C50" s="974" t="s">
        <v>438</v>
      </c>
      <c r="D50" s="982">
        <v>142472.51</v>
      </c>
      <c r="E50" s="1001" t="s">
        <v>932</v>
      </c>
      <c r="F50" s="998" t="s">
        <v>938</v>
      </c>
    </row>
    <row r="51" spans="3:6" ht="12.75">
      <c r="C51" s="974" t="s">
        <v>440</v>
      </c>
      <c r="D51" s="982">
        <v>89795.04000000001</v>
      </c>
      <c r="E51" s="1001" t="s">
        <v>932</v>
      </c>
      <c r="F51" s="998" t="s">
        <v>938</v>
      </c>
    </row>
    <row r="52" spans="3:6" ht="12.75">
      <c r="C52" s="974" t="s">
        <v>441</v>
      </c>
      <c r="D52" s="982">
        <v>225800</v>
      </c>
      <c r="E52" s="1001" t="s">
        <v>932</v>
      </c>
      <c r="F52" s="998" t="s">
        <v>938</v>
      </c>
    </row>
    <row r="53" spans="3:6" ht="12.75">
      <c r="C53" s="974" t="s">
        <v>443</v>
      </c>
      <c r="D53" s="982">
        <v>5631.9</v>
      </c>
      <c r="E53" s="1001" t="s">
        <v>932</v>
      </c>
      <c r="F53" s="998" t="s">
        <v>938</v>
      </c>
    </row>
    <row r="54" spans="3:6" ht="12.75">
      <c r="C54" s="974" t="s">
        <v>421</v>
      </c>
      <c r="D54" s="987">
        <v>1861238.29</v>
      </c>
      <c r="E54" s="1001" t="s">
        <v>932</v>
      </c>
      <c r="F54" s="998" t="s">
        <v>938</v>
      </c>
    </row>
    <row r="55" spans="3:5" ht="12.75">
      <c r="C55" s="975" t="s">
        <v>936</v>
      </c>
      <c r="D55" s="988">
        <v>9412541.18</v>
      </c>
      <c r="E55" s="975" t="s">
        <v>558</v>
      </c>
    </row>
    <row r="56" spans="5:8" ht="12.75">
      <c r="E56" s="981"/>
      <c r="H56" s="629" t="s">
        <v>955</v>
      </c>
    </row>
    <row r="57" spans="3:12" ht="12.75">
      <c r="C57" s="989" t="s">
        <v>934</v>
      </c>
      <c r="D57" s="992"/>
      <c r="E57" s="992"/>
      <c r="H57" s="1029" t="s">
        <v>934</v>
      </c>
      <c r="I57" s="1035" t="s">
        <v>558</v>
      </c>
      <c r="J57" s="1034" t="s">
        <v>956</v>
      </c>
      <c r="K57" s="1034" t="s">
        <v>957</v>
      </c>
      <c r="L57" s="981"/>
    </row>
    <row r="58" spans="3:12" ht="12.75">
      <c r="C58" s="974" t="s">
        <v>940</v>
      </c>
      <c r="D58" s="982">
        <v>7108797</v>
      </c>
      <c r="E58" s="976" t="s">
        <v>537</v>
      </c>
      <c r="F58" s="998" t="s">
        <v>937</v>
      </c>
      <c r="H58" s="974" t="s">
        <v>940</v>
      </c>
      <c r="I58" s="1026">
        <v>7108797</v>
      </c>
      <c r="J58" s="1030">
        <f>+I58*0.8</f>
        <v>5687037.600000001</v>
      </c>
      <c r="K58" s="1030">
        <f>+I58*0.2</f>
        <v>1421759.4000000001</v>
      </c>
      <c r="L58" s="976"/>
    </row>
    <row r="59" spans="3:12" ht="12.75">
      <c r="C59" s="974" t="s">
        <v>941</v>
      </c>
      <c r="D59" s="987">
        <v>1995092</v>
      </c>
      <c r="E59" s="976" t="s">
        <v>643</v>
      </c>
      <c r="F59" s="998" t="s">
        <v>937</v>
      </c>
      <c r="H59" s="974" t="s">
        <v>941</v>
      </c>
      <c r="I59" s="1027">
        <v>1995092</v>
      </c>
      <c r="J59" s="1031">
        <f>++I59*0.8</f>
        <v>1596073.6</v>
      </c>
      <c r="K59" s="1031">
        <f>+I59*0.2</f>
        <v>399018.4</v>
      </c>
      <c r="L59" s="976"/>
    </row>
    <row r="60" spans="3:12" ht="13.5" thickBot="1">
      <c r="C60" s="974" t="s">
        <v>935</v>
      </c>
      <c r="D60" s="985">
        <f>+D58+D59</f>
        <v>9103889</v>
      </c>
      <c r="E60" s="536"/>
      <c r="H60" s="975" t="s">
        <v>935</v>
      </c>
      <c r="I60" s="1028">
        <f>+I58+I59</f>
        <v>9103889</v>
      </c>
      <c r="J60" s="1032">
        <f>SUM(J58:J59)</f>
        <v>7283111.200000001</v>
      </c>
      <c r="K60" s="1032">
        <f>SUM(K58:K59)</f>
        <v>1820777.8000000003</v>
      </c>
      <c r="L60" s="976"/>
    </row>
    <row r="61" spans="4:13" ht="13.5" thickTop="1">
      <c r="D61" s="981"/>
      <c r="E61" s="536"/>
      <c r="H61" s="981"/>
      <c r="I61" s="981"/>
      <c r="J61" s="981"/>
      <c r="K61" s="981"/>
      <c r="L61" s="981"/>
      <c r="M61" s="1030"/>
    </row>
    <row r="62" spans="3:5" ht="13.5" thickBot="1">
      <c r="C62" s="1019" t="s">
        <v>954</v>
      </c>
      <c r="D62" s="1043">
        <f>+D55+D60</f>
        <v>18516430.18</v>
      </c>
      <c r="E62" s="536"/>
    </row>
    <row r="63" spans="3:13" ht="13.5" thickTop="1">
      <c r="C63" s="981"/>
      <c r="D63" s="981"/>
      <c r="H63" s="566"/>
      <c r="I63" s="547"/>
      <c r="J63" s="1044"/>
      <c r="K63" s="1044"/>
      <c r="L63" s="1044"/>
      <c r="M63" s="1044"/>
    </row>
    <row r="64" spans="3:13" ht="12.75">
      <c r="C64" s="981"/>
      <c r="D64" s="981"/>
      <c r="H64" s="795"/>
      <c r="I64" s="547"/>
      <c r="J64" s="1045"/>
      <c r="K64" s="666"/>
      <c r="L64" s="1045"/>
      <c r="M64" s="666"/>
    </row>
    <row r="65" spans="3:13" ht="12.75">
      <c r="C65" s="1041"/>
      <c r="D65" s="1042"/>
      <c r="H65" s="795"/>
      <c r="I65" s="547"/>
      <c r="J65" s="1045"/>
      <c r="K65" s="666"/>
      <c r="L65" s="1045"/>
      <c r="M65" s="666"/>
    </row>
    <row r="66" spans="3:13" ht="12.75">
      <c r="C66" s="795"/>
      <c r="D66" s="795"/>
      <c r="H66" s="795"/>
      <c r="I66" s="547"/>
      <c r="J66" s="1045"/>
      <c r="K66" s="666"/>
      <c r="L66" s="1045"/>
      <c r="M66" s="666"/>
    </row>
    <row r="67" spans="3:13" ht="12.75">
      <c r="C67" s="1041"/>
      <c r="D67" s="991"/>
      <c r="E67" s="990"/>
      <c r="H67" s="547"/>
      <c r="I67" s="547"/>
      <c r="J67" s="547"/>
      <c r="K67" s="547"/>
      <c r="L67" s="547"/>
      <c r="M67" s="547"/>
    </row>
  </sheetData>
  <sheetProtection/>
  <printOptions/>
  <pageMargins left="0.7" right="0.7" top="0.75" bottom="0.75" header="0.3" footer="0.3"/>
  <pageSetup horizontalDpi="600" verticalDpi="600" orientation="landscape" r:id="rId1"/>
  <headerFoot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59"/>
  <sheetViews>
    <sheetView zoomScalePageLayoutView="0" workbookViewId="0" topLeftCell="A7">
      <selection activeCell="B21" sqref="B21:C21"/>
    </sheetView>
  </sheetViews>
  <sheetFormatPr defaultColWidth="9.7109375" defaultRowHeight="12.75"/>
  <cols>
    <col min="1" max="1" width="4.7109375" style="22" customWidth="1"/>
    <col min="2" max="2" width="14.28125" style="22" customWidth="1"/>
    <col min="3" max="3" width="35.140625" style="22" customWidth="1"/>
    <col min="4" max="4" width="13.00390625" style="22" customWidth="1"/>
    <col min="5" max="5" width="12.421875" style="31" customWidth="1"/>
    <col min="6" max="6" width="12.140625" style="22" customWidth="1"/>
    <col min="7" max="7" width="11.7109375" style="22" customWidth="1"/>
    <col min="8" max="8" width="13.421875" style="22" customWidth="1"/>
    <col min="9" max="9" width="11.28125" style="22" customWidth="1"/>
    <col min="10" max="10" width="14.140625" style="22" customWidth="1"/>
    <col min="11" max="16384" width="9.7109375" style="22" customWidth="1"/>
  </cols>
  <sheetData>
    <row r="1" spans="1:15" s="18" customFormat="1" ht="12.75">
      <c r="A1" s="1107" t="s">
        <v>45</v>
      </c>
      <c r="B1" s="1107"/>
      <c r="C1" s="1107"/>
      <c r="D1" s="1107"/>
      <c r="E1" s="1107"/>
      <c r="F1" s="1107"/>
      <c r="G1" s="1107"/>
      <c r="H1" s="1107"/>
      <c r="I1" s="1107"/>
      <c r="J1" s="1107"/>
      <c r="K1" s="75"/>
      <c r="L1" s="75"/>
      <c r="M1" s="75"/>
      <c r="N1" s="75"/>
      <c r="O1" s="75"/>
    </row>
    <row r="2" spans="1:15" s="18" customFormat="1" ht="12.75">
      <c r="A2" s="1107" t="s">
        <v>46</v>
      </c>
      <c r="B2" s="1107"/>
      <c r="C2" s="1107"/>
      <c r="D2" s="1107"/>
      <c r="E2" s="1107"/>
      <c r="F2" s="1107"/>
      <c r="G2" s="1107"/>
      <c r="H2" s="1107"/>
      <c r="I2" s="1107"/>
      <c r="J2" s="1107"/>
      <c r="K2" s="75"/>
      <c r="L2" s="75"/>
      <c r="M2" s="75"/>
      <c r="N2" s="75"/>
      <c r="O2" s="75"/>
    </row>
    <row r="3" spans="1:15" s="18" customFormat="1" ht="12.75">
      <c r="A3" s="1107" t="s">
        <v>47</v>
      </c>
      <c r="B3" s="1107"/>
      <c r="C3" s="1107"/>
      <c r="D3" s="1107"/>
      <c r="E3" s="1107"/>
      <c r="F3" s="1107"/>
      <c r="G3" s="1107"/>
      <c r="H3" s="1107"/>
      <c r="I3" s="1107"/>
      <c r="J3" s="1107"/>
      <c r="K3" s="75"/>
      <c r="L3" s="75"/>
      <c r="M3" s="75"/>
      <c r="N3" s="75"/>
      <c r="O3" s="75"/>
    </row>
    <row r="4" spans="1:15" s="18" customFormat="1" ht="12.75">
      <c r="A4" s="1107" t="s">
        <v>48</v>
      </c>
      <c r="B4" s="1107"/>
      <c r="C4" s="1107"/>
      <c r="D4" s="1107"/>
      <c r="E4" s="1107"/>
      <c r="F4" s="1107"/>
      <c r="G4" s="1107"/>
      <c r="H4" s="1107"/>
      <c r="I4" s="1107"/>
      <c r="J4" s="1107"/>
      <c r="K4" s="75"/>
      <c r="L4" s="75"/>
      <c r="M4" s="75"/>
      <c r="N4" s="75"/>
      <c r="O4" s="75"/>
    </row>
    <row r="5" spans="1:19" s="18" customFormat="1" ht="13.5" thickBot="1">
      <c r="A5" s="12"/>
      <c r="B5" s="13"/>
      <c r="C5" s="13"/>
      <c r="D5" s="440"/>
      <c r="E5" s="440"/>
      <c r="F5" s="440"/>
      <c r="G5" s="440"/>
      <c r="H5" s="440"/>
      <c r="I5" s="440"/>
      <c r="J5" s="440"/>
      <c r="K5" s="76"/>
      <c r="L5" s="76"/>
      <c r="M5" s="76"/>
      <c r="N5" s="76"/>
      <c r="O5" s="76"/>
      <c r="P5" s="87"/>
      <c r="Q5" s="87"/>
      <c r="R5" s="87"/>
      <c r="S5" s="87"/>
    </row>
    <row r="6" spans="1:19" s="18" customFormat="1" ht="20.25" customHeight="1">
      <c r="A6" s="93"/>
      <c r="B6" s="77" t="s">
        <v>54</v>
      </c>
      <c r="C6" s="78"/>
      <c r="D6" s="78" t="s">
        <v>6</v>
      </c>
      <c r="E6" s="1114">
        <f>'P1 Info &amp; Certification'!L20</f>
        <v>44013</v>
      </c>
      <c r="F6" s="1114"/>
      <c r="G6" s="96"/>
      <c r="H6" s="95" t="s">
        <v>7</v>
      </c>
      <c r="I6" s="1114">
        <f>'P1 Info &amp; Certification'!N20</f>
        <v>44377</v>
      </c>
      <c r="J6" s="1131"/>
      <c r="K6" s="88"/>
      <c r="L6" s="32"/>
      <c r="M6" s="92"/>
      <c r="N6" s="92"/>
      <c r="O6" s="32"/>
      <c r="P6" s="87"/>
      <c r="Q6" s="87"/>
      <c r="R6" s="87"/>
      <c r="S6" s="87"/>
    </row>
    <row r="7" spans="1:19" s="18" customFormat="1" ht="12.75">
      <c r="A7" s="83"/>
      <c r="B7" s="458"/>
      <c r="C7" s="458"/>
      <c r="D7" s="458"/>
      <c r="E7" s="13"/>
      <c r="F7" s="13"/>
      <c r="G7" s="13"/>
      <c r="H7" s="13"/>
      <c r="I7" s="13"/>
      <c r="J7" s="81"/>
      <c r="K7" s="13"/>
      <c r="L7" s="13"/>
      <c r="M7" s="13"/>
      <c r="N7" s="13"/>
      <c r="O7" s="13"/>
      <c r="P7" s="87"/>
      <c r="Q7" s="87"/>
      <c r="R7" s="87"/>
      <c r="S7" s="87"/>
    </row>
    <row r="8" spans="1:19" s="18" customFormat="1" ht="21.75" customHeight="1" thickBot="1">
      <c r="A8" s="97"/>
      <c r="B8" s="445" t="s">
        <v>59</v>
      </c>
      <c r="C8" s="1115" t="str">
        <f>'P1 Info &amp; Certification'!E12</f>
        <v>COMMUNITY HEALTH CENTER, INC.</v>
      </c>
      <c r="D8" s="1115"/>
      <c r="E8" s="1115"/>
      <c r="F8" s="1115"/>
      <c r="G8" s="1115"/>
      <c r="H8" s="1115"/>
      <c r="I8" s="463"/>
      <c r="J8" s="464"/>
      <c r="K8" s="91"/>
      <c r="L8" s="91"/>
      <c r="M8" s="91"/>
      <c r="N8" s="91"/>
      <c r="O8" s="91"/>
      <c r="P8" s="87"/>
      <c r="Q8" s="87"/>
      <c r="R8" s="87"/>
      <c r="S8" s="87"/>
    </row>
    <row r="9" spans="1:10" s="18" customFormat="1" ht="12.75">
      <c r="A9" s="16"/>
      <c r="B9" s="19"/>
      <c r="C9" s="19"/>
      <c r="D9" s="19"/>
      <c r="E9" s="20"/>
      <c r="F9" s="19"/>
      <c r="G9" s="21"/>
      <c r="H9" s="19"/>
      <c r="I9" s="19"/>
      <c r="J9" s="19"/>
    </row>
    <row r="10" spans="1:10" s="18" customFormat="1" ht="16.5" thickBot="1">
      <c r="A10" s="16"/>
      <c r="B10" s="19"/>
      <c r="C10" s="19"/>
      <c r="D10" s="19"/>
      <c r="E10" s="20"/>
      <c r="F10" s="19"/>
      <c r="G10" s="21"/>
      <c r="H10" s="19"/>
      <c r="I10" s="19"/>
      <c r="J10" s="112" t="s">
        <v>219</v>
      </c>
    </row>
    <row r="11" spans="1:10" s="18" customFormat="1" ht="19.5" customHeight="1">
      <c r="A11" s="1146" t="s">
        <v>290</v>
      </c>
      <c r="B11" s="1147"/>
      <c r="C11" s="1147"/>
      <c r="D11" s="1147"/>
      <c r="E11" s="1147"/>
      <c r="F11" s="1147"/>
      <c r="G11" s="1147"/>
      <c r="H11" s="1147"/>
      <c r="I11" s="1147"/>
      <c r="J11" s="1148"/>
    </row>
    <row r="12" spans="1:10" s="18" customFormat="1" ht="13.5" thickBot="1">
      <c r="A12" s="113"/>
      <c r="B12" s="114"/>
      <c r="C12" s="114"/>
      <c r="D12" s="114"/>
      <c r="E12" s="115"/>
      <c r="F12" s="114"/>
      <c r="G12" s="114"/>
      <c r="H12" s="114"/>
      <c r="I12" s="114"/>
      <c r="J12" s="116"/>
    </row>
    <row r="13" spans="1:10" s="30" customFormat="1" ht="10.5" customHeight="1">
      <c r="A13" s="117"/>
      <c r="B13" s="118"/>
      <c r="C13" s="119"/>
      <c r="D13" s="1"/>
      <c r="E13" s="2" t="s">
        <v>2</v>
      </c>
      <c r="F13" s="1"/>
      <c r="G13" s="1" t="s">
        <v>10</v>
      </c>
      <c r="H13" s="1" t="s">
        <v>11</v>
      </c>
      <c r="I13" s="1" t="s">
        <v>12</v>
      </c>
      <c r="J13" s="212" t="s">
        <v>13</v>
      </c>
    </row>
    <row r="14" spans="1:10" s="30" customFormat="1" ht="10.5" customHeight="1">
      <c r="A14" s="1136" t="s">
        <v>74</v>
      </c>
      <c r="B14" s="1137"/>
      <c r="C14" s="1138"/>
      <c r="D14" s="1" t="s">
        <v>9</v>
      </c>
      <c r="E14" s="2" t="s">
        <v>14</v>
      </c>
      <c r="F14" s="1"/>
      <c r="G14" s="1" t="s">
        <v>15</v>
      </c>
      <c r="H14" s="1" t="s">
        <v>16</v>
      </c>
      <c r="I14" s="1" t="s">
        <v>17</v>
      </c>
      <c r="J14" s="212" t="s">
        <v>18</v>
      </c>
    </row>
    <row r="15" spans="1:10" ht="10.5" customHeight="1" thickBot="1">
      <c r="A15" s="1139"/>
      <c r="B15" s="1140"/>
      <c r="C15" s="1141"/>
      <c r="D15" s="1" t="s">
        <v>0</v>
      </c>
      <c r="E15" s="2" t="s">
        <v>19</v>
      </c>
      <c r="F15" s="1" t="s">
        <v>1</v>
      </c>
      <c r="G15" s="1" t="s">
        <v>20</v>
      </c>
      <c r="H15" s="1" t="s">
        <v>21</v>
      </c>
      <c r="I15" s="1" t="s">
        <v>291</v>
      </c>
      <c r="J15" s="212" t="s">
        <v>22</v>
      </c>
    </row>
    <row r="16" spans="1:10" ht="18.75" customHeight="1">
      <c r="A16" s="213" t="s">
        <v>83</v>
      </c>
      <c r="B16" s="1145" t="s">
        <v>251</v>
      </c>
      <c r="C16" s="1145"/>
      <c r="D16" s="3" t="s">
        <v>60</v>
      </c>
      <c r="E16" s="4" t="s">
        <v>61</v>
      </c>
      <c r="F16" s="5" t="s">
        <v>62</v>
      </c>
      <c r="G16" s="6" t="s">
        <v>63</v>
      </c>
      <c r="H16" s="6" t="s">
        <v>64</v>
      </c>
      <c r="I16" s="6" t="s">
        <v>65</v>
      </c>
      <c r="J16" s="6" t="s">
        <v>66</v>
      </c>
    </row>
    <row r="17" spans="1:10" ht="12" customHeight="1">
      <c r="A17" s="214"/>
      <c r="B17" s="1144" t="s">
        <v>85</v>
      </c>
      <c r="C17" s="1144"/>
      <c r="D17" s="8"/>
      <c r="E17" s="9"/>
      <c r="F17" s="8"/>
      <c r="G17" s="8"/>
      <c r="H17" s="8"/>
      <c r="I17" s="8"/>
      <c r="J17" s="215"/>
    </row>
    <row r="18" spans="1:10" ht="12" customHeight="1">
      <c r="A18" s="216" t="s">
        <v>49</v>
      </c>
      <c r="B18" s="1134" t="s">
        <v>67</v>
      </c>
      <c r="C18" s="1135"/>
      <c r="D18" s="100"/>
      <c r="E18" s="101"/>
      <c r="F18" s="100"/>
      <c r="G18" s="100"/>
      <c r="H18" s="8"/>
      <c r="I18" s="100"/>
      <c r="J18" s="217"/>
    </row>
    <row r="19" spans="1:10" ht="12.75">
      <c r="A19" s="218" t="s">
        <v>70</v>
      </c>
      <c r="B19" s="1132" t="s">
        <v>23</v>
      </c>
      <c r="C19" s="1133"/>
      <c r="D19" s="34">
        <f>+'Attachment A'!AM5</f>
        <v>8514278</v>
      </c>
      <c r="E19" s="34">
        <f>+'Attachment A'!AN5</f>
        <v>1970357.39</v>
      </c>
      <c r="F19" s="325">
        <f>SUM(D19:E19)</f>
        <v>10484635.39</v>
      </c>
      <c r="G19" s="322"/>
      <c r="H19" s="36">
        <f aca="true" t="shared" si="0" ref="H19:H34">F19+G19</f>
        <v>10484635.39</v>
      </c>
      <c r="I19" s="37"/>
      <c r="J19" s="219">
        <f aca="true" t="shared" si="1" ref="J19:J34">H19+I19</f>
        <v>10484635.39</v>
      </c>
    </row>
    <row r="20" spans="1:10" ht="12.75">
      <c r="A20" s="220" t="s">
        <v>71</v>
      </c>
      <c r="B20" s="1129" t="s">
        <v>68</v>
      </c>
      <c r="C20" s="1130"/>
      <c r="D20" s="38">
        <f>+'Attachment A'!AM6</f>
        <v>3603639</v>
      </c>
      <c r="E20" s="38">
        <f>+'Attachment A'!AN6</f>
        <v>833947.02</v>
      </c>
      <c r="F20" s="40">
        <f aca="true" t="shared" si="2" ref="F20:F34">SUM(D20:E20)</f>
        <v>4437586.02</v>
      </c>
      <c r="G20" s="139"/>
      <c r="H20" s="36">
        <f t="shared" si="0"/>
        <v>4437586.02</v>
      </c>
      <c r="I20" s="39"/>
      <c r="J20" s="221">
        <f t="shared" si="1"/>
        <v>4437586.02</v>
      </c>
    </row>
    <row r="21" spans="1:10" ht="12.75">
      <c r="A21" s="220" t="s">
        <v>72</v>
      </c>
      <c r="B21" s="1129" t="s">
        <v>288</v>
      </c>
      <c r="C21" s="1130"/>
      <c r="D21" s="38">
        <f>+'Attachment A'!AM7</f>
        <v>14232548</v>
      </c>
      <c r="E21" s="38">
        <f>+'Attachment A'!AN7</f>
        <v>3293694.1599999997</v>
      </c>
      <c r="F21" s="40">
        <f>SUM(D21:E21)</f>
        <v>17526242.16</v>
      </c>
      <c r="G21" s="139"/>
      <c r="H21" s="36">
        <f t="shared" si="0"/>
        <v>17526242.16</v>
      </c>
      <c r="I21" s="39"/>
      <c r="J21" s="221">
        <f t="shared" si="1"/>
        <v>17526242.16</v>
      </c>
    </row>
    <row r="22" spans="1:10" ht="12.75">
      <c r="A22" s="220" t="s">
        <v>73</v>
      </c>
      <c r="B22" s="1129" t="s">
        <v>69</v>
      </c>
      <c r="C22" s="1130"/>
      <c r="D22" s="38"/>
      <c r="E22" s="38"/>
      <c r="F22" s="40"/>
      <c r="G22" s="139"/>
      <c r="H22" s="36"/>
      <c r="I22" s="39"/>
      <c r="J22" s="221"/>
    </row>
    <row r="23" spans="1:10" ht="12.75">
      <c r="A23" s="220"/>
      <c r="B23" s="137"/>
      <c r="C23" s="460" t="s">
        <v>444</v>
      </c>
      <c r="D23" s="38">
        <f>+'Attachment A'!AR63</f>
        <v>16423387.355660388</v>
      </c>
      <c r="E23" s="38">
        <f>+'Attachment A'!AS63</f>
        <v>3800667.843917368</v>
      </c>
      <c r="F23" s="40">
        <f t="shared" si="2"/>
        <v>20224055.199577756</v>
      </c>
      <c r="G23" s="139"/>
      <c r="H23" s="36">
        <f t="shared" si="0"/>
        <v>20224055.199577756</v>
      </c>
      <c r="I23" s="39"/>
      <c r="J23" s="221">
        <f t="shared" si="1"/>
        <v>20224055.199577756</v>
      </c>
    </row>
    <row r="24" spans="1:10" ht="12.75">
      <c r="A24" s="220"/>
      <c r="B24" s="26"/>
      <c r="C24" s="461" t="s">
        <v>644</v>
      </c>
      <c r="D24" s="38"/>
      <c r="E24" s="38">
        <f>+'Attachment A'!G49</f>
        <v>4246032</v>
      </c>
      <c r="F24" s="40">
        <f t="shared" si="2"/>
        <v>4246032</v>
      </c>
      <c r="G24" s="139"/>
      <c r="H24" s="36">
        <f t="shared" si="0"/>
        <v>4246032</v>
      </c>
      <c r="I24" s="39"/>
      <c r="J24" s="221">
        <f t="shared" si="1"/>
        <v>4246032</v>
      </c>
    </row>
    <row r="25" spans="1:10" ht="12.75">
      <c r="A25" s="220"/>
      <c r="B25" s="137"/>
      <c r="C25" s="462"/>
      <c r="D25" s="38"/>
      <c r="E25" s="38"/>
      <c r="F25" s="40">
        <f t="shared" si="2"/>
        <v>0</v>
      </c>
      <c r="G25" s="139"/>
      <c r="H25" s="36">
        <f t="shared" si="0"/>
        <v>0</v>
      </c>
      <c r="I25" s="39"/>
      <c r="J25" s="221">
        <f t="shared" si="1"/>
        <v>0</v>
      </c>
    </row>
    <row r="26" spans="1:10" ht="12.75">
      <c r="A26" s="220"/>
      <c r="B26" s="137"/>
      <c r="C26" s="461" t="s">
        <v>984</v>
      </c>
      <c r="D26" s="38"/>
      <c r="E26" s="38"/>
      <c r="F26" s="40">
        <f t="shared" si="2"/>
        <v>0</v>
      </c>
      <c r="G26" s="139">
        <f>+(-7108797*0.8)</f>
        <v>-5687037.600000001</v>
      </c>
      <c r="H26" s="36">
        <f t="shared" si="0"/>
        <v>-5687037.600000001</v>
      </c>
      <c r="I26" s="39"/>
      <c r="J26" s="221">
        <f t="shared" si="1"/>
        <v>-5687037.600000001</v>
      </c>
    </row>
    <row r="27" spans="1:10" ht="12.75">
      <c r="A27" s="220"/>
      <c r="B27" s="137"/>
      <c r="C27" s="461" t="s">
        <v>985</v>
      </c>
      <c r="D27" s="38"/>
      <c r="E27" s="38"/>
      <c r="F27" s="40">
        <f t="shared" si="2"/>
        <v>0</v>
      </c>
      <c r="G27" s="139">
        <v>-519258</v>
      </c>
      <c r="H27" s="36">
        <f t="shared" si="0"/>
        <v>-519258</v>
      </c>
      <c r="I27" s="39"/>
      <c r="J27" s="221">
        <f t="shared" si="1"/>
        <v>-519258</v>
      </c>
    </row>
    <row r="28" spans="1:10" ht="12.75">
      <c r="A28" s="220"/>
      <c r="B28" s="137"/>
      <c r="C28" s="462"/>
      <c r="D28" s="38"/>
      <c r="E28" s="38"/>
      <c r="F28" s="40">
        <f t="shared" si="2"/>
        <v>0</v>
      </c>
      <c r="G28" s="139"/>
      <c r="H28" s="36">
        <f t="shared" si="0"/>
        <v>0</v>
      </c>
      <c r="I28" s="39"/>
      <c r="J28" s="221">
        <f t="shared" si="1"/>
        <v>0</v>
      </c>
    </row>
    <row r="29" spans="1:10" ht="12.75">
      <c r="A29" s="220"/>
      <c r="B29" s="137"/>
      <c r="C29" s="462"/>
      <c r="D29" s="38"/>
      <c r="E29" s="38"/>
      <c r="F29" s="40">
        <f t="shared" si="2"/>
        <v>0</v>
      </c>
      <c r="G29" s="139"/>
      <c r="H29" s="36">
        <f t="shared" si="0"/>
        <v>0</v>
      </c>
      <c r="I29" s="39"/>
      <c r="J29" s="221">
        <f t="shared" si="1"/>
        <v>0</v>
      </c>
    </row>
    <row r="30" spans="1:10" ht="12.75">
      <c r="A30" s="220"/>
      <c r="B30" s="27"/>
      <c r="C30" s="462"/>
      <c r="D30" s="38"/>
      <c r="E30" s="38"/>
      <c r="F30" s="40">
        <f t="shared" si="2"/>
        <v>0</v>
      </c>
      <c r="G30" s="139"/>
      <c r="H30" s="36">
        <f t="shared" si="0"/>
        <v>0</v>
      </c>
      <c r="I30" s="39"/>
      <c r="J30" s="221">
        <f t="shared" si="1"/>
        <v>0</v>
      </c>
    </row>
    <row r="31" spans="1:11" ht="12.75">
      <c r="A31" s="220"/>
      <c r="B31" s="137"/>
      <c r="C31" s="461"/>
      <c r="D31" s="38"/>
      <c r="E31" s="38"/>
      <c r="F31" s="40">
        <f t="shared" si="2"/>
        <v>0</v>
      </c>
      <c r="G31" s="139"/>
      <c r="H31" s="40">
        <f t="shared" si="0"/>
        <v>0</v>
      </c>
      <c r="I31" s="38"/>
      <c r="J31" s="222">
        <f t="shared" si="1"/>
        <v>0</v>
      </c>
      <c r="K31" s="33"/>
    </row>
    <row r="32" spans="1:11" ht="12.75">
      <c r="A32" s="220"/>
      <c r="B32" s="137"/>
      <c r="C32" s="462"/>
      <c r="D32" s="38"/>
      <c r="E32" s="38"/>
      <c r="F32" s="40">
        <f t="shared" si="2"/>
        <v>0</v>
      </c>
      <c r="G32" s="139"/>
      <c r="H32" s="40">
        <f t="shared" si="0"/>
        <v>0</v>
      </c>
      <c r="I32" s="38"/>
      <c r="J32" s="222">
        <f t="shared" si="1"/>
        <v>0</v>
      </c>
      <c r="K32" s="33"/>
    </row>
    <row r="33" spans="1:11" ht="12.75" customHeight="1">
      <c r="A33" s="223"/>
      <c r="B33" s="25"/>
      <c r="C33" s="462"/>
      <c r="D33" s="38"/>
      <c r="E33" s="38"/>
      <c r="F33" s="40">
        <f t="shared" si="2"/>
        <v>0</v>
      </c>
      <c r="G33" s="139"/>
      <c r="H33" s="40">
        <f t="shared" si="0"/>
        <v>0</v>
      </c>
      <c r="I33" s="38"/>
      <c r="J33" s="222">
        <f t="shared" si="1"/>
        <v>0</v>
      </c>
      <c r="K33" s="33"/>
    </row>
    <row r="34" spans="1:11" ht="12.75" customHeight="1">
      <c r="A34" s="223"/>
      <c r="B34" s="110"/>
      <c r="C34" s="460"/>
      <c r="D34" s="104"/>
      <c r="E34" s="321"/>
      <c r="F34" s="326">
        <f t="shared" si="2"/>
        <v>0</v>
      </c>
      <c r="G34" s="323"/>
      <c r="H34" s="40">
        <f t="shared" si="0"/>
        <v>0</v>
      </c>
      <c r="I34" s="41"/>
      <c r="J34" s="222">
        <f t="shared" si="1"/>
        <v>0</v>
      </c>
      <c r="K34" s="33"/>
    </row>
    <row r="35" spans="1:10" s="126" customFormat="1" ht="12.75">
      <c r="A35" s="224" t="s">
        <v>80</v>
      </c>
      <c r="B35" s="1142" t="s">
        <v>99</v>
      </c>
      <c r="C35" s="1143"/>
      <c r="D35" s="129">
        <f>SUM(D19:D34)</f>
        <v>42773852.35566039</v>
      </c>
      <c r="E35" s="129">
        <f aca="true" t="shared" si="3" ref="E35:J35">SUM(E19:E34)</f>
        <v>14144698.413917368</v>
      </c>
      <c r="F35" s="324">
        <f t="shared" si="3"/>
        <v>56918550.76957776</v>
      </c>
      <c r="G35" s="129">
        <f t="shared" si="3"/>
        <v>-6206295.600000001</v>
      </c>
      <c r="H35" s="129">
        <f t="shared" si="3"/>
        <v>50712255.169577755</v>
      </c>
      <c r="I35" s="129">
        <f t="shared" si="3"/>
        <v>0</v>
      </c>
      <c r="J35" s="225">
        <f t="shared" si="3"/>
        <v>50712255.169577755</v>
      </c>
    </row>
    <row r="36" spans="1:10" ht="12" customHeight="1">
      <c r="A36" s="226" t="s">
        <v>50</v>
      </c>
      <c r="B36" s="7" t="s">
        <v>214</v>
      </c>
      <c r="C36" s="7"/>
      <c r="D36" s="8"/>
      <c r="E36" s="9"/>
      <c r="F36" s="8"/>
      <c r="G36" s="8"/>
      <c r="H36" s="8"/>
      <c r="I36" s="8"/>
      <c r="J36" s="215"/>
    </row>
    <row r="37" spans="1:10" ht="12.75">
      <c r="A37" s="218" t="s">
        <v>70</v>
      </c>
      <c r="B37" s="441" t="s">
        <v>76</v>
      </c>
      <c r="C37" s="446"/>
      <c r="D37" s="138"/>
      <c r="E37" s="29">
        <f>+'Attachment A'!C7</f>
        <v>11039986.129999999</v>
      </c>
      <c r="F37" s="325">
        <f>SUM(D37:E37)</f>
        <v>11039986.129999999</v>
      </c>
      <c r="G37" s="29"/>
      <c r="H37" s="28">
        <f aca="true" t="shared" si="4" ref="H37:H49">F37+G37</f>
        <v>11039986.129999999</v>
      </c>
      <c r="I37" s="29"/>
      <c r="J37" s="227">
        <f aca="true" t="shared" si="5" ref="J37:J49">H37+I37</f>
        <v>11039986.129999999</v>
      </c>
    </row>
    <row r="38" spans="1:10" ht="12.75">
      <c r="A38" s="220" t="s">
        <v>71</v>
      </c>
      <c r="B38" s="441" t="s">
        <v>77</v>
      </c>
      <c r="C38" s="446"/>
      <c r="D38" s="29"/>
      <c r="E38" s="29">
        <f>+'Attachment A'!C8</f>
        <v>185870</v>
      </c>
      <c r="F38" s="40">
        <f aca="true" t="shared" si="6" ref="F38:F48">SUM(D38:E38)</f>
        <v>185870</v>
      </c>
      <c r="G38" s="29">
        <f>-'Attachment A'!AC34</f>
        <v>-25641</v>
      </c>
      <c r="H38" s="28">
        <f t="shared" si="4"/>
        <v>160229</v>
      </c>
      <c r="I38" s="29"/>
      <c r="J38" s="227">
        <f t="shared" si="5"/>
        <v>160229</v>
      </c>
    </row>
    <row r="39" spans="1:10" ht="12.75">
      <c r="A39" s="220" t="s">
        <v>72</v>
      </c>
      <c r="B39" s="23" t="s">
        <v>78</v>
      </c>
      <c r="C39" s="23"/>
      <c r="D39" s="29"/>
      <c r="E39" s="29">
        <f>+'Attachment A'!C9</f>
        <v>1649952</v>
      </c>
      <c r="F39" s="40">
        <f t="shared" si="6"/>
        <v>1649952</v>
      </c>
      <c r="G39" s="29">
        <f>-'Attachment A'!AD34</f>
        <v>-51743.342735587</v>
      </c>
      <c r="H39" s="28">
        <f t="shared" si="4"/>
        <v>1598208.657264413</v>
      </c>
      <c r="I39" s="29"/>
      <c r="J39" s="227">
        <f t="shared" si="5"/>
        <v>1598208.657264413</v>
      </c>
    </row>
    <row r="40" spans="1:10" ht="12.75">
      <c r="A40" s="220" t="s">
        <v>73</v>
      </c>
      <c r="B40" s="23" t="s">
        <v>79</v>
      </c>
      <c r="C40" s="23"/>
      <c r="D40" s="29"/>
      <c r="E40" s="29">
        <f>+'Attachment A'!C10</f>
        <v>214397</v>
      </c>
      <c r="F40" s="40">
        <f t="shared" si="6"/>
        <v>214397</v>
      </c>
      <c r="G40" s="29"/>
      <c r="H40" s="28">
        <f t="shared" si="4"/>
        <v>214397</v>
      </c>
      <c r="I40" s="29"/>
      <c r="J40" s="227">
        <f t="shared" si="5"/>
        <v>214397</v>
      </c>
    </row>
    <row r="41" spans="1:10" ht="12.75">
      <c r="A41" s="220" t="s">
        <v>80</v>
      </c>
      <c r="B41" s="1129" t="s">
        <v>328</v>
      </c>
      <c r="C41" s="1130"/>
      <c r="D41" s="29"/>
      <c r="E41" s="29"/>
      <c r="F41" s="40">
        <f t="shared" si="6"/>
        <v>0</v>
      </c>
      <c r="G41" s="29"/>
      <c r="H41" s="28">
        <f t="shared" si="4"/>
        <v>0</v>
      </c>
      <c r="I41" s="29"/>
      <c r="J41" s="227">
        <f t="shared" si="5"/>
        <v>0</v>
      </c>
    </row>
    <row r="42" spans="1:10" ht="12.75">
      <c r="A42" s="220" t="s">
        <v>81</v>
      </c>
      <c r="B42" s="1129" t="s">
        <v>217</v>
      </c>
      <c r="C42" s="1130"/>
      <c r="D42" s="29"/>
      <c r="E42" s="29"/>
      <c r="F42" s="40">
        <f t="shared" si="6"/>
        <v>0</v>
      </c>
      <c r="G42" s="29"/>
      <c r="H42" s="28">
        <f t="shared" si="4"/>
        <v>0</v>
      </c>
      <c r="I42" s="29"/>
      <c r="J42" s="227">
        <f t="shared" si="5"/>
        <v>0</v>
      </c>
    </row>
    <row r="43" spans="1:10" ht="12.75">
      <c r="A43" s="220" t="s">
        <v>112</v>
      </c>
      <c r="B43" s="441" t="s">
        <v>329</v>
      </c>
      <c r="C43" s="442"/>
      <c r="D43" s="29"/>
      <c r="E43" s="29"/>
      <c r="F43" s="40">
        <f t="shared" si="6"/>
        <v>0</v>
      </c>
      <c r="G43" s="29"/>
      <c r="H43" s="28">
        <f t="shared" si="4"/>
        <v>0</v>
      </c>
      <c r="I43" s="29"/>
      <c r="J43" s="227">
        <f t="shared" si="5"/>
        <v>0</v>
      </c>
    </row>
    <row r="44" spans="1:10" ht="12.75">
      <c r="A44" s="220" t="s">
        <v>114</v>
      </c>
      <c r="B44" s="1129" t="s">
        <v>69</v>
      </c>
      <c r="C44" s="1130"/>
      <c r="D44" s="29"/>
      <c r="E44" s="29"/>
      <c r="F44" s="40"/>
      <c r="G44" s="29"/>
      <c r="H44" s="28"/>
      <c r="I44" s="29"/>
      <c r="J44" s="227"/>
    </row>
    <row r="45" spans="1:10" ht="12.75">
      <c r="A45" s="220"/>
      <c r="B45" s="137"/>
      <c r="C45" s="460" t="s">
        <v>444</v>
      </c>
      <c r="D45" s="29"/>
      <c r="E45" s="29">
        <f>+'Attachment A'!G44</f>
        <v>21454780.854019545</v>
      </c>
      <c r="F45" s="40">
        <f t="shared" si="6"/>
        <v>21454780.854019545</v>
      </c>
      <c r="G45" s="29">
        <f>-'Attachment A'!AE34</f>
        <v>-293571</v>
      </c>
      <c r="H45" s="28">
        <f t="shared" si="4"/>
        <v>21161209.854019545</v>
      </c>
      <c r="I45" s="29"/>
      <c r="J45" s="227">
        <f t="shared" si="5"/>
        <v>21161209.854019545</v>
      </c>
    </row>
    <row r="46" spans="1:10" ht="12.75">
      <c r="A46" s="220"/>
      <c r="B46" s="26"/>
      <c r="C46" s="461" t="s">
        <v>986</v>
      </c>
      <c r="D46" s="29"/>
      <c r="E46" s="29"/>
      <c r="F46" s="40">
        <f t="shared" si="6"/>
        <v>0</v>
      </c>
      <c r="G46" s="29">
        <v>-7642675</v>
      </c>
      <c r="H46" s="28">
        <f t="shared" si="4"/>
        <v>-7642675</v>
      </c>
      <c r="I46" s="29"/>
      <c r="J46" s="227">
        <f t="shared" si="5"/>
        <v>-7642675</v>
      </c>
    </row>
    <row r="47" spans="1:10" ht="12.75">
      <c r="A47" s="223"/>
      <c r="B47" s="137"/>
      <c r="C47" s="462"/>
      <c r="D47" s="29"/>
      <c r="E47" s="29"/>
      <c r="F47" s="40">
        <f t="shared" si="6"/>
        <v>0</v>
      </c>
      <c r="G47" s="29"/>
      <c r="H47" s="28">
        <f t="shared" si="4"/>
        <v>0</v>
      </c>
      <c r="I47" s="29"/>
      <c r="J47" s="227">
        <f t="shared" si="5"/>
        <v>0</v>
      </c>
    </row>
    <row r="48" spans="1:10" ht="12.75">
      <c r="A48" s="223"/>
      <c r="B48" s="137"/>
      <c r="C48" s="462"/>
      <c r="D48" s="29"/>
      <c r="E48" s="29"/>
      <c r="F48" s="40">
        <f t="shared" si="6"/>
        <v>0</v>
      </c>
      <c r="G48" s="29"/>
      <c r="H48" s="28">
        <f t="shared" si="4"/>
        <v>0</v>
      </c>
      <c r="I48" s="29"/>
      <c r="J48" s="227">
        <f t="shared" si="5"/>
        <v>0</v>
      </c>
    </row>
    <row r="49" spans="1:10" ht="12.75">
      <c r="A49" s="223"/>
      <c r="B49" s="106"/>
      <c r="C49" s="437"/>
      <c r="D49" s="105"/>
      <c r="E49" s="29"/>
      <c r="F49" s="326">
        <f>SUM(D49:E49)</f>
        <v>0</v>
      </c>
      <c r="G49" s="29"/>
      <c r="H49" s="28">
        <f t="shared" si="4"/>
        <v>0</v>
      </c>
      <c r="I49" s="29"/>
      <c r="J49" s="227">
        <f t="shared" si="5"/>
        <v>0</v>
      </c>
    </row>
    <row r="50" spans="1:10" s="126" customFormat="1" ht="12.75">
      <c r="A50" s="228" t="s">
        <v>113</v>
      </c>
      <c r="B50" s="111" t="s">
        <v>100</v>
      </c>
      <c r="C50" s="127"/>
      <c r="D50" s="128">
        <f aca="true" t="shared" si="7" ref="D50:J50">SUM(D37:D49)</f>
        <v>0</v>
      </c>
      <c r="E50" s="128">
        <f t="shared" si="7"/>
        <v>34544985.98401955</v>
      </c>
      <c r="F50" s="128">
        <f t="shared" si="7"/>
        <v>34544985.98401955</v>
      </c>
      <c r="G50" s="128">
        <f t="shared" si="7"/>
        <v>-8013630.342735587</v>
      </c>
      <c r="H50" s="128">
        <f t="shared" si="7"/>
        <v>26531355.64128396</v>
      </c>
      <c r="I50" s="128">
        <f t="shared" si="7"/>
        <v>0</v>
      </c>
      <c r="J50" s="229">
        <f t="shared" si="7"/>
        <v>26531355.64128396</v>
      </c>
    </row>
    <row r="51" spans="1:10" ht="12.75">
      <c r="A51" s="230"/>
      <c r="B51" s="10"/>
      <c r="C51" s="107"/>
      <c r="D51" s="109"/>
      <c r="E51" s="109"/>
      <c r="F51" s="109"/>
      <c r="G51" s="109"/>
      <c r="H51" s="109"/>
      <c r="I51" s="109"/>
      <c r="J51" s="231"/>
    </row>
    <row r="52" spans="1:10" s="126" customFormat="1" ht="12.75">
      <c r="A52" s="332" t="s">
        <v>82</v>
      </c>
      <c r="B52" s="11" t="s">
        <v>334</v>
      </c>
      <c r="C52" s="11"/>
      <c r="D52" s="129">
        <f>D50+D35</f>
        <v>42773852.35566039</v>
      </c>
      <c r="E52" s="129">
        <f aca="true" t="shared" si="8" ref="E52:J52">E50+E35</f>
        <v>48689684.39793692</v>
      </c>
      <c r="F52" s="129">
        <f t="shared" si="8"/>
        <v>91463536.7535973</v>
      </c>
      <c r="G52" s="129">
        <f t="shared" si="8"/>
        <v>-14219925.942735586</v>
      </c>
      <c r="H52" s="129">
        <f t="shared" si="8"/>
        <v>77243610.8108617</v>
      </c>
      <c r="I52" s="129">
        <f t="shared" si="8"/>
        <v>0</v>
      </c>
      <c r="J52" s="225">
        <f t="shared" si="8"/>
        <v>77243610.8108617</v>
      </c>
    </row>
    <row r="53" spans="1:10" ht="13.5" thickBot="1">
      <c r="A53" s="233"/>
      <c r="B53" s="234"/>
      <c r="C53" s="234"/>
      <c r="D53" s="235"/>
      <c r="E53" s="235"/>
      <c r="F53" s="235"/>
      <c r="G53" s="235"/>
      <c r="H53" s="235"/>
      <c r="I53" s="235"/>
      <c r="J53" s="320"/>
    </row>
    <row r="56" ht="12.75">
      <c r="M56" s="333"/>
    </row>
    <row r="59" ht="12.75">
      <c r="M59" s="333"/>
    </row>
  </sheetData>
  <sheetProtection password="E1AE" sheet="1" formatColumns="0" formatRows="0"/>
  <mergeCells count="20">
    <mergeCell ref="B44:C44"/>
    <mergeCell ref="B35:C35"/>
    <mergeCell ref="C8:H8"/>
    <mergeCell ref="B17:C17"/>
    <mergeCell ref="B16:C16"/>
    <mergeCell ref="A11:J11"/>
    <mergeCell ref="B20:C20"/>
    <mergeCell ref="B21:C21"/>
    <mergeCell ref="B22:C22"/>
    <mergeCell ref="B41:C41"/>
    <mergeCell ref="B42:C42"/>
    <mergeCell ref="A1:J1"/>
    <mergeCell ref="A2:J2"/>
    <mergeCell ref="A3:J3"/>
    <mergeCell ref="A4:J4"/>
    <mergeCell ref="I6:J6"/>
    <mergeCell ref="B19:C19"/>
    <mergeCell ref="B18:C18"/>
    <mergeCell ref="A14:C15"/>
    <mergeCell ref="E6:F6"/>
  </mergeCells>
  <printOptions horizontalCentered="1" verticalCentered="1"/>
  <pageMargins left="0.25" right="0.25" top="0.5" bottom="0.5" header="0.5" footer="0.25"/>
  <pageSetup fitToWidth="0" fitToHeight="1" horizontalDpi="600" verticalDpi="600" orientation="landscape" scale="66" r:id="rId1"/>
  <headerFooter alignWithMargins="0">
    <oddFooter>&amp;LDSS-16 10-24-2016&amp;RPage 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S50"/>
  <sheetViews>
    <sheetView zoomScalePageLayoutView="0" workbookViewId="0" topLeftCell="A7">
      <selection activeCell="G44" sqref="G44"/>
    </sheetView>
  </sheetViews>
  <sheetFormatPr defaultColWidth="9.7109375" defaultRowHeight="12.75"/>
  <cols>
    <col min="1" max="1" width="4.7109375" style="125" customWidth="1"/>
    <col min="2" max="2" width="13.57421875" style="22" customWidth="1"/>
    <col min="3" max="3" width="35.140625" style="22" customWidth="1"/>
    <col min="4" max="4" width="13.00390625" style="22" customWidth="1"/>
    <col min="5" max="5" width="12.421875" style="31" customWidth="1"/>
    <col min="6" max="6" width="12.140625" style="22" customWidth="1"/>
    <col min="7" max="7" width="11.7109375" style="22" customWidth="1"/>
    <col min="8" max="8" width="13.421875" style="22" customWidth="1"/>
    <col min="9" max="9" width="11.28125" style="22" customWidth="1"/>
    <col min="10" max="10" width="14.140625" style="22" customWidth="1"/>
    <col min="11" max="16384" width="9.7109375" style="22" customWidth="1"/>
  </cols>
  <sheetData>
    <row r="1" spans="1:15" s="18" customFormat="1" ht="12.75">
      <c r="A1" s="1107" t="s">
        <v>45</v>
      </c>
      <c r="B1" s="1107"/>
      <c r="C1" s="1107"/>
      <c r="D1" s="1107"/>
      <c r="E1" s="1107"/>
      <c r="F1" s="1107"/>
      <c r="G1" s="1107"/>
      <c r="H1" s="1107"/>
      <c r="I1" s="1107"/>
      <c r="J1" s="1107"/>
      <c r="K1" s="75"/>
      <c r="L1" s="75"/>
      <c r="M1" s="75"/>
      <c r="N1" s="75"/>
      <c r="O1" s="75"/>
    </row>
    <row r="2" spans="1:15" s="18" customFormat="1" ht="12.75">
      <c r="A2" s="1107" t="s">
        <v>46</v>
      </c>
      <c r="B2" s="1107"/>
      <c r="C2" s="1107"/>
      <c r="D2" s="1107"/>
      <c r="E2" s="1107"/>
      <c r="F2" s="1107"/>
      <c r="G2" s="1107"/>
      <c r="H2" s="1107"/>
      <c r="I2" s="1107"/>
      <c r="J2" s="1107"/>
      <c r="K2" s="75"/>
      <c r="L2" s="75"/>
      <c r="M2" s="75"/>
      <c r="N2" s="75"/>
      <c r="O2" s="75"/>
    </row>
    <row r="3" spans="1:15" s="18" customFormat="1" ht="12.75">
      <c r="A3" s="1107" t="s">
        <v>47</v>
      </c>
      <c r="B3" s="1107"/>
      <c r="C3" s="1107"/>
      <c r="D3" s="1107"/>
      <c r="E3" s="1107"/>
      <c r="F3" s="1107"/>
      <c r="G3" s="1107"/>
      <c r="H3" s="1107"/>
      <c r="I3" s="1107"/>
      <c r="J3" s="1107"/>
      <c r="K3" s="75"/>
      <c r="L3" s="75"/>
      <c r="M3" s="75"/>
      <c r="N3" s="75"/>
      <c r="O3" s="75"/>
    </row>
    <row r="4" spans="1:15" s="18" customFormat="1" ht="12.75">
      <c r="A4" s="1107" t="s">
        <v>48</v>
      </c>
      <c r="B4" s="1107"/>
      <c r="C4" s="1107"/>
      <c r="D4" s="1107"/>
      <c r="E4" s="1107"/>
      <c r="F4" s="1107"/>
      <c r="G4" s="1107"/>
      <c r="H4" s="1107"/>
      <c r="I4" s="1107"/>
      <c r="J4" s="1107"/>
      <c r="K4" s="75"/>
      <c r="L4" s="75"/>
      <c r="M4" s="75"/>
      <c r="N4" s="75"/>
      <c r="O4" s="75"/>
    </row>
    <row r="5" spans="1:19" s="18" customFormat="1" ht="13.5" thickBot="1">
      <c r="A5" s="151"/>
      <c r="B5" s="13"/>
      <c r="C5" s="13"/>
      <c r="D5" s="440"/>
      <c r="E5" s="440"/>
      <c r="F5" s="440"/>
      <c r="G5" s="440"/>
      <c r="H5" s="440"/>
      <c r="I5" s="440"/>
      <c r="J5" s="440"/>
      <c r="K5" s="76"/>
      <c r="L5" s="76"/>
      <c r="M5" s="76"/>
      <c r="N5" s="76"/>
      <c r="O5" s="76"/>
      <c r="P5" s="87"/>
      <c r="Q5" s="87"/>
      <c r="R5" s="87"/>
      <c r="S5" s="87"/>
    </row>
    <row r="6" spans="1:19" s="18" customFormat="1" ht="20.25" customHeight="1">
      <c r="A6" s="152"/>
      <c r="B6" s="77" t="s">
        <v>54</v>
      </c>
      <c r="C6" s="78"/>
      <c r="D6" s="78" t="s">
        <v>6</v>
      </c>
      <c r="E6" s="1114">
        <f>'P1 Info &amp; Certification'!L20</f>
        <v>44013</v>
      </c>
      <c r="F6" s="1114"/>
      <c r="G6" s="96"/>
      <c r="H6" s="95" t="s">
        <v>7</v>
      </c>
      <c r="I6" s="1114">
        <f>'P1 Info &amp; Certification'!N20</f>
        <v>44377</v>
      </c>
      <c r="J6" s="1131"/>
      <c r="K6" s="88"/>
      <c r="L6" s="32"/>
      <c r="M6" s="92"/>
      <c r="N6" s="92"/>
      <c r="O6" s="32"/>
      <c r="P6" s="87"/>
      <c r="Q6" s="87"/>
      <c r="R6" s="87"/>
      <c r="S6" s="87"/>
    </row>
    <row r="7" spans="1:19" s="18" customFormat="1" ht="12.75">
      <c r="A7" s="238"/>
      <c r="B7" s="458"/>
      <c r="C7" s="458"/>
      <c r="D7" s="458"/>
      <c r="E7" s="13"/>
      <c r="F7" s="13"/>
      <c r="G7" s="13"/>
      <c r="H7" s="13"/>
      <c r="I7" s="13"/>
      <c r="J7" s="81"/>
      <c r="K7" s="13"/>
      <c r="L7" s="13"/>
      <c r="M7" s="13"/>
      <c r="N7" s="13"/>
      <c r="O7" s="13"/>
      <c r="P7" s="87"/>
      <c r="Q7" s="87"/>
      <c r="R7" s="87"/>
      <c r="S7" s="87"/>
    </row>
    <row r="8" spans="1:19" s="18" customFormat="1" ht="26.25" customHeight="1" thickBot="1">
      <c r="A8" s="154"/>
      <c r="B8" s="445" t="s">
        <v>59</v>
      </c>
      <c r="C8" s="1149" t="str">
        <f>'P1 Info &amp; Certification'!E12</f>
        <v>COMMUNITY HEALTH CENTER, INC.</v>
      </c>
      <c r="D8" s="1149"/>
      <c r="E8" s="1149"/>
      <c r="F8" s="1149"/>
      <c r="G8" s="1149"/>
      <c r="H8" s="1149"/>
      <c r="I8" s="463"/>
      <c r="J8" s="464"/>
      <c r="K8" s="91"/>
      <c r="L8" s="91"/>
      <c r="M8" s="91"/>
      <c r="N8" s="91"/>
      <c r="O8" s="91"/>
      <c r="P8" s="87"/>
      <c r="Q8" s="87"/>
      <c r="R8" s="87"/>
      <c r="S8" s="87"/>
    </row>
    <row r="9" spans="1:10" s="18" customFormat="1" ht="12.75">
      <c r="A9" s="17"/>
      <c r="B9" s="19"/>
      <c r="C9" s="19"/>
      <c r="D9" s="19"/>
      <c r="E9" s="20"/>
      <c r="F9" s="19"/>
      <c r="G9" s="21"/>
      <c r="H9" s="19"/>
      <c r="I9" s="19"/>
      <c r="J9" s="19"/>
    </row>
    <row r="10" spans="1:10" s="18" customFormat="1" ht="13.5" thickBot="1">
      <c r="A10" s="17"/>
      <c r="B10" s="19"/>
      <c r="C10" s="19"/>
      <c r="D10" s="19"/>
      <c r="E10" s="20"/>
      <c r="F10" s="19"/>
      <c r="G10" s="21"/>
      <c r="H10" s="19"/>
      <c r="I10" s="19"/>
      <c r="J10" s="17" t="s">
        <v>220</v>
      </c>
    </row>
    <row r="11" spans="1:10" s="18" customFormat="1" ht="19.5" customHeight="1">
      <c r="A11" s="1146" t="s">
        <v>290</v>
      </c>
      <c r="B11" s="1147"/>
      <c r="C11" s="1147"/>
      <c r="D11" s="1147"/>
      <c r="E11" s="1147"/>
      <c r="F11" s="1147"/>
      <c r="G11" s="1147"/>
      <c r="H11" s="1147"/>
      <c r="I11" s="1147"/>
      <c r="J11" s="1148"/>
    </row>
    <row r="12" spans="1:10" s="18" customFormat="1" ht="13.5" thickBot="1">
      <c r="A12" s="239"/>
      <c r="B12" s="114"/>
      <c r="C12" s="114"/>
      <c r="D12" s="114"/>
      <c r="E12" s="115"/>
      <c r="F12" s="114"/>
      <c r="G12" s="114"/>
      <c r="H12" s="114"/>
      <c r="I12" s="114"/>
      <c r="J12" s="116"/>
    </row>
    <row r="13" spans="1:10" s="30" customFormat="1" ht="10.5" customHeight="1">
      <c r="A13" s="240"/>
      <c r="B13" s="118"/>
      <c r="C13" s="119"/>
      <c r="D13" s="1"/>
      <c r="E13" s="2" t="s">
        <v>2</v>
      </c>
      <c r="F13" s="1"/>
      <c r="G13" s="1" t="s">
        <v>10</v>
      </c>
      <c r="H13" s="1" t="s">
        <v>11</v>
      </c>
      <c r="I13" s="1" t="s">
        <v>12</v>
      </c>
      <c r="J13" s="212" t="s">
        <v>13</v>
      </c>
    </row>
    <row r="14" spans="1:10" s="30" customFormat="1" ht="10.5" customHeight="1">
      <c r="A14" s="1136" t="s">
        <v>74</v>
      </c>
      <c r="B14" s="1137"/>
      <c r="C14" s="1138"/>
      <c r="D14" s="1" t="s">
        <v>9</v>
      </c>
      <c r="E14" s="2" t="s">
        <v>14</v>
      </c>
      <c r="F14" s="1"/>
      <c r="G14" s="1" t="s">
        <v>15</v>
      </c>
      <c r="H14" s="1" t="s">
        <v>16</v>
      </c>
      <c r="I14" s="1" t="s">
        <v>17</v>
      </c>
      <c r="J14" s="212" t="s">
        <v>18</v>
      </c>
    </row>
    <row r="15" spans="1:10" ht="10.5" customHeight="1">
      <c r="A15" s="1136"/>
      <c r="B15" s="1137"/>
      <c r="C15" s="1138"/>
      <c r="D15" s="1" t="s">
        <v>0</v>
      </c>
      <c r="E15" s="2" t="s">
        <v>19</v>
      </c>
      <c r="F15" s="1" t="s">
        <v>1</v>
      </c>
      <c r="G15" s="1" t="s">
        <v>20</v>
      </c>
      <c r="H15" s="1" t="s">
        <v>21</v>
      </c>
      <c r="I15" s="1" t="s">
        <v>291</v>
      </c>
      <c r="J15" s="212" t="s">
        <v>22</v>
      </c>
    </row>
    <row r="16" spans="1:10" ht="10.5" customHeight="1" thickBot="1">
      <c r="A16" s="241"/>
      <c r="B16" s="121"/>
      <c r="C16" s="122"/>
      <c r="D16" s="6" t="s">
        <v>60</v>
      </c>
      <c r="E16" s="4" t="s">
        <v>61</v>
      </c>
      <c r="F16" s="5" t="s">
        <v>62</v>
      </c>
      <c r="G16" s="6" t="s">
        <v>63</v>
      </c>
      <c r="H16" s="6" t="s">
        <v>64</v>
      </c>
      <c r="I16" s="6" t="s">
        <v>65</v>
      </c>
      <c r="J16" s="6" t="s">
        <v>66</v>
      </c>
    </row>
    <row r="17" spans="1:10" ht="12" customHeight="1">
      <c r="A17" s="213" t="s">
        <v>84</v>
      </c>
      <c r="B17" s="1145" t="s">
        <v>252</v>
      </c>
      <c r="C17" s="1145"/>
      <c r="D17" s="8"/>
      <c r="E17" s="9"/>
      <c r="F17" s="8"/>
      <c r="G17" s="8"/>
      <c r="H17" s="8"/>
      <c r="I17" s="8"/>
      <c r="J17" s="215"/>
    </row>
    <row r="18" spans="1:12" ht="12" customHeight="1">
      <c r="A18" s="244" t="s">
        <v>49</v>
      </c>
      <c r="B18" s="1134" t="s">
        <v>67</v>
      </c>
      <c r="C18" s="1135"/>
      <c r="D18" s="100"/>
      <c r="E18" s="101"/>
      <c r="F18" s="100"/>
      <c r="G18" s="100"/>
      <c r="H18" s="8"/>
      <c r="I18" s="100"/>
      <c r="J18" s="217"/>
      <c r="L18" s="22" t="s">
        <v>2</v>
      </c>
    </row>
    <row r="19" spans="1:10" ht="12.75">
      <c r="A19" s="218" t="s">
        <v>70</v>
      </c>
      <c r="B19" s="1132" t="s">
        <v>86</v>
      </c>
      <c r="C19" s="1133"/>
      <c r="D19" s="34">
        <f>+'Attachment A'!AM10</f>
        <v>2416122</v>
      </c>
      <c r="E19" s="34">
        <f>+'Attachment A'!AN10</f>
        <v>559134.18</v>
      </c>
      <c r="F19" s="35">
        <f>SUM(D19:E19)</f>
        <v>2975256.18</v>
      </c>
      <c r="G19" s="34"/>
      <c r="H19" s="36">
        <f aca="true" t="shared" si="0" ref="H19:H34">F19+G19</f>
        <v>2975256.18</v>
      </c>
      <c r="I19" s="37"/>
      <c r="J19" s="219">
        <f aca="true" t="shared" si="1" ref="J19:J34">H19+I19</f>
        <v>2975256.18</v>
      </c>
    </row>
    <row r="20" spans="1:10" ht="12.75">
      <c r="A20" s="220" t="s">
        <v>71</v>
      </c>
      <c r="B20" s="1129" t="s">
        <v>87</v>
      </c>
      <c r="C20" s="1130"/>
      <c r="D20" s="38">
        <f>+'Attachment A'!AM11</f>
        <v>2071716.2199684754</v>
      </c>
      <c r="E20" s="38">
        <f>+'Attachment A'!AN11</f>
        <v>479432.47</v>
      </c>
      <c r="F20" s="40">
        <f aca="true" t="shared" si="2" ref="F20:F33">SUM(D20:E20)</f>
        <v>2551148.689968475</v>
      </c>
      <c r="G20" s="38"/>
      <c r="H20" s="36">
        <f t="shared" si="0"/>
        <v>2551148.689968475</v>
      </c>
      <c r="I20" s="39"/>
      <c r="J20" s="221">
        <f t="shared" si="1"/>
        <v>2551148.689968475</v>
      </c>
    </row>
    <row r="21" spans="1:10" ht="12.75">
      <c r="A21" s="220" t="s">
        <v>72</v>
      </c>
      <c r="B21" s="441" t="s">
        <v>69</v>
      </c>
      <c r="C21" s="442"/>
      <c r="D21" s="38"/>
      <c r="E21" s="38"/>
      <c r="F21" s="40"/>
      <c r="G21" s="38"/>
      <c r="H21" s="36"/>
      <c r="I21" s="39"/>
      <c r="J21" s="221"/>
    </row>
    <row r="22" spans="1:10" ht="12.75">
      <c r="A22" s="220"/>
      <c r="B22" s="137"/>
      <c r="C22" s="460" t="s">
        <v>444</v>
      </c>
      <c r="D22" s="38">
        <f>+'Attachment A'!AV14</f>
        <v>1151414.5508449026</v>
      </c>
      <c r="E22" s="38">
        <f>+'Attachment A'!AW14</f>
        <v>266458.0759205117</v>
      </c>
      <c r="F22" s="40">
        <f t="shared" si="2"/>
        <v>1417872.6267654144</v>
      </c>
      <c r="G22" s="38"/>
      <c r="H22" s="36">
        <f t="shared" si="0"/>
        <v>1417872.6267654144</v>
      </c>
      <c r="I22" s="39"/>
      <c r="J22" s="221">
        <f t="shared" si="1"/>
        <v>1417872.6267654144</v>
      </c>
    </row>
    <row r="23" spans="1:10" ht="12.75">
      <c r="A23" s="220"/>
      <c r="B23" s="137"/>
      <c r="C23" s="461" t="s">
        <v>644</v>
      </c>
      <c r="D23" s="38"/>
      <c r="E23" s="38">
        <f>+'Attachment A'!J47</f>
        <v>437.47</v>
      </c>
      <c r="F23" s="40">
        <f t="shared" si="2"/>
        <v>437.47</v>
      </c>
      <c r="G23" s="38"/>
      <c r="H23" s="36">
        <f t="shared" si="0"/>
        <v>437.47</v>
      </c>
      <c r="I23" s="39"/>
      <c r="J23" s="221">
        <f t="shared" si="1"/>
        <v>437.47</v>
      </c>
    </row>
    <row r="24" spans="1:10" ht="12.75">
      <c r="A24" s="220"/>
      <c r="B24" s="26"/>
      <c r="C24" s="462"/>
      <c r="D24" s="38"/>
      <c r="E24" s="38"/>
      <c r="F24" s="40">
        <f t="shared" si="2"/>
        <v>0</v>
      </c>
      <c r="G24" s="38"/>
      <c r="H24" s="36">
        <f t="shared" si="0"/>
        <v>0</v>
      </c>
      <c r="I24" s="39"/>
      <c r="J24" s="221">
        <f t="shared" si="1"/>
        <v>0</v>
      </c>
    </row>
    <row r="25" spans="1:10" ht="12.75">
      <c r="A25" s="220"/>
      <c r="B25" s="137"/>
      <c r="C25" s="461" t="s">
        <v>983</v>
      </c>
      <c r="D25" s="38"/>
      <c r="E25" s="38"/>
      <c r="F25" s="40">
        <f t="shared" si="2"/>
        <v>0</v>
      </c>
      <c r="G25" s="38">
        <v>-1596074</v>
      </c>
      <c r="H25" s="36">
        <f t="shared" si="0"/>
        <v>-1596074</v>
      </c>
      <c r="I25" s="39"/>
      <c r="J25" s="221">
        <f t="shared" si="1"/>
        <v>-1596074</v>
      </c>
    </row>
    <row r="26" spans="1:10" ht="12.75">
      <c r="A26" s="220"/>
      <c r="B26" s="137"/>
      <c r="C26" s="460"/>
      <c r="D26" s="38"/>
      <c r="E26" s="38"/>
      <c r="F26" s="40">
        <f t="shared" si="2"/>
        <v>0</v>
      </c>
      <c r="G26" s="38"/>
      <c r="H26" s="36">
        <f t="shared" si="0"/>
        <v>0</v>
      </c>
      <c r="I26" s="39"/>
      <c r="J26" s="221">
        <f t="shared" si="1"/>
        <v>0</v>
      </c>
    </row>
    <row r="27" spans="1:10" ht="12.75">
      <c r="A27" s="220"/>
      <c r="B27" s="137"/>
      <c r="C27" s="462"/>
      <c r="D27" s="38"/>
      <c r="E27" s="38"/>
      <c r="F27" s="40">
        <f t="shared" si="2"/>
        <v>0</v>
      </c>
      <c r="G27" s="38"/>
      <c r="H27" s="36">
        <f t="shared" si="0"/>
        <v>0</v>
      </c>
      <c r="I27" s="39"/>
      <c r="J27" s="221">
        <f t="shared" si="1"/>
        <v>0</v>
      </c>
    </row>
    <row r="28" spans="1:10" ht="12.75">
      <c r="A28" s="220"/>
      <c r="B28" s="137"/>
      <c r="C28" s="462"/>
      <c r="D28" s="38"/>
      <c r="E28" s="38"/>
      <c r="F28" s="40">
        <f t="shared" si="2"/>
        <v>0</v>
      </c>
      <c r="G28" s="38"/>
      <c r="H28" s="36">
        <f t="shared" si="0"/>
        <v>0</v>
      </c>
      <c r="I28" s="39"/>
      <c r="J28" s="221">
        <f t="shared" si="1"/>
        <v>0</v>
      </c>
    </row>
    <row r="29" spans="1:10" ht="12.75">
      <c r="A29" s="220"/>
      <c r="B29" s="137"/>
      <c r="C29" s="462"/>
      <c r="D29" s="38"/>
      <c r="E29" s="38"/>
      <c r="F29" s="40">
        <f t="shared" si="2"/>
        <v>0</v>
      </c>
      <c r="G29" s="38"/>
      <c r="H29" s="36">
        <f t="shared" si="0"/>
        <v>0</v>
      </c>
      <c r="I29" s="39"/>
      <c r="J29" s="221">
        <f t="shared" si="1"/>
        <v>0</v>
      </c>
    </row>
    <row r="30" spans="1:10" ht="12.75">
      <c r="A30" s="220"/>
      <c r="B30" s="27"/>
      <c r="C30" s="462"/>
      <c r="D30" s="38"/>
      <c r="E30" s="38"/>
      <c r="F30" s="40">
        <f t="shared" si="2"/>
        <v>0</v>
      </c>
      <c r="G30" s="38"/>
      <c r="H30" s="36">
        <f t="shared" si="0"/>
        <v>0</v>
      </c>
      <c r="I30" s="39"/>
      <c r="J30" s="221">
        <f t="shared" si="1"/>
        <v>0</v>
      </c>
    </row>
    <row r="31" spans="1:11" ht="12.75">
      <c r="A31" s="220"/>
      <c r="B31" s="137"/>
      <c r="C31" s="462"/>
      <c r="D31" s="38"/>
      <c r="E31" s="38"/>
      <c r="F31" s="40">
        <f t="shared" si="2"/>
        <v>0</v>
      </c>
      <c r="G31" s="38"/>
      <c r="H31" s="40">
        <f t="shared" si="0"/>
        <v>0</v>
      </c>
      <c r="I31" s="38"/>
      <c r="J31" s="222">
        <f t="shared" si="1"/>
        <v>0</v>
      </c>
      <c r="K31" s="33"/>
    </row>
    <row r="32" spans="1:11" ht="12.75">
      <c r="A32" s="220"/>
      <c r="B32" s="137"/>
      <c r="C32" s="462"/>
      <c r="D32" s="38"/>
      <c r="E32" s="38"/>
      <c r="F32" s="40">
        <f t="shared" si="2"/>
        <v>0</v>
      </c>
      <c r="G32" s="38"/>
      <c r="H32" s="40">
        <f t="shared" si="0"/>
        <v>0</v>
      </c>
      <c r="I32" s="38"/>
      <c r="J32" s="222">
        <f t="shared" si="1"/>
        <v>0</v>
      </c>
      <c r="K32" s="33"/>
    </row>
    <row r="33" spans="1:11" ht="12.75" customHeight="1">
      <c r="A33" s="223"/>
      <c r="B33" s="25"/>
      <c r="C33" s="462"/>
      <c r="D33" s="38"/>
      <c r="E33" s="38"/>
      <c r="F33" s="40">
        <f t="shared" si="2"/>
        <v>0</v>
      </c>
      <c r="G33" s="38"/>
      <c r="H33" s="40">
        <f t="shared" si="0"/>
        <v>0</v>
      </c>
      <c r="I33" s="38"/>
      <c r="J33" s="222">
        <f t="shared" si="1"/>
        <v>0</v>
      </c>
      <c r="K33" s="33"/>
    </row>
    <row r="34" spans="1:11" ht="12.75" customHeight="1">
      <c r="A34" s="223"/>
      <c r="B34" s="110"/>
      <c r="C34" s="103"/>
      <c r="D34" s="104"/>
      <c r="E34" s="41"/>
      <c r="F34" s="40">
        <f>SUM(D34:E34)</f>
        <v>0</v>
      </c>
      <c r="G34" s="41"/>
      <c r="H34" s="40">
        <f t="shared" si="0"/>
        <v>0</v>
      </c>
      <c r="I34" s="41"/>
      <c r="J34" s="222">
        <f t="shared" si="1"/>
        <v>0</v>
      </c>
      <c r="K34" s="33"/>
    </row>
    <row r="35" spans="1:10" s="126" customFormat="1" ht="12.75">
      <c r="A35" s="224" t="s">
        <v>73</v>
      </c>
      <c r="B35" s="1142" t="s">
        <v>101</v>
      </c>
      <c r="C35" s="1143"/>
      <c r="D35" s="129">
        <f aca="true" t="shared" si="3" ref="D35:J35">SUM(D19:D34)</f>
        <v>5639252.770813378</v>
      </c>
      <c r="E35" s="129">
        <f t="shared" si="3"/>
        <v>1305462.1959205116</v>
      </c>
      <c r="F35" s="129">
        <f t="shared" si="3"/>
        <v>6944714.96673389</v>
      </c>
      <c r="G35" s="129">
        <f t="shared" si="3"/>
        <v>-1596074</v>
      </c>
      <c r="H35" s="129">
        <f t="shared" si="3"/>
        <v>5348640.96673389</v>
      </c>
      <c r="I35" s="129">
        <f t="shared" si="3"/>
        <v>0</v>
      </c>
      <c r="J35" s="225">
        <f t="shared" si="3"/>
        <v>5348640.96673389</v>
      </c>
    </row>
    <row r="36" spans="1:10" ht="12" customHeight="1">
      <c r="A36" s="245">
        <v>2</v>
      </c>
      <c r="B36" s="7" t="s">
        <v>221</v>
      </c>
      <c r="C36" s="7"/>
      <c r="D36" s="8"/>
      <c r="E36" s="9"/>
      <c r="F36" s="8"/>
      <c r="G36" s="8"/>
      <c r="H36" s="8"/>
      <c r="I36" s="8"/>
      <c r="J36" s="215"/>
    </row>
    <row r="37" spans="1:10" ht="12.75">
      <c r="A37" s="218" t="s">
        <v>70</v>
      </c>
      <c r="B37" s="444" t="s">
        <v>222</v>
      </c>
      <c r="C37" s="442"/>
      <c r="D37" s="29"/>
      <c r="E37" s="29">
        <f>+'Attachment A'!C16</f>
        <v>215080</v>
      </c>
      <c r="F37" s="35">
        <f>SUM(D37:E37)</f>
        <v>215080</v>
      </c>
      <c r="G37" s="29"/>
      <c r="H37" s="28">
        <f aca="true" t="shared" si="4" ref="H37:H46">F37+G37</f>
        <v>215080</v>
      </c>
      <c r="I37" s="29"/>
      <c r="J37" s="227">
        <f aca="true" t="shared" si="5" ref="J37:J46">H37+I37</f>
        <v>215080</v>
      </c>
    </row>
    <row r="38" spans="1:10" ht="12.75">
      <c r="A38" s="220" t="s">
        <v>71</v>
      </c>
      <c r="B38" s="441" t="s">
        <v>77</v>
      </c>
      <c r="C38" s="446"/>
      <c r="D38" s="29"/>
      <c r="E38" s="29">
        <f>+'Attachment A'!C17</f>
        <v>36561</v>
      </c>
      <c r="F38" s="40">
        <f aca="true" t="shared" si="6" ref="F38:F45">SUM(D38:E38)</f>
        <v>36561</v>
      </c>
      <c r="G38" s="29"/>
      <c r="H38" s="28">
        <f t="shared" si="4"/>
        <v>36561</v>
      </c>
      <c r="I38" s="29"/>
      <c r="J38" s="227">
        <f t="shared" si="5"/>
        <v>36561</v>
      </c>
    </row>
    <row r="39" spans="1:10" ht="12.75">
      <c r="A39" s="220" t="s">
        <v>72</v>
      </c>
      <c r="B39" s="23" t="s">
        <v>88</v>
      </c>
      <c r="C39" s="23"/>
      <c r="D39" s="29"/>
      <c r="E39" s="29">
        <f>+'Attachment A'!C18</f>
        <v>245733</v>
      </c>
      <c r="F39" s="40">
        <f t="shared" si="6"/>
        <v>245733</v>
      </c>
      <c r="G39" s="29"/>
      <c r="H39" s="28">
        <f t="shared" si="4"/>
        <v>245733</v>
      </c>
      <c r="I39" s="29"/>
      <c r="J39" s="227">
        <f t="shared" si="5"/>
        <v>245733</v>
      </c>
    </row>
    <row r="40" spans="1:10" ht="12.75">
      <c r="A40" s="220" t="s">
        <v>73</v>
      </c>
      <c r="B40" s="23" t="s">
        <v>79</v>
      </c>
      <c r="C40" s="23"/>
      <c r="D40" s="29"/>
      <c r="E40" s="29">
        <f>+'Attachment A'!C19</f>
        <v>11391</v>
      </c>
      <c r="F40" s="40">
        <f t="shared" si="6"/>
        <v>11391</v>
      </c>
      <c r="G40" s="29"/>
      <c r="H40" s="28">
        <f t="shared" si="4"/>
        <v>11391</v>
      </c>
      <c r="I40" s="29"/>
      <c r="J40" s="227">
        <f t="shared" si="5"/>
        <v>11391</v>
      </c>
    </row>
    <row r="41" spans="1:10" ht="12.75">
      <c r="A41" s="220" t="s">
        <v>80</v>
      </c>
      <c r="B41" s="1129" t="s">
        <v>69</v>
      </c>
      <c r="C41" s="1130"/>
      <c r="D41" s="29"/>
      <c r="E41" s="29"/>
      <c r="F41" s="40"/>
      <c r="G41" s="29"/>
      <c r="H41" s="28"/>
      <c r="I41" s="29"/>
      <c r="J41" s="227"/>
    </row>
    <row r="42" spans="1:10" ht="12.75">
      <c r="A42" s="220"/>
      <c r="B42" s="137"/>
      <c r="C42" s="460" t="s">
        <v>444</v>
      </c>
      <c r="D42" s="29"/>
      <c r="E42" s="29">
        <f>+'Attachment A'!J42</f>
        <v>981828.0585941758</v>
      </c>
      <c r="F42" s="40">
        <f t="shared" si="6"/>
        <v>981828.0585941758</v>
      </c>
      <c r="G42" s="29"/>
      <c r="H42" s="28">
        <f t="shared" si="4"/>
        <v>981828.0585941758</v>
      </c>
      <c r="I42" s="29"/>
      <c r="J42" s="227">
        <f t="shared" si="5"/>
        <v>981828.0585941758</v>
      </c>
    </row>
    <row r="43" spans="1:10" ht="12.75">
      <c r="A43" s="220"/>
      <c r="B43" s="26"/>
      <c r="C43" s="461" t="s">
        <v>983</v>
      </c>
      <c r="D43" s="29"/>
      <c r="E43" s="29"/>
      <c r="F43" s="40">
        <f t="shared" si="6"/>
        <v>0</v>
      </c>
      <c r="G43" s="29">
        <f>-50314-399018</f>
        <v>-449332</v>
      </c>
      <c r="H43" s="28">
        <f t="shared" si="4"/>
        <v>-449332</v>
      </c>
      <c r="I43" s="29"/>
      <c r="J43" s="227">
        <f t="shared" si="5"/>
        <v>-449332</v>
      </c>
    </row>
    <row r="44" spans="1:10" ht="12.75">
      <c r="A44" s="223"/>
      <c r="B44" s="137"/>
      <c r="C44" s="462"/>
      <c r="D44" s="29"/>
      <c r="E44" s="29"/>
      <c r="F44" s="40">
        <f t="shared" si="6"/>
        <v>0</v>
      </c>
      <c r="G44" s="29"/>
      <c r="H44" s="28">
        <f t="shared" si="4"/>
        <v>0</v>
      </c>
      <c r="I44" s="29"/>
      <c r="J44" s="227">
        <f t="shared" si="5"/>
        <v>0</v>
      </c>
    </row>
    <row r="45" spans="1:10" ht="12.75">
      <c r="A45" s="223"/>
      <c r="B45" s="137"/>
      <c r="C45" s="462"/>
      <c r="D45" s="29"/>
      <c r="E45" s="29"/>
      <c r="F45" s="40">
        <f t="shared" si="6"/>
        <v>0</v>
      </c>
      <c r="G45" s="29"/>
      <c r="H45" s="28">
        <f t="shared" si="4"/>
        <v>0</v>
      </c>
      <c r="I45" s="29"/>
      <c r="J45" s="227">
        <f t="shared" si="5"/>
        <v>0</v>
      </c>
    </row>
    <row r="46" spans="1:10" ht="12.75">
      <c r="A46" s="223"/>
      <c r="B46" s="106"/>
      <c r="C46" s="437"/>
      <c r="D46" s="105"/>
      <c r="E46" s="29"/>
      <c r="F46" s="40">
        <f>SUM(D46:E46)</f>
        <v>0</v>
      </c>
      <c r="G46" s="29"/>
      <c r="H46" s="28">
        <f t="shared" si="4"/>
        <v>0</v>
      </c>
      <c r="I46" s="29"/>
      <c r="J46" s="227">
        <f t="shared" si="5"/>
        <v>0</v>
      </c>
    </row>
    <row r="47" spans="1:10" s="126" customFormat="1" ht="12.75">
      <c r="A47" s="228" t="s">
        <v>81</v>
      </c>
      <c r="B47" s="111" t="s">
        <v>98</v>
      </c>
      <c r="C47" s="127"/>
      <c r="D47" s="128">
        <f aca="true" t="shared" si="7" ref="D47:J47">SUM(D37:D46)</f>
        <v>0</v>
      </c>
      <c r="E47" s="128">
        <f t="shared" si="7"/>
        <v>1490593.0585941758</v>
      </c>
      <c r="F47" s="128">
        <f t="shared" si="7"/>
        <v>1490593.0585941758</v>
      </c>
      <c r="G47" s="128">
        <f t="shared" si="7"/>
        <v>-449332</v>
      </c>
      <c r="H47" s="128">
        <f t="shared" si="7"/>
        <v>1041261.0585941758</v>
      </c>
      <c r="I47" s="128">
        <f t="shared" si="7"/>
        <v>0</v>
      </c>
      <c r="J47" s="229">
        <f t="shared" si="7"/>
        <v>1041261.0585941758</v>
      </c>
    </row>
    <row r="48" spans="1:10" ht="12.75">
      <c r="A48" s="230"/>
      <c r="B48" s="10"/>
      <c r="C48" s="107"/>
      <c r="D48" s="109"/>
      <c r="E48" s="109"/>
      <c r="F48" s="109"/>
      <c r="G48" s="109"/>
      <c r="H48" s="109"/>
      <c r="I48" s="109"/>
      <c r="J48" s="231"/>
    </row>
    <row r="49" spans="1:10" s="126" customFormat="1" ht="12.75">
      <c r="A49" s="242">
        <v>3</v>
      </c>
      <c r="B49" s="11" t="s">
        <v>336</v>
      </c>
      <c r="C49" s="11"/>
      <c r="D49" s="129">
        <f>D47+D35</f>
        <v>5639252.770813378</v>
      </c>
      <c r="E49" s="129">
        <f aca="true" t="shared" si="8" ref="E49:J49">E47+E35</f>
        <v>2796055.2545146877</v>
      </c>
      <c r="F49" s="129">
        <f t="shared" si="8"/>
        <v>8435308.025328066</v>
      </c>
      <c r="G49" s="129">
        <f t="shared" si="8"/>
        <v>-2045406</v>
      </c>
      <c r="H49" s="129">
        <f t="shared" si="8"/>
        <v>6389902.025328065</v>
      </c>
      <c r="I49" s="129">
        <f t="shared" si="8"/>
        <v>0</v>
      </c>
      <c r="J49" s="225">
        <f t="shared" si="8"/>
        <v>6389902.025328065</v>
      </c>
    </row>
    <row r="50" spans="1:10" ht="13.5" thickBot="1">
      <c r="A50" s="243"/>
      <c r="B50" s="234"/>
      <c r="C50" s="234"/>
      <c r="D50" s="235"/>
      <c r="E50" s="235"/>
      <c r="F50" s="235"/>
      <c r="G50" s="235"/>
      <c r="H50" s="235"/>
      <c r="I50" s="235"/>
      <c r="J50" s="237"/>
    </row>
  </sheetData>
  <sheetProtection password="E1AE" sheet="1" formatColumns="0" formatRows="0"/>
  <mergeCells count="15">
    <mergeCell ref="B41:C41"/>
    <mergeCell ref="C8:H8"/>
    <mergeCell ref="B17:C17"/>
    <mergeCell ref="A11:J11"/>
    <mergeCell ref="A14:C15"/>
    <mergeCell ref="B18:C18"/>
    <mergeCell ref="B19:C19"/>
    <mergeCell ref="B20:C20"/>
    <mergeCell ref="A1:J1"/>
    <mergeCell ref="A2:J2"/>
    <mergeCell ref="A3:J3"/>
    <mergeCell ref="A4:J4"/>
    <mergeCell ref="I6:J6"/>
    <mergeCell ref="B35:C35"/>
    <mergeCell ref="E6:F6"/>
  </mergeCells>
  <printOptions horizontalCentered="1" verticalCentered="1"/>
  <pageMargins left="0.25" right="0.25" top="0.25" bottom="0.5" header="0.5" footer="0.25"/>
  <pageSetup horizontalDpi="600" verticalDpi="600" orientation="landscape" scale="82" r:id="rId1"/>
  <headerFooter alignWithMargins="0">
    <oddFooter>&amp;LDSS-16 10-24-2016&amp;RPage 4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S48"/>
  <sheetViews>
    <sheetView zoomScalePageLayoutView="0" workbookViewId="0" topLeftCell="A4">
      <selection activeCell="G41" sqref="G41"/>
    </sheetView>
  </sheetViews>
  <sheetFormatPr defaultColWidth="9.7109375" defaultRowHeight="12.75"/>
  <cols>
    <col min="1" max="1" width="4.7109375" style="22" customWidth="1"/>
    <col min="2" max="2" width="13.57421875" style="22" customWidth="1"/>
    <col min="3" max="3" width="47.8515625" style="22" customWidth="1"/>
    <col min="4" max="4" width="13.00390625" style="22" customWidth="1"/>
    <col min="5" max="5" width="12.421875" style="31" customWidth="1"/>
    <col min="6" max="6" width="12.140625" style="22" customWidth="1"/>
    <col min="7" max="7" width="11.7109375" style="22" customWidth="1"/>
    <col min="8" max="8" width="13.421875" style="22" customWidth="1"/>
    <col min="9" max="9" width="11.28125" style="22" customWidth="1"/>
    <col min="10" max="10" width="14.140625" style="22" customWidth="1"/>
    <col min="11" max="16384" width="9.7109375" style="22" customWidth="1"/>
  </cols>
  <sheetData>
    <row r="1" spans="1:15" s="18" customFormat="1" ht="12.75">
      <c r="A1" s="1107" t="s">
        <v>45</v>
      </c>
      <c r="B1" s="1107"/>
      <c r="C1" s="1107"/>
      <c r="D1" s="1107"/>
      <c r="E1" s="1107"/>
      <c r="F1" s="1107"/>
      <c r="G1" s="1107"/>
      <c r="H1" s="1107"/>
      <c r="I1" s="1107"/>
      <c r="J1" s="1107"/>
      <c r="K1" s="75"/>
      <c r="L1" s="75"/>
      <c r="M1" s="75"/>
      <c r="N1" s="75"/>
      <c r="O1" s="75"/>
    </row>
    <row r="2" spans="1:15" s="18" customFormat="1" ht="12.75">
      <c r="A2" s="1107" t="s">
        <v>46</v>
      </c>
      <c r="B2" s="1107"/>
      <c r="C2" s="1107"/>
      <c r="D2" s="1107"/>
      <c r="E2" s="1107"/>
      <c r="F2" s="1107"/>
      <c r="G2" s="1107"/>
      <c r="H2" s="1107"/>
      <c r="I2" s="1107"/>
      <c r="J2" s="1107"/>
      <c r="K2" s="75"/>
      <c r="L2" s="75"/>
      <c r="M2" s="75"/>
      <c r="N2" s="75"/>
      <c r="O2" s="75"/>
    </row>
    <row r="3" spans="1:15" s="18" customFormat="1" ht="12.75">
      <c r="A3" s="1107" t="s">
        <v>47</v>
      </c>
      <c r="B3" s="1107"/>
      <c r="C3" s="1107"/>
      <c r="D3" s="1107"/>
      <c r="E3" s="1107"/>
      <c r="F3" s="1107"/>
      <c r="G3" s="1107"/>
      <c r="H3" s="1107"/>
      <c r="I3" s="1107"/>
      <c r="J3" s="1107"/>
      <c r="K3" s="75"/>
      <c r="L3" s="75"/>
      <c r="M3" s="75"/>
      <c r="N3" s="75"/>
      <c r="O3" s="75"/>
    </row>
    <row r="4" spans="1:15" s="18" customFormat="1" ht="12.75">
      <c r="A4" s="1107" t="s">
        <v>48</v>
      </c>
      <c r="B4" s="1107"/>
      <c r="C4" s="1107"/>
      <c r="D4" s="1107"/>
      <c r="E4" s="1107"/>
      <c r="F4" s="1107"/>
      <c r="G4" s="1107"/>
      <c r="H4" s="1107"/>
      <c r="I4" s="1107"/>
      <c r="J4" s="1107"/>
      <c r="K4" s="75"/>
      <c r="L4" s="75"/>
      <c r="M4" s="75"/>
      <c r="N4" s="75"/>
      <c r="O4" s="75"/>
    </row>
    <row r="5" spans="1:19" s="18" customFormat="1" ht="13.5" thickBot="1">
      <c r="A5" s="12"/>
      <c r="B5" s="13"/>
      <c r="C5" s="13"/>
      <c r="D5" s="440"/>
      <c r="E5" s="440"/>
      <c r="F5" s="440"/>
      <c r="G5" s="440"/>
      <c r="H5" s="440"/>
      <c r="I5" s="440"/>
      <c r="J5" s="440"/>
      <c r="K5" s="76"/>
      <c r="L5" s="76"/>
      <c r="M5" s="76"/>
      <c r="N5" s="76"/>
      <c r="O5" s="76"/>
      <c r="P5" s="87"/>
      <c r="Q5" s="87"/>
      <c r="R5" s="87"/>
      <c r="S5" s="87"/>
    </row>
    <row r="6" spans="1:19" s="18" customFormat="1" ht="20.25" customHeight="1">
      <c r="A6" s="93"/>
      <c r="B6" s="77" t="s">
        <v>54</v>
      </c>
      <c r="C6" s="78"/>
      <c r="D6" s="78" t="s">
        <v>6</v>
      </c>
      <c r="E6" s="1114">
        <f>'P1 Info &amp; Certification'!L20</f>
        <v>44013</v>
      </c>
      <c r="F6" s="1114"/>
      <c r="G6" s="96"/>
      <c r="H6" s="95" t="s">
        <v>7</v>
      </c>
      <c r="I6" s="1114">
        <f>'P1 Info &amp; Certification'!N20</f>
        <v>44377</v>
      </c>
      <c r="J6" s="1131"/>
      <c r="K6" s="88"/>
      <c r="L6" s="32"/>
      <c r="M6" s="92"/>
      <c r="N6" s="92"/>
      <c r="O6" s="32"/>
      <c r="P6" s="87"/>
      <c r="Q6" s="87"/>
      <c r="R6" s="87"/>
      <c r="S6" s="87"/>
    </row>
    <row r="7" spans="1:19" s="18" customFormat="1" ht="12.75">
      <c r="A7" s="83"/>
      <c r="B7" s="458"/>
      <c r="C7" s="458"/>
      <c r="D7" s="458"/>
      <c r="E7" s="13"/>
      <c r="F7" s="13"/>
      <c r="G7" s="13"/>
      <c r="H7" s="13"/>
      <c r="I7" s="13"/>
      <c r="J7" s="81"/>
      <c r="K7" s="13"/>
      <c r="L7" s="13"/>
      <c r="M7" s="13"/>
      <c r="N7" s="13"/>
      <c r="O7" s="13"/>
      <c r="P7" s="87"/>
      <c r="Q7" s="87"/>
      <c r="R7" s="87"/>
      <c r="S7" s="87"/>
    </row>
    <row r="8" spans="1:19" s="18" customFormat="1" ht="26.25" customHeight="1" thickBot="1">
      <c r="A8" s="97"/>
      <c r="B8" s="445" t="s">
        <v>59</v>
      </c>
      <c r="C8" s="1149" t="str">
        <f>'P1 Info &amp; Certification'!E12</f>
        <v>COMMUNITY HEALTH CENTER, INC.</v>
      </c>
      <c r="D8" s="1149"/>
      <c r="E8" s="1149"/>
      <c r="F8" s="1149"/>
      <c r="G8" s="1149"/>
      <c r="H8" s="1149"/>
      <c r="I8" s="463"/>
      <c r="J8" s="464"/>
      <c r="K8" s="91"/>
      <c r="L8" s="91"/>
      <c r="M8" s="91"/>
      <c r="N8" s="91"/>
      <c r="O8" s="91"/>
      <c r="P8" s="87"/>
      <c r="Q8" s="87"/>
      <c r="R8" s="87"/>
      <c r="S8" s="87"/>
    </row>
    <row r="9" spans="1:10" s="18" customFormat="1" ht="12.75">
      <c r="A9" s="16"/>
      <c r="B9" s="19"/>
      <c r="C9" s="19"/>
      <c r="D9" s="19"/>
      <c r="E9" s="20"/>
      <c r="F9" s="19"/>
      <c r="G9" s="21"/>
      <c r="H9" s="19"/>
      <c r="I9" s="19"/>
      <c r="J9" s="19"/>
    </row>
    <row r="10" spans="1:10" s="18" customFormat="1" ht="13.5" thickBot="1">
      <c r="A10" s="16"/>
      <c r="B10" s="19"/>
      <c r="C10" s="19"/>
      <c r="D10" s="19"/>
      <c r="E10" s="20"/>
      <c r="F10" s="19"/>
      <c r="G10" s="21"/>
      <c r="H10" s="19"/>
      <c r="I10" s="19"/>
      <c r="J10" s="17" t="s">
        <v>223</v>
      </c>
    </row>
    <row r="11" spans="1:10" s="18" customFormat="1" ht="19.5" customHeight="1">
      <c r="A11" s="1146" t="s">
        <v>290</v>
      </c>
      <c r="B11" s="1147"/>
      <c r="C11" s="1147"/>
      <c r="D11" s="1147"/>
      <c r="E11" s="1147"/>
      <c r="F11" s="1147"/>
      <c r="G11" s="1147"/>
      <c r="H11" s="1147"/>
      <c r="I11" s="1147"/>
      <c r="J11" s="1148"/>
    </row>
    <row r="12" spans="1:10" s="18" customFormat="1" ht="13.5" thickBot="1">
      <c r="A12" s="113"/>
      <c r="B12" s="114"/>
      <c r="C12" s="114"/>
      <c r="D12" s="114"/>
      <c r="E12" s="115"/>
      <c r="F12" s="114"/>
      <c r="G12" s="114"/>
      <c r="H12" s="114"/>
      <c r="I12" s="114"/>
      <c r="J12" s="116"/>
    </row>
    <row r="13" spans="1:10" s="30" customFormat="1" ht="10.5" customHeight="1">
      <c r="A13" s="117"/>
      <c r="B13" s="118"/>
      <c r="C13" s="119"/>
      <c r="D13" s="1"/>
      <c r="E13" s="2" t="s">
        <v>2</v>
      </c>
      <c r="F13" s="1"/>
      <c r="G13" s="1" t="s">
        <v>10</v>
      </c>
      <c r="H13" s="1" t="s">
        <v>11</v>
      </c>
      <c r="I13" s="1" t="s">
        <v>12</v>
      </c>
      <c r="J13" s="212" t="s">
        <v>13</v>
      </c>
    </row>
    <row r="14" spans="1:10" s="30" customFormat="1" ht="10.5" customHeight="1">
      <c r="A14" s="1136" t="s">
        <v>74</v>
      </c>
      <c r="B14" s="1137"/>
      <c r="C14" s="1138"/>
      <c r="D14" s="1" t="s">
        <v>9</v>
      </c>
      <c r="E14" s="2" t="s">
        <v>14</v>
      </c>
      <c r="F14" s="1"/>
      <c r="G14" s="1" t="s">
        <v>15</v>
      </c>
      <c r="H14" s="1" t="s">
        <v>16</v>
      </c>
      <c r="I14" s="1" t="s">
        <v>17</v>
      </c>
      <c r="J14" s="212" t="s">
        <v>18</v>
      </c>
    </row>
    <row r="15" spans="1:10" ht="10.5" customHeight="1">
      <c r="A15" s="1136"/>
      <c r="B15" s="1137"/>
      <c r="C15" s="1138"/>
      <c r="D15" s="1" t="s">
        <v>0</v>
      </c>
      <c r="E15" s="2" t="s">
        <v>19</v>
      </c>
      <c r="F15" s="1" t="s">
        <v>1</v>
      </c>
      <c r="G15" s="1" t="s">
        <v>20</v>
      </c>
      <c r="H15" s="1" t="s">
        <v>21</v>
      </c>
      <c r="I15" s="1" t="s">
        <v>291</v>
      </c>
      <c r="J15" s="212" t="s">
        <v>22</v>
      </c>
    </row>
    <row r="16" spans="1:10" ht="10.5" customHeight="1" thickBot="1">
      <c r="A16" s="120"/>
      <c r="B16" s="121"/>
      <c r="C16" s="122"/>
      <c r="D16" s="6" t="s">
        <v>60</v>
      </c>
      <c r="E16" s="4" t="s">
        <v>61</v>
      </c>
      <c r="F16" s="5" t="s">
        <v>62</v>
      </c>
      <c r="G16" s="6" t="s">
        <v>63</v>
      </c>
      <c r="H16" s="6" t="s">
        <v>64</v>
      </c>
      <c r="I16" s="6" t="s">
        <v>65</v>
      </c>
      <c r="J16" s="6" t="s">
        <v>66</v>
      </c>
    </row>
    <row r="17" spans="1:10" ht="12" customHeight="1">
      <c r="A17" s="213" t="s">
        <v>91</v>
      </c>
      <c r="B17" s="1145" t="s">
        <v>253</v>
      </c>
      <c r="C17" s="1145"/>
      <c r="D17" s="8"/>
      <c r="E17" s="9"/>
      <c r="F17" s="8"/>
      <c r="G17" s="8"/>
      <c r="H17" s="8"/>
      <c r="I17" s="8"/>
      <c r="J17" s="215"/>
    </row>
    <row r="18" spans="1:10" ht="12" customHeight="1">
      <c r="A18" s="244" t="s">
        <v>49</v>
      </c>
      <c r="B18" s="1134" t="s">
        <v>67</v>
      </c>
      <c r="C18" s="1135"/>
      <c r="D18" s="100"/>
      <c r="E18" s="101"/>
      <c r="F18" s="100"/>
      <c r="G18" s="100"/>
      <c r="H18" s="8"/>
      <c r="I18" s="100"/>
      <c r="J18" s="217"/>
    </row>
    <row r="19" spans="1:10" ht="12.75">
      <c r="A19" s="218" t="s">
        <v>70</v>
      </c>
      <c r="B19" s="1132" t="s">
        <v>89</v>
      </c>
      <c r="C19" s="1133"/>
      <c r="D19" s="34">
        <f>+'Attachment A'!AM14</f>
        <v>2252012.599549003</v>
      </c>
      <c r="E19" s="34">
        <f>+'Attachment A'!AN14</f>
        <v>521156.31</v>
      </c>
      <c r="F19" s="35">
        <f>SUM(D19:E19)</f>
        <v>2773168.909549003</v>
      </c>
      <c r="G19" s="34"/>
      <c r="H19" s="36">
        <f aca="true" t="shared" si="0" ref="H19:H29">F19+G19</f>
        <v>2773168.909549003</v>
      </c>
      <c r="I19" s="37"/>
      <c r="J19" s="219">
        <f aca="true" t="shared" si="1" ref="J19:J29">H19+I19</f>
        <v>2773168.909549003</v>
      </c>
    </row>
    <row r="20" spans="1:10" ht="12.75">
      <c r="A20" s="220" t="s">
        <v>71</v>
      </c>
      <c r="B20" s="1129" t="s">
        <v>90</v>
      </c>
      <c r="C20" s="1130"/>
      <c r="D20" s="38">
        <f>+'Attachment A'!AM15</f>
        <v>10692256</v>
      </c>
      <c r="E20" s="38">
        <f>+'Attachment A'!AN15</f>
        <v>2474380.75</v>
      </c>
      <c r="F20" s="36">
        <f>SUM(D20:E20)</f>
        <v>13166636.75</v>
      </c>
      <c r="G20" s="38"/>
      <c r="H20" s="36">
        <f t="shared" si="0"/>
        <v>13166636.75</v>
      </c>
      <c r="I20" s="39"/>
      <c r="J20" s="221">
        <f t="shared" si="1"/>
        <v>13166636.75</v>
      </c>
    </row>
    <row r="21" spans="1:10" ht="12.75">
      <c r="A21" s="220" t="s">
        <v>72</v>
      </c>
      <c r="B21" s="441" t="s">
        <v>69</v>
      </c>
      <c r="C21" s="442"/>
      <c r="D21" s="38"/>
      <c r="E21" s="38"/>
      <c r="F21" s="36"/>
      <c r="G21" s="38"/>
      <c r="H21" s="36"/>
      <c r="I21" s="39"/>
      <c r="J21" s="221"/>
    </row>
    <row r="22" spans="1:10" ht="12.75">
      <c r="A22" s="220"/>
      <c r="B22" s="465"/>
      <c r="C22" s="460" t="s">
        <v>444</v>
      </c>
      <c r="D22" s="38">
        <f>+'Attachment A'!AZ24</f>
        <v>6276121.970042053</v>
      </c>
      <c r="E22" s="38">
        <f>+'Attachment A'!BA24</f>
        <v>1452407.7426585788</v>
      </c>
      <c r="F22" s="36">
        <f>SUM(D22:E22)</f>
        <v>7728529.7127006315</v>
      </c>
      <c r="G22" s="38"/>
      <c r="H22" s="36">
        <f t="shared" si="0"/>
        <v>7728529.7127006315</v>
      </c>
      <c r="I22" s="39"/>
      <c r="J22" s="221">
        <f t="shared" si="1"/>
        <v>7728529.7127006315</v>
      </c>
    </row>
    <row r="23" spans="1:10" ht="12.75">
      <c r="A23" s="220"/>
      <c r="B23" s="465"/>
      <c r="C23" s="461" t="s">
        <v>644</v>
      </c>
      <c r="D23" s="38"/>
      <c r="E23" s="38">
        <f>+'Attachment A'!M47</f>
        <v>562025</v>
      </c>
      <c r="F23" s="36">
        <f aca="true" t="shared" si="2" ref="F23:F28">SUM(D23:E23)</f>
        <v>562025</v>
      </c>
      <c r="G23" s="38"/>
      <c r="H23" s="36">
        <f t="shared" si="0"/>
        <v>562025</v>
      </c>
      <c r="I23" s="39"/>
      <c r="J23" s="221">
        <f t="shared" si="1"/>
        <v>562025</v>
      </c>
    </row>
    <row r="24" spans="1:10" ht="12.75">
      <c r="A24" s="220"/>
      <c r="B24" s="466"/>
      <c r="C24" s="461"/>
      <c r="D24" s="38"/>
      <c r="E24" s="38"/>
      <c r="F24" s="36">
        <f t="shared" si="2"/>
        <v>0</v>
      </c>
      <c r="G24" s="38"/>
      <c r="H24" s="36">
        <f t="shared" si="0"/>
        <v>0</v>
      </c>
      <c r="I24" s="39"/>
      <c r="J24" s="221">
        <f t="shared" si="1"/>
        <v>0</v>
      </c>
    </row>
    <row r="25" spans="1:10" ht="12.75">
      <c r="A25" s="220"/>
      <c r="B25" s="465"/>
      <c r="C25" s="462"/>
      <c r="D25" s="38"/>
      <c r="E25" s="38"/>
      <c r="F25" s="36">
        <f t="shared" si="2"/>
        <v>0</v>
      </c>
      <c r="G25" s="38"/>
      <c r="H25" s="36">
        <f t="shared" si="0"/>
        <v>0</v>
      </c>
      <c r="I25" s="39"/>
      <c r="J25" s="221">
        <f t="shared" si="1"/>
        <v>0</v>
      </c>
    </row>
    <row r="26" spans="1:11" ht="12.75">
      <c r="A26" s="220"/>
      <c r="B26" s="465"/>
      <c r="C26" s="462"/>
      <c r="D26" s="38"/>
      <c r="E26" s="38"/>
      <c r="F26" s="36">
        <f t="shared" si="2"/>
        <v>0</v>
      </c>
      <c r="G26" s="38"/>
      <c r="H26" s="40">
        <f t="shared" si="0"/>
        <v>0</v>
      </c>
      <c r="I26" s="38"/>
      <c r="J26" s="222">
        <f t="shared" si="1"/>
        <v>0</v>
      </c>
      <c r="K26" s="33"/>
    </row>
    <row r="27" spans="1:11" ht="12.75">
      <c r="A27" s="220"/>
      <c r="B27" s="465"/>
      <c r="C27" s="462"/>
      <c r="D27" s="38"/>
      <c r="E27" s="38"/>
      <c r="F27" s="36">
        <f t="shared" si="2"/>
        <v>0</v>
      </c>
      <c r="G27" s="38"/>
      <c r="H27" s="40">
        <f t="shared" si="0"/>
        <v>0</v>
      </c>
      <c r="I27" s="38"/>
      <c r="J27" s="222">
        <f t="shared" si="1"/>
        <v>0</v>
      </c>
      <c r="K27" s="33"/>
    </row>
    <row r="28" spans="1:11" ht="12.75" customHeight="1">
      <c r="A28" s="223"/>
      <c r="B28" s="25"/>
      <c r="C28" s="462"/>
      <c r="D28" s="38"/>
      <c r="E28" s="38"/>
      <c r="F28" s="36">
        <f t="shared" si="2"/>
        <v>0</v>
      </c>
      <c r="G28" s="38"/>
      <c r="H28" s="40">
        <f t="shared" si="0"/>
        <v>0</v>
      </c>
      <c r="I28" s="38"/>
      <c r="J28" s="222">
        <f t="shared" si="1"/>
        <v>0</v>
      </c>
      <c r="K28" s="33"/>
    </row>
    <row r="29" spans="1:11" ht="12.75" customHeight="1">
      <c r="A29" s="223"/>
      <c r="B29" s="110"/>
      <c r="C29" s="460"/>
      <c r="D29" s="104"/>
      <c r="E29" s="41"/>
      <c r="F29" s="40">
        <f>SUM(D29:E29)</f>
        <v>0</v>
      </c>
      <c r="G29" s="41"/>
      <c r="H29" s="40">
        <f t="shared" si="0"/>
        <v>0</v>
      </c>
      <c r="I29" s="41"/>
      <c r="J29" s="222">
        <f t="shared" si="1"/>
        <v>0</v>
      </c>
      <c r="K29" s="33"/>
    </row>
    <row r="30" spans="1:10" s="126" customFormat="1" ht="12.75">
      <c r="A30" s="224" t="s">
        <v>73</v>
      </c>
      <c r="B30" s="1142" t="s">
        <v>224</v>
      </c>
      <c r="C30" s="1143"/>
      <c r="D30" s="129">
        <f aca="true" t="shared" si="3" ref="D30:J30">SUM(D19:D29)</f>
        <v>19220390.569591057</v>
      </c>
      <c r="E30" s="129">
        <f t="shared" si="3"/>
        <v>5009969.802658578</v>
      </c>
      <c r="F30" s="129">
        <f t="shared" si="3"/>
        <v>24230360.372249633</v>
      </c>
      <c r="G30" s="129">
        <f t="shared" si="3"/>
        <v>0</v>
      </c>
      <c r="H30" s="129">
        <f t="shared" si="3"/>
        <v>24230360.372249633</v>
      </c>
      <c r="I30" s="129">
        <f t="shared" si="3"/>
        <v>0</v>
      </c>
      <c r="J30" s="225">
        <f t="shared" si="3"/>
        <v>24230360.372249633</v>
      </c>
    </row>
    <row r="31" spans="1:10" ht="12" customHeight="1">
      <c r="A31" s="335" t="s">
        <v>50</v>
      </c>
      <c r="B31" s="7" t="s">
        <v>225</v>
      </c>
      <c r="C31" s="7"/>
      <c r="D31" s="8"/>
      <c r="E31" s="9"/>
      <c r="F31" s="8"/>
      <c r="G31" s="8"/>
      <c r="H31" s="8"/>
      <c r="I31" s="8"/>
      <c r="J31" s="215"/>
    </row>
    <row r="32" spans="1:10" ht="12.75">
      <c r="A32" s="218" t="s">
        <v>70</v>
      </c>
      <c r="B32" s="446" t="s">
        <v>76</v>
      </c>
      <c r="C32" s="442"/>
      <c r="D32" s="29"/>
      <c r="E32" s="29">
        <f>+'Attachment A'!C24</f>
        <v>30602</v>
      </c>
      <c r="F32" s="35">
        <f>SUM(D32:E32)</f>
        <v>30602</v>
      </c>
      <c r="G32" s="29"/>
      <c r="H32" s="28">
        <f aca="true" t="shared" si="4" ref="H32:H41">F32+G32</f>
        <v>30602</v>
      </c>
      <c r="I32" s="29"/>
      <c r="J32" s="227">
        <f aca="true" t="shared" si="5" ref="J32:J41">H32+I32</f>
        <v>30602</v>
      </c>
    </row>
    <row r="33" spans="1:10" ht="12.75">
      <c r="A33" s="220" t="s">
        <v>71</v>
      </c>
      <c r="B33" s="441" t="s">
        <v>77</v>
      </c>
      <c r="C33" s="446"/>
      <c r="D33" s="29"/>
      <c r="E33" s="29">
        <f>+'Attachment A'!C25</f>
        <v>3021</v>
      </c>
      <c r="F33" s="36">
        <f aca="true" t="shared" si="6" ref="F33:F40">SUM(D33:E33)</f>
        <v>3021</v>
      </c>
      <c r="G33" s="29">
        <f>+'Attachment A'!AC34</f>
        <v>25641</v>
      </c>
      <c r="H33" s="28">
        <f t="shared" si="4"/>
        <v>28662</v>
      </c>
      <c r="I33" s="29"/>
      <c r="J33" s="227">
        <f t="shared" si="5"/>
        <v>28662</v>
      </c>
    </row>
    <row r="34" spans="1:10" ht="12.75">
      <c r="A34" s="220" t="s">
        <v>72</v>
      </c>
      <c r="B34" s="23" t="s">
        <v>216</v>
      </c>
      <c r="C34" s="23"/>
      <c r="D34" s="29"/>
      <c r="E34" s="29">
        <f>+'Attachment A'!C26</f>
        <v>113701</v>
      </c>
      <c r="F34" s="36">
        <f t="shared" si="6"/>
        <v>113701</v>
      </c>
      <c r="G34" s="29">
        <f>+'Attachment A'!AD34</f>
        <v>51743.342735587</v>
      </c>
      <c r="H34" s="28">
        <f t="shared" si="4"/>
        <v>165444.342735587</v>
      </c>
      <c r="I34" s="29"/>
      <c r="J34" s="227">
        <f t="shared" si="5"/>
        <v>165444.342735587</v>
      </c>
    </row>
    <row r="35" spans="1:10" ht="12.75">
      <c r="A35" s="220" t="s">
        <v>73</v>
      </c>
      <c r="B35" s="23" t="s">
        <v>79</v>
      </c>
      <c r="C35" s="23"/>
      <c r="D35" s="29"/>
      <c r="E35" s="29">
        <f>+'Attachment A'!C27</f>
        <v>114925</v>
      </c>
      <c r="F35" s="36">
        <f t="shared" si="6"/>
        <v>114925</v>
      </c>
      <c r="G35" s="29"/>
      <c r="H35" s="28">
        <f t="shared" si="4"/>
        <v>114925</v>
      </c>
      <c r="I35" s="29"/>
      <c r="J35" s="227">
        <f t="shared" si="5"/>
        <v>114925</v>
      </c>
    </row>
    <row r="36" spans="1:10" ht="12.75">
      <c r="A36" s="220" t="s">
        <v>80</v>
      </c>
      <c r="B36" s="1129" t="s">
        <v>69</v>
      </c>
      <c r="C36" s="1130"/>
      <c r="D36" s="29"/>
      <c r="E36" s="29"/>
      <c r="F36" s="36"/>
      <c r="G36" s="29"/>
      <c r="H36" s="28"/>
      <c r="I36" s="29"/>
      <c r="J36" s="227"/>
    </row>
    <row r="37" spans="1:10" ht="12.75">
      <c r="A37" s="220"/>
      <c r="B37" s="465"/>
      <c r="C37" s="460" t="s">
        <v>444</v>
      </c>
      <c r="D37" s="29"/>
      <c r="E37" s="29">
        <f>+'Attachment A'!M42</f>
        <v>2530478.2473862744</v>
      </c>
      <c r="F37" s="36">
        <f t="shared" si="6"/>
        <v>2530478.2473862744</v>
      </c>
      <c r="G37" s="29"/>
      <c r="H37" s="28">
        <f t="shared" si="4"/>
        <v>2530478.2473862744</v>
      </c>
      <c r="I37" s="29"/>
      <c r="J37" s="227">
        <f t="shared" si="5"/>
        <v>2530478.2473862744</v>
      </c>
    </row>
    <row r="38" spans="1:10" ht="12.75">
      <c r="A38" s="220"/>
      <c r="B38" s="466"/>
      <c r="C38" s="461" t="s">
        <v>658</v>
      </c>
      <c r="D38" s="29"/>
      <c r="E38" s="29">
        <v>0</v>
      </c>
      <c r="F38" s="36">
        <f t="shared" si="6"/>
        <v>0</v>
      </c>
      <c r="G38" s="29">
        <f>+'Attachment A'!AE34</f>
        <v>293571</v>
      </c>
      <c r="H38" s="28">
        <f t="shared" si="4"/>
        <v>293571</v>
      </c>
      <c r="I38" s="29"/>
      <c r="J38" s="227">
        <f t="shared" si="5"/>
        <v>293571</v>
      </c>
    </row>
    <row r="39" spans="1:10" ht="12.75">
      <c r="A39" s="223"/>
      <c r="B39" s="465"/>
      <c r="C39" s="461" t="s">
        <v>983</v>
      </c>
      <c r="D39" s="29"/>
      <c r="E39" s="29"/>
      <c r="F39" s="36">
        <f t="shared" si="6"/>
        <v>0</v>
      </c>
      <c r="G39" s="29">
        <v>-292497</v>
      </c>
      <c r="H39" s="28">
        <f t="shared" si="4"/>
        <v>-292497</v>
      </c>
      <c r="I39" s="29"/>
      <c r="J39" s="227">
        <f t="shared" si="5"/>
        <v>-292497</v>
      </c>
    </row>
    <row r="40" spans="1:10" ht="12.75">
      <c r="A40" s="223"/>
      <c r="B40" s="465"/>
      <c r="C40" s="462"/>
      <c r="D40" s="29"/>
      <c r="E40" s="29"/>
      <c r="F40" s="36">
        <f t="shared" si="6"/>
        <v>0</v>
      </c>
      <c r="G40" s="29"/>
      <c r="H40" s="28">
        <f t="shared" si="4"/>
        <v>0</v>
      </c>
      <c r="I40" s="29"/>
      <c r="J40" s="227">
        <f t="shared" si="5"/>
        <v>0</v>
      </c>
    </row>
    <row r="41" spans="1:10" ht="12.75">
      <c r="A41" s="223"/>
      <c r="B41" s="106"/>
      <c r="C41" s="437"/>
      <c r="D41" s="105"/>
      <c r="E41" s="29"/>
      <c r="F41" s="40">
        <f>SUM(D41:E41)</f>
        <v>0</v>
      </c>
      <c r="G41" s="29"/>
      <c r="H41" s="28">
        <f t="shared" si="4"/>
        <v>0</v>
      </c>
      <c r="I41" s="29"/>
      <c r="J41" s="227">
        <f t="shared" si="5"/>
        <v>0</v>
      </c>
    </row>
    <row r="42" spans="1:10" s="126" customFormat="1" ht="12.75">
      <c r="A42" s="228" t="s">
        <v>81</v>
      </c>
      <c r="B42" s="111" t="s">
        <v>226</v>
      </c>
      <c r="C42" s="127"/>
      <c r="D42" s="128">
        <f aca="true" t="shared" si="7" ref="D42:J42">SUM(D32:D41)</f>
        <v>0</v>
      </c>
      <c r="E42" s="128">
        <f t="shared" si="7"/>
        <v>2792727.2473862744</v>
      </c>
      <c r="F42" s="128">
        <f t="shared" si="7"/>
        <v>2792727.2473862744</v>
      </c>
      <c r="G42" s="128">
        <f t="shared" si="7"/>
        <v>78458.34273558704</v>
      </c>
      <c r="H42" s="128">
        <f t="shared" si="7"/>
        <v>2871185.5901218615</v>
      </c>
      <c r="I42" s="128">
        <f t="shared" si="7"/>
        <v>0</v>
      </c>
      <c r="J42" s="229">
        <f t="shared" si="7"/>
        <v>2871185.5901218615</v>
      </c>
    </row>
    <row r="43" spans="1:10" ht="12.75">
      <c r="A43" s="230"/>
      <c r="B43" s="10"/>
      <c r="C43" s="107"/>
      <c r="D43" s="109"/>
      <c r="E43" s="109"/>
      <c r="F43" s="109"/>
      <c r="G43" s="109"/>
      <c r="H43" s="109"/>
      <c r="I43" s="109"/>
      <c r="J43" s="231"/>
    </row>
    <row r="44" spans="1:10" ht="12.75">
      <c r="A44" s="232" t="s">
        <v>82</v>
      </c>
      <c r="B44" s="130" t="s">
        <v>335</v>
      </c>
      <c r="C44" s="130"/>
      <c r="D44" s="131">
        <f>D42+D30</f>
        <v>19220390.569591057</v>
      </c>
      <c r="E44" s="131">
        <f aca="true" t="shared" si="8" ref="E44:J44">E42+E30</f>
        <v>7802697.050044853</v>
      </c>
      <c r="F44" s="131">
        <f t="shared" si="8"/>
        <v>27023087.619635906</v>
      </c>
      <c r="G44" s="131">
        <f t="shared" si="8"/>
        <v>78458.34273558704</v>
      </c>
      <c r="H44" s="131">
        <f t="shared" si="8"/>
        <v>27101545.962371495</v>
      </c>
      <c r="I44" s="131">
        <f t="shared" si="8"/>
        <v>0</v>
      </c>
      <c r="J44" s="246">
        <f t="shared" si="8"/>
        <v>27101545.962371495</v>
      </c>
    </row>
    <row r="45" spans="1:10" s="126" customFormat="1" ht="24" customHeight="1" thickBot="1">
      <c r="A45" s="247" t="s">
        <v>92</v>
      </c>
      <c r="B45" s="1150" t="s">
        <v>337</v>
      </c>
      <c r="C45" s="1150"/>
      <c r="D45" s="331">
        <f>D44+'P4 Form A-2 - Dental'!D49+'P3 Form A-1 Health Care'!D52</f>
        <v>67633495.69606483</v>
      </c>
      <c r="E45" s="331">
        <f>E44+'P4 Form A-2 - Dental'!E49+'P3 Form A-1 Health Care'!E52</f>
        <v>59288436.702496454</v>
      </c>
      <c r="F45" s="331">
        <f>F44+'P4 Form A-2 - Dental'!F49+'P3 Form A-1 Health Care'!F52</f>
        <v>126921932.39856127</v>
      </c>
      <c r="G45" s="331">
        <f>G44+'P4 Form A-2 - Dental'!G49+'P3 Form A-1 Health Care'!G52</f>
        <v>-16186873.6</v>
      </c>
      <c r="H45" s="331">
        <f>H44+'P4 Form A-2 - Dental'!H49+'P3 Form A-1 Health Care'!H52</f>
        <v>110735058.79856128</v>
      </c>
      <c r="I45" s="331">
        <f>I44+'P4 Form A-2 - Dental'!I49+'P3 Form A-1 Health Care'!I52</f>
        <v>0</v>
      </c>
      <c r="J45" s="331">
        <f>J44+'P4 Form A-2 - Dental'!J49+'P3 Form A-1 Health Care'!J52</f>
        <v>110735058.79856128</v>
      </c>
    </row>
    <row r="46" spans="1:10" ht="14.25" thickBot="1" thickTop="1">
      <c r="A46" s="248"/>
      <c r="B46" s="249"/>
      <c r="C46" s="249"/>
      <c r="D46" s="249"/>
      <c r="E46" s="250"/>
      <c r="F46" s="249"/>
      <c r="G46" s="249"/>
      <c r="H46" s="249"/>
      <c r="I46" s="249"/>
      <c r="J46" s="236"/>
    </row>
    <row r="47" ht="12.75">
      <c r="A47" s="125"/>
    </row>
    <row r="48" ht="12.75">
      <c r="A48" s="125"/>
    </row>
  </sheetData>
  <sheetProtection password="E1AE" sheet="1" formatColumns="0" formatRows="0"/>
  <mergeCells count="16">
    <mergeCell ref="B30:C30"/>
    <mergeCell ref="B36:C36"/>
    <mergeCell ref="B45:C45"/>
    <mergeCell ref="A11:J11"/>
    <mergeCell ref="A14:C15"/>
    <mergeCell ref="B17:C17"/>
    <mergeCell ref="B18:C18"/>
    <mergeCell ref="B19:C19"/>
    <mergeCell ref="B20:C20"/>
    <mergeCell ref="A1:J1"/>
    <mergeCell ref="A2:J2"/>
    <mergeCell ref="A3:J3"/>
    <mergeCell ref="A4:J4"/>
    <mergeCell ref="I6:J6"/>
    <mergeCell ref="C8:H8"/>
    <mergeCell ref="E6:F6"/>
  </mergeCells>
  <printOptions horizontalCentered="1" verticalCentered="1"/>
  <pageMargins left="0.25" right="0.25" top="0.25" bottom="0.5" header="0.5" footer="0.25"/>
  <pageSetup horizontalDpi="600" verticalDpi="600" orientation="landscape" scale="82" r:id="rId1"/>
  <headerFooter alignWithMargins="0">
    <oddFooter>&amp;LDSS-16 10-24-2016&amp;RPage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Myers &amp; Stauffer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Myers &amp; Stauffer</dc:creator>
  <cp:keywords/>
  <dc:description/>
  <cp:lastModifiedBy>LeMoine, Suzanne</cp:lastModifiedBy>
  <cp:lastPrinted>2021-12-30T19:11:29Z</cp:lastPrinted>
  <dcterms:created xsi:type="dcterms:W3CDTF">1999-03-01T21:20:18Z</dcterms:created>
  <dcterms:modified xsi:type="dcterms:W3CDTF">2021-12-30T19:28:02Z</dcterms:modified>
  <cp:category/>
  <cp:version/>
  <cp:contentType/>
  <cp:contentStatus/>
</cp:coreProperties>
</file>