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-my.sharepoint.com/personal/eric_marszalek_ct_gov/Documents/Documents/CT WIC/Reports/Vendor Lists/"/>
    </mc:Choice>
  </mc:AlternateContent>
  <xr:revisionPtr revIDLastSave="0" documentId="8_{2971EDE3-1C97-4DF7-B916-CEB975109D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th Vendor By Town" sheetId="1" r:id="rId1"/>
  </sheets>
  <definedNames>
    <definedName name="_xlnm._FilterDatabase" localSheetId="0" hidden="1">'Auth Vendor By Town'!$A$1:$E$555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0" i="1" l="1"/>
  <c r="E419" i="1"/>
  <c r="E155" i="1"/>
  <c r="E384" i="1"/>
  <c r="E283" i="1"/>
  <c r="E453" i="1"/>
  <c r="E372" i="1"/>
  <c r="E249" i="1"/>
  <c r="E511" i="1"/>
  <c r="E100" i="1"/>
  <c r="E395" i="1"/>
  <c r="E451" i="1"/>
  <c r="E175" i="1"/>
  <c r="E24" i="1"/>
  <c r="E176" i="1"/>
  <c r="E2" i="1"/>
  <c r="E25" i="1"/>
  <c r="E208" i="1"/>
  <c r="E60" i="1"/>
  <c r="E229" i="1"/>
  <c r="E19" i="1"/>
  <c r="E64" i="1"/>
  <c r="E67" i="1"/>
  <c r="E102" i="1"/>
  <c r="E250" i="1"/>
  <c r="E264" i="1"/>
  <c r="E355" i="1"/>
  <c r="E396" i="1"/>
  <c r="E400" i="1"/>
  <c r="E418" i="1"/>
  <c r="E515" i="1"/>
  <c r="E347" i="1"/>
  <c r="E94" i="1"/>
  <c r="E266" i="1"/>
  <c r="E366" i="1"/>
  <c r="E228" i="1"/>
  <c r="E259" i="1"/>
  <c r="E368" i="1"/>
  <c r="E387" i="1"/>
  <c r="E219" i="1"/>
  <c r="E128" i="1"/>
  <c r="E322" i="1"/>
  <c r="E6" i="1"/>
  <c r="E164" i="1"/>
  <c r="E312" i="1"/>
  <c r="E357" i="1"/>
  <c r="E456" i="1"/>
  <c r="E124" i="1"/>
  <c r="E159" i="1"/>
  <c r="E127" i="1"/>
  <c r="E328" i="1"/>
  <c r="E455" i="1"/>
  <c r="E10" i="1"/>
  <c r="E442" i="1"/>
  <c r="E327" i="1"/>
  <c r="E231" i="1"/>
  <c r="E177" i="1"/>
  <c r="E178" i="1"/>
  <c r="E270" i="1"/>
  <c r="E333" i="1"/>
  <c r="E443" i="1"/>
  <c r="E232" i="1"/>
  <c r="E179" i="1"/>
  <c r="E81" i="1"/>
  <c r="E271" i="1"/>
  <c r="E180" i="1"/>
  <c r="E107" i="1"/>
  <c r="E181" i="1"/>
  <c r="E182" i="1"/>
  <c r="E183" i="1"/>
  <c r="E129" i="1"/>
  <c r="E488" i="1"/>
  <c r="E538" i="1"/>
  <c r="E272" i="1"/>
  <c r="E489" i="1"/>
  <c r="E286" i="1"/>
  <c r="E287" i="1"/>
  <c r="E482" i="1"/>
  <c r="E209" i="1"/>
  <c r="E334" i="1"/>
  <c r="E184" i="1"/>
  <c r="E233" i="1"/>
  <c r="E251" i="1"/>
  <c r="E358" i="1"/>
  <c r="E267" i="1"/>
  <c r="E137" i="1"/>
  <c r="E214" i="1"/>
  <c r="E145" i="1"/>
  <c r="E20" i="1"/>
  <c r="E392" i="1"/>
  <c r="E475" i="1"/>
  <c r="E44" i="1"/>
  <c r="E273" i="1"/>
  <c r="E420" i="1"/>
  <c r="E534" i="1"/>
  <c r="E545" i="1"/>
  <c r="E242" i="1"/>
  <c r="E160" i="1"/>
  <c r="E217" i="1"/>
  <c r="E146" i="1"/>
  <c r="E531" i="1"/>
  <c r="E82" i="1"/>
  <c r="E516" i="1"/>
  <c r="E316" i="1"/>
  <c r="E329" i="1"/>
  <c r="E53" i="1"/>
  <c r="E3" i="1"/>
  <c r="E380" i="1"/>
  <c r="E130" i="1"/>
  <c r="E167" i="1"/>
  <c r="E441" i="1"/>
  <c r="E288" i="1"/>
  <c r="E313" i="1"/>
  <c r="E369" i="1"/>
  <c r="E185" i="1"/>
  <c r="E335" i="1"/>
  <c r="E115" i="1"/>
  <c r="E234" i="1"/>
  <c r="E354" i="1"/>
  <c r="E95" i="1"/>
  <c r="E483" i="1"/>
  <c r="E524" i="1"/>
  <c r="E55" i="1"/>
  <c r="E539" i="1"/>
  <c r="E473" i="1"/>
  <c r="E452" i="1"/>
  <c r="E207" i="1"/>
  <c r="E348" i="1"/>
  <c r="E466" i="1"/>
  <c r="E405" i="1"/>
  <c r="E103" i="1"/>
  <c r="E381" i="1"/>
  <c r="E421" i="1"/>
  <c r="E412" i="1"/>
  <c r="E551" i="1"/>
  <c r="E308" i="1"/>
  <c r="E457" i="1"/>
  <c r="E108" i="1"/>
  <c r="E14" i="1"/>
  <c r="E11" i="1"/>
  <c r="E408" i="1"/>
  <c r="E367" i="1"/>
  <c r="E336" i="1"/>
  <c r="E490" i="1"/>
  <c r="E326" i="1"/>
  <c r="E26" i="1"/>
  <c r="E517" i="1"/>
  <c r="E546" i="1"/>
  <c r="E7" i="1"/>
  <c r="E186" i="1"/>
  <c r="E152" i="1"/>
  <c r="E252" i="1"/>
  <c r="E401" i="1"/>
  <c r="E374" i="1"/>
  <c r="E507" i="1"/>
  <c r="E45" i="1"/>
  <c r="E156" i="1"/>
  <c r="E68" i="1"/>
  <c r="E422" i="1"/>
  <c r="E323" i="1"/>
  <c r="E15" i="1"/>
  <c r="E138" i="1"/>
  <c r="E260" i="1"/>
  <c r="E187" i="1"/>
  <c r="E491" i="1"/>
  <c r="E165" i="1"/>
  <c r="E116" i="1"/>
  <c r="E235" i="1"/>
  <c r="E449" i="1"/>
  <c r="E265" i="1"/>
  <c r="E360" i="1"/>
  <c r="E188" i="1"/>
  <c r="E479" i="1"/>
  <c r="E211" i="1"/>
  <c r="E492" i="1"/>
  <c r="E27" i="1"/>
  <c r="E139" i="1"/>
  <c r="E518" i="1"/>
  <c r="E385" i="1"/>
  <c r="E388" i="1"/>
  <c r="E62" i="1"/>
  <c r="E493" i="1"/>
  <c r="E75" i="1"/>
  <c r="E65" i="1"/>
  <c r="E389" i="1"/>
  <c r="E83" i="1"/>
  <c r="E444" i="1"/>
  <c r="E445" i="1"/>
  <c r="E553" i="1"/>
  <c r="E470" i="1"/>
  <c r="E243" i="1"/>
  <c r="E140" i="1"/>
  <c r="E525" i="1"/>
  <c r="E423" i="1"/>
  <c r="E220" i="1"/>
  <c r="E121" i="1"/>
  <c r="E189" i="1"/>
  <c r="E147" i="1"/>
  <c r="E46" i="1"/>
  <c r="E72" i="1"/>
  <c r="E157" i="1"/>
  <c r="E236" i="1"/>
  <c r="E84" i="1"/>
  <c r="E57" i="1"/>
  <c r="E375" i="1"/>
  <c r="E109" i="1"/>
  <c r="E337" i="1"/>
  <c r="E494" i="1"/>
  <c r="E289" i="1"/>
  <c r="E338" i="1"/>
  <c r="E190" i="1"/>
  <c r="E28" i="1"/>
  <c r="E29" i="1"/>
  <c r="E30" i="1"/>
  <c r="E31" i="1"/>
  <c r="E547" i="1"/>
  <c r="E406" i="1"/>
  <c r="E16" i="1"/>
  <c r="E404" i="1"/>
  <c r="E125" i="1"/>
  <c r="E153" i="1"/>
  <c r="E424" i="1"/>
  <c r="E425" i="1"/>
  <c r="E426" i="1"/>
  <c r="E54" i="1"/>
  <c r="E339" i="1"/>
  <c r="E104" i="1"/>
  <c r="E427" i="1"/>
  <c r="E397" i="1"/>
  <c r="E85" i="1"/>
  <c r="E141" i="1"/>
  <c r="E409" i="1"/>
  <c r="E495" i="1"/>
  <c r="E191" i="1"/>
  <c r="E192" i="1"/>
  <c r="E32" i="1"/>
  <c r="E33" i="1"/>
  <c r="E274" i="1"/>
  <c r="E340" i="1"/>
  <c r="E193" i="1"/>
  <c r="E275" i="1"/>
  <c r="E110" i="1"/>
  <c r="E34" i="1"/>
  <c r="E290" i="1"/>
  <c r="E291" i="1"/>
  <c r="E526" i="1"/>
  <c r="E428" i="1"/>
  <c r="E429" i="1"/>
  <c r="E430" i="1"/>
  <c r="E12" i="1"/>
  <c r="E194" i="1"/>
  <c r="E292" i="1"/>
  <c r="E276" i="1"/>
  <c r="E195" i="1"/>
  <c r="E293" i="1"/>
  <c r="E496" i="1"/>
  <c r="E244" i="1"/>
  <c r="E458" i="1"/>
  <c r="E363" i="1"/>
  <c r="E431" i="1"/>
  <c r="E196" i="1"/>
  <c r="E197" i="1"/>
  <c r="E294" i="1"/>
  <c r="E497" i="1"/>
  <c r="E295" i="1"/>
  <c r="E161" i="1"/>
  <c r="E277" i="1"/>
  <c r="E309" i="1"/>
  <c r="E86" i="1"/>
  <c r="E198" i="1"/>
  <c r="E199" i="1"/>
  <c r="E498" i="1"/>
  <c r="E87" i="1"/>
  <c r="E376" i="1"/>
  <c r="E413" i="1"/>
  <c r="E47" i="1"/>
  <c r="E317" i="1"/>
  <c r="E548" i="1"/>
  <c r="E245" i="1"/>
  <c r="E440" i="1"/>
  <c r="E35" i="1"/>
  <c r="E88" i="1"/>
  <c r="E168" i="1"/>
  <c r="E36" i="1"/>
  <c r="E278" i="1"/>
  <c r="E459" i="1"/>
  <c r="E519" i="1"/>
  <c r="E535" i="1"/>
  <c r="E549" i="1"/>
  <c r="E296" i="1"/>
  <c r="E221" i="1"/>
  <c r="E432" i="1"/>
  <c r="E499" i="1"/>
  <c r="E297" i="1"/>
  <c r="E37" i="1"/>
  <c r="E38" i="1"/>
  <c r="E500" i="1"/>
  <c r="E200" i="1"/>
  <c r="E237" i="1"/>
  <c r="E169" i="1"/>
  <c r="E63" i="1"/>
  <c r="E69" i="1"/>
  <c r="E77" i="1"/>
  <c r="E111" i="1"/>
  <c r="E117" i="1"/>
  <c r="E131" i="1"/>
  <c r="E48" i="1"/>
  <c r="E170" i="1"/>
  <c r="E222" i="1"/>
  <c r="E253" i="1"/>
  <c r="E310" i="1"/>
  <c r="E349" i="1"/>
  <c r="E361" i="1"/>
  <c r="E414" i="1"/>
  <c r="E446" i="1"/>
  <c r="E476" i="1"/>
  <c r="E484" i="1"/>
  <c r="E341" i="1"/>
  <c r="E433" i="1"/>
  <c r="E112" i="1"/>
  <c r="E460" i="1"/>
  <c r="E132" i="1"/>
  <c r="E520" i="1"/>
  <c r="E364" i="1"/>
  <c r="E96" i="1"/>
  <c r="E105" i="1"/>
  <c r="E285" i="1"/>
  <c r="E318" i="1"/>
  <c r="E477" i="1"/>
  <c r="E215" i="1"/>
  <c r="E298" i="1"/>
  <c r="E171" i="1"/>
  <c r="E393" i="1"/>
  <c r="E268" i="1"/>
  <c r="E148" i="1"/>
  <c r="E78" i="1"/>
  <c r="E402" i="1"/>
  <c r="E73" i="1"/>
  <c r="E536" i="1"/>
  <c r="E154" i="1"/>
  <c r="E478" i="1"/>
  <c r="E8" i="1"/>
  <c r="E350" i="1"/>
  <c r="E158" i="1"/>
  <c r="E501" i="1"/>
  <c r="E550" i="1"/>
  <c r="E467" i="1"/>
  <c r="E410" i="1"/>
  <c r="E461" i="1"/>
  <c r="E246" i="1"/>
  <c r="E218" i="1"/>
  <c r="E554" i="1"/>
  <c r="E49" i="1"/>
  <c r="E398" i="1"/>
  <c r="E319" i="1"/>
  <c r="E149" i="1"/>
  <c r="E390" i="1"/>
  <c r="E201" i="1"/>
  <c r="E4" i="1"/>
  <c r="E324" i="1"/>
  <c r="E434" i="1"/>
  <c r="E485" i="1"/>
  <c r="E447" i="1"/>
  <c r="E342" i="1"/>
  <c r="E50" i="1"/>
  <c r="E89" i="1"/>
  <c r="E279" i="1"/>
  <c r="E435" i="1"/>
  <c r="E254" i="1"/>
  <c r="E299" i="1"/>
  <c r="E142" i="1"/>
  <c r="E17" i="1"/>
  <c r="E70" i="1"/>
  <c r="E532" i="1"/>
  <c r="E238" i="1"/>
  <c r="E382" i="1"/>
  <c r="E512" i="1"/>
  <c r="E544" i="1"/>
  <c r="E90" i="1"/>
  <c r="E343" i="1"/>
  <c r="E255" i="1"/>
  <c r="E122" i="1"/>
  <c r="E508" i="1"/>
  <c r="E39" i="1"/>
  <c r="E143" i="1"/>
  <c r="E540" i="1"/>
  <c r="E502" i="1"/>
  <c r="E58" i="1"/>
  <c r="E471" i="1"/>
  <c r="E503" i="1"/>
  <c r="E521" i="1"/>
  <c r="E162" i="1"/>
  <c r="E314" i="1"/>
  <c r="E415" i="1"/>
  <c r="E261" i="1"/>
  <c r="E474" i="1"/>
  <c r="E21" i="1"/>
  <c r="E359" i="1"/>
  <c r="E223" i="1"/>
  <c r="E118" i="1"/>
  <c r="E330" i="1"/>
  <c r="E66" i="1"/>
  <c r="E527" i="1"/>
  <c r="E98" i="1"/>
  <c r="E40" i="1"/>
  <c r="E407" i="1"/>
  <c r="E377" i="1"/>
  <c r="E450" i="1"/>
  <c r="E351" i="1"/>
  <c r="E119" i="1"/>
  <c r="E224" i="1"/>
  <c r="E133" i="1"/>
  <c r="E509" i="1"/>
  <c r="E280" i="1"/>
  <c r="E239" i="1"/>
  <c r="E13" i="1"/>
  <c r="E436" i="1"/>
  <c r="E320" i="1"/>
  <c r="E362" i="1"/>
  <c r="E468" i="1"/>
  <c r="E256" i="1"/>
  <c r="E5" i="1"/>
  <c r="E462" i="1"/>
  <c r="E469" i="1"/>
  <c r="E212" i="1"/>
  <c r="E416" i="1"/>
  <c r="E202" i="1"/>
  <c r="E300" i="1"/>
  <c r="E371" i="1"/>
  <c r="E437" i="1"/>
  <c r="E301" i="1"/>
  <c r="E344" i="1"/>
  <c r="E9" i="1"/>
  <c r="E463" i="1"/>
  <c r="E345" i="1"/>
  <c r="E530" i="1"/>
  <c r="E101" i="1"/>
  <c r="E22" i="1"/>
  <c r="E438" i="1"/>
  <c r="E311" i="1"/>
  <c r="E486" i="1"/>
  <c r="E383" i="1"/>
  <c r="E150" i="1"/>
  <c r="E394" i="1"/>
  <c r="E439" i="1"/>
  <c r="E51" i="1"/>
  <c r="E76" i="1"/>
  <c r="E99" i="1"/>
  <c r="E120" i="1"/>
  <c r="E325" i="1"/>
  <c r="E247" i="1"/>
  <c r="E257" i="1"/>
  <c r="E166" i="1"/>
  <c r="E522" i="1"/>
  <c r="E144" i="1"/>
  <c r="E74" i="1"/>
  <c r="E59" i="1"/>
  <c r="E106" i="1"/>
  <c r="E18" i="1"/>
  <c r="E378" i="1"/>
  <c r="E365" i="1"/>
  <c r="E136" i="1"/>
  <c r="E123" i="1"/>
  <c r="E454" i="1"/>
  <c r="E263" i="1"/>
  <c r="E513" i="1"/>
  <c r="E281" i="1"/>
  <c r="E523" i="1"/>
  <c r="E203" i="1"/>
  <c r="E514" i="1"/>
  <c r="E216" i="1"/>
  <c r="E210" i="1"/>
  <c r="E356" i="1"/>
  <c r="E373" i="1"/>
  <c r="E315" i="1"/>
  <c r="E480" i="1"/>
  <c r="E61" i="1"/>
  <c r="E472" i="1"/>
  <c r="E134" i="1"/>
  <c r="E97" i="1"/>
  <c r="E151" i="1"/>
  <c r="E172" i="1"/>
  <c r="E248" i="1"/>
  <c r="E352" i="1"/>
  <c r="E504" i="1"/>
  <c r="E448" i="1"/>
  <c r="E91" i="1"/>
  <c r="E302" i="1"/>
  <c r="E204" i="1"/>
  <c r="E23" i="1"/>
  <c r="E537" i="1"/>
  <c r="E403" i="1"/>
  <c r="E173" i="1"/>
  <c r="E225" i="1"/>
  <c r="E41" i="1"/>
  <c r="E240" i="1"/>
  <c r="E464" i="1"/>
  <c r="E346" i="1"/>
  <c r="E303" i="1"/>
  <c r="E258" i="1"/>
  <c r="E226" i="1"/>
  <c r="E386" i="1"/>
  <c r="E304" i="1"/>
  <c r="E505" i="1"/>
  <c r="E92" i="1"/>
  <c r="E481" i="1"/>
  <c r="E321" i="1"/>
  <c r="E370" i="1"/>
  <c r="E533" i="1"/>
  <c r="E411" i="1"/>
  <c r="E541" i="1"/>
  <c r="E42" i="1"/>
  <c r="E113" i="1"/>
  <c r="E528" i="1"/>
  <c r="E282" i="1"/>
  <c r="E262" i="1"/>
  <c r="E417" i="1"/>
  <c r="E163" i="1"/>
  <c r="E71" i="1"/>
  <c r="E331" i="1"/>
  <c r="E174" i="1"/>
  <c r="E135" i="1"/>
  <c r="E43" i="1"/>
  <c r="E399" i="1"/>
  <c r="E552" i="1"/>
  <c r="E114" i="1"/>
  <c r="E305" i="1"/>
  <c r="E79" i="1"/>
  <c r="E241" i="1"/>
  <c r="E284" i="1"/>
  <c r="E227" i="1"/>
  <c r="E465" i="1"/>
  <c r="E353" i="1"/>
  <c r="E52" i="1"/>
  <c r="E391" i="1"/>
  <c r="E93" i="1"/>
  <c r="E529" i="1"/>
  <c r="E379" i="1"/>
  <c r="E332" i="1"/>
  <c r="E126" i="1"/>
  <c r="E269" i="1"/>
  <c r="E80" i="1"/>
  <c r="E510" i="1"/>
  <c r="E487" i="1"/>
  <c r="E213" i="1"/>
  <c r="E205" i="1"/>
  <c r="E306" i="1"/>
  <c r="E56" i="1"/>
  <c r="E555" i="1"/>
  <c r="E506" i="1"/>
  <c r="E307" i="1"/>
  <c r="E542" i="1"/>
  <c r="E206" i="1"/>
  <c r="E543" i="1"/>
  <c r="B230" i="1"/>
  <c r="B419" i="1"/>
  <c r="B155" i="1"/>
  <c r="B384" i="1"/>
  <c r="B283" i="1"/>
  <c r="B453" i="1"/>
  <c r="B372" i="1"/>
  <c r="B249" i="1"/>
  <c r="B511" i="1"/>
  <c r="B100" i="1"/>
  <c r="B395" i="1"/>
  <c r="B451" i="1"/>
  <c r="B175" i="1"/>
  <c r="B24" i="1"/>
  <c r="B176" i="1"/>
  <c r="B2" i="1"/>
  <c r="B25" i="1"/>
  <c r="B208" i="1"/>
  <c r="B60" i="1"/>
  <c r="B229" i="1"/>
  <c r="B19" i="1"/>
  <c r="B64" i="1"/>
  <c r="B67" i="1"/>
  <c r="B102" i="1"/>
  <c r="B250" i="1"/>
  <c r="B264" i="1"/>
  <c r="B355" i="1"/>
  <c r="B396" i="1"/>
  <c r="B400" i="1"/>
  <c r="B418" i="1"/>
  <c r="B515" i="1"/>
  <c r="B347" i="1"/>
  <c r="B94" i="1"/>
  <c r="B266" i="1"/>
  <c r="B366" i="1"/>
  <c r="B228" i="1"/>
  <c r="B259" i="1"/>
  <c r="B368" i="1"/>
  <c r="B387" i="1"/>
  <c r="B219" i="1"/>
  <c r="B128" i="1"/>
  <c r="B322" i="1"/>
  <c r="B6" i="1"/>
  <c r="B164" i="1"/>
  <c r="B312" i="1"/>
  <c r="B357" i="1"/>
  <c r="B456" i="1"/>
  <c r="B124" i="1"/>
  <c r="B159" i="1"/>
  <c r="B127" i="1"/>
  <c r="B328" i="1"/>
  <c r="B455" i="1"/>
  <c r="B10" i="1"/>
  <c r="B442" i="1"/>
  <c r="B327" i="1"/>
  <c r="B231" i="1"/>
  <c r="B177" i="1"/>
  <c r="B178" i="1"/>
  <c r="B270" i="1"/>
  <c r="B333" i="1"/>
  <c r="B443" i="1"/>
  <c r="B232" i="1"/>
  <c r="B179" i="1"/>
  <c r="B81" i="1"/>
  <c r="B271" i="1"/>
  <c r="B180" i="1"/>
  <c r="B107" i="1"/>
  <c r="B181" i="1"/>
  <c r="B182" i="1"/>
  <c r="B183" i="1"/>
  <c r="B129" i="1"/>
  <c r="B488" i="1"/>
  <c r="B538" i="1"/>
  <c r="B272" i="1"/>
  <c r="B489" i="1"/>
  <c r="B286" i="1"/>
  <c r="B287" i="1"/>
  <c r="B482" i="1"/>
  <c r="B209" i="1"/>
  <c r="B334" i="1"/>
  <c r="B184" i="1"/>
  <c r="B233" i="1"/>
  <c r="B251" i="1"/>
  <c r="B358" i="1"/>
  <c r="B267" i="1"/>
  <c r="B137" i="1"/>
  <c r="B214" i="1"/>
  <c r="B145" i="1"/>
  <c r="B20" i="1"/>
  <c r="B392" i="1"/>
  <c r="B475" i="1"/>
  <c r="B44" i="1"/>
  <c r="B273" i="1"/>
  <c r="B420" i="1"/>
  <c r="B534" i="1"/>
  <c r="B545" i="1"/>
  <c r="B242" i="1"/>
  <c r="B160" i="1"/>
  <c r="B217" i="1"/>
  <c r="B146" i="1"/>
  <c r="B531" i="1"/>
  <c r="B82" i="1"/>
  <c r="B516" i="1"/>
  <c r="B316" i="1"/>
  <c r="B329" i="1"/>
  <c r="B53" i="1"/>
  <c r="B3" i="1"/>
  <c r="B380" i="1"/>
  <c r="B130" i="1"/>
  <c r="B167" i="1"/>
  <c r="B441" i="1"/>
  <c r="B288" i="1"/>
  <c r="B313" i="1"/>
  <c r="B369" i="1"/>
  <c r="B185" i="1"/>
  <c r="B335" i="1"/>
  <c r="B115" i="1"/>
  <c r="B234" i="1"/>
  <c r="B354" i="1"/>
  <c r="B95" i="1"/>
  <c r="B483" i="1"/>
  <c r="B524" i="1"/>
  <c r="B55" i="1"/>
  <c r="B539" i="1"/>
  <c r="B473" i="1"/>
  <c r="B452" i="1"/>
  <c r="B207" i="1"/>
  <c r="B348" i="1"/>
  <c r="B466" i="1"/>
  <c r="B405" i="1"/>
  <c r="B103" i="1"/>
  <c r="B381" i="1"/>
  <c r="B421" i="1"/>
  <c r="B412" i="1"/>
  <c r="B551" i="1"/>
  <c r="B308" i="1"/>
  <c r="B457" i="1"/>
  <c r="B108" i="1"/>
  <c r="B14" i="1"/>
  <c r="B11" i="1"/>
  <c r="B408" i="1"/>
  <c r="B367" i="1"/>
  <c r="B336" i="1"/>
  <c r="B490" i="1"/>
  <c r="B326" i="1"/>
  <c r="B26" i="1"/>
  <c r="B517" i="1"/>
  <c r="B546" i="1"/>
  <c r="B7" i="1"/>
  <c r="B186" i="1"/>
  <c r="B152" i="1"/>
  <c r="B252" i="1"/>
  <c r="B401" i="1"/>
  <c r="B374" i="1"/>
  <c r="B507" i="1"/>
  <c r="B45" i="1"/>
  <c r="B156" i="1"/>
  <c r="B68" i="1"/>
  <c r="B422" i="1"/>
  <c r="B323" i="1"/>
  <c r="B15" i="1"/>
  <c r="B138" i="1"/>
  <c r="B260" i="1"/>
  <c r="B187" i="1"/>
  <c r="B491" i="1"/>
  <c r="B165" i="1"/>
  <c r="B116" i="1"/>
  <c r="B235" i="1"/>
  <c r="B449" i="1"/>
  <c r="B265" i="1"/>
  <c r="B360" i="1"/>
  <c r="B188" i="1"/>
  <c r="B479" i="1"/>
  <c r="B211" i="1"/>
  <c r="B492" i="1"/>
  <c r="B27" i="1"/>
  <c r="B139" i="1"/>
  <c r="B518" i="1"/>
  <c r="B385" i="1"/>
  <c r="B388" i="1"/>
  <c r="B62" i="1"/>
  <c r="B493" i="1"/>
  <c r="B75" i="1"/>
  <c r="B65" i="1"/>
  <c r="B389" i="1"/>
  <c r="B83" i="1"/>
  <c r="B444" i="1"/>
  <c r="B445" i="1"/>
  <c r="B553" i="1"/>
  <c r="B470" i="1"/>
  <c r="B243" i="1"/>
  <c r="B140" i="1"/>
  <c r="B525" i="1"/>
  <c r="B423" i="1"/>
  <c r="B220" i="1"/>
  <c r="B121" i="1"/>
  <c r="B189" i="1"/>
  <c r="B147" i="1"/>
  <c r="B46" i="1"/>
  <c r="B72" i="1"/>
  <c r="B157" i="1"/>
  <c r="B236" i="1"/>
  <c r="B84" i="1"/>
  <c r="B57" i="1"/>
  <c r="B375" i="1"/>
  <c r="B109" i="1"/>
  <c r="B337" i="1"/>
  <c r="B494" i="1"/>
  <c r="B289" i="1"/>
  <c r="B338" i="1"/>
  <c r="B190" i="1"/>
  <c r="B28" i="1"/>
  <c r="B29" i="1"/>
  <c r="B30" i="1"/>
  <c r="B31" i="1"/>
  <c r="B547" i="1"/>
  <c r="B406" i="1"/>
  <c r="B16" i="1"/>
  <c r="B404" i="1"/>
  <c r="B125" i="1"/>
  <c r="B153" i="1"/>
  <c r="B424" i="1"/>
  <c r="B425" i="1"/>
  <c r="B426" i="1"/>
  <c r="B54" i="1"/>
  <c r="B339" i="1"/>
  <c r="B104" i="1"/>
  <c r="B427" i="1"/>
  <c r="B397" i="1"/>
  <c r="B85" i="1"/>
  <c r="B141" i="1"/>
  <c r="B409" i="1"/>
  <c r="B495" i="1"/>
  <c r="B191" i="1"/>
  <c r="B192" i="1"/>
  <c r="B32" i="1"/>
  <c r="B33" i="1"/>
  <c r="B274" i="1"/>
  <c r="B340" i="1"/>
  <c r="B193" i="1"/>
  <c r="B275" i="1"/>
  <c r="B110" i="1"/>
  <c r="B34" i="1"/>
  <c r="B290" i="1"/>
  <c r="B291" i="1"/>
  <c r="B526" i="1"/>
  <c r="B428" i="1"/>
  <c r="B429" i="1"/>
  <c r="B430" i="1"/>
  <c r="B12" i="1"/>
  <c r="B194" i="1"/>
  <c r="B292" i="1"/>
  <c r="B276" i="1"/>
  <c r="B195" i="1"/>
  <c r="B293" i="1"/>
  <c r="B496" i="1"/>
  <c r="B244" i="1"/>
  <c r="B458" i="1"/>
  <c r="B363" i="1"/>
  <c r="B431" i="1"/>
  <c r="B196" i="1"/>
  <c r="B197" i="1"/>
  <c r="B294" i="1"/>
  <c r="B497" i="1"/>
  <c r="B295" i="1"/>
  <c r="B161" i="1"/>
  <c r="B277" i="1"/>
  <c r="B309" i="1"/>
  <c r="B86" i="1"/>
  <c r="B198" i="1"/>
  <c r="B199" i="1"/>
  <c r="B498" i="1"/>
  <c r="B87" i="1"/>
  <c r="B376" i="1"/>
  <c r="B413" i="1"/>
  <c r="B47" i="1"/>
  <c r="B317" i="1"/>
  <c r="B548" i="1"/>
  <c r="B245" i="1"/>
  <c r="B440" i="1"/>
  <c r="B35" i="1"/>
  <c r="B88" i="1"/>
  <c r="B168" i="1"/>
  <c r="B36" i="1"/>
  <c r="B278" i="1"/>
  <c r="B459" i="1"/>
  <c r="B519" i="1"/>
  <c r="B535" i="1"/>
  <c r="B549" i="1"/>
  <c r="B296" i="1"/>
  <c r="B221" i="1"/>
  <c r="B432" i="1"/>
  <c r="B499" i="1"/>
  <c r="B297" i="1"/>
  <c r="B37" i="1"/>
  <c r="B38" i="1"/>
  <c r="B500" i="1"/>
  <c r="B200" i="1"/>
  <c r="B237" i="1"/>
  <c r="B169" i="1"/>
  <c r="B63" i="1"/>
  <c r="B69" i="1"/>
  <c r="B77" i="1"/>
  <c r="B111" i="1"/>
  <c r="B117" i="1"/>
  <c r="B131" i="1"/>
  <c r="B48" i="1"/>
  <c r="B170" i="1"/>
  <c r="B222" i="1"/>
  <c r="B253" i="1"/>
  <c r="B310" i="1"/>
  <c r="B349" i="1"/>
  <c r="B361" i="1"/>
  <c r="B414" i="1"/>
  <c r="B446" i="1"/>
  <c r="B476" i="1"/>
  <c r="B484" i="1"/>
  <c r="B341" i="1"/>
  <c r="B433" i="1"/>
  <c r="B112" i="1"/>
  <c r="B460" i="1"/>
  <c r="B132" i="1"/>
  <c r="B520" i="1"/>
  <c r="B364" i="1"/>
  <c r="B96" i="1"/>
  <c r="B105" i="1"/>
  <c r="B285" i="1"/>
  <c r="B318" i="1"/>
  <c r="B477" i="1"/>
  <c r="B215" i="1"/>
  <c r="B298" i="1"/>
  <c r="B171" i="1"/>
  <c r="B393" i="1"/>
  <c r="B268" i="1"/>
  <c r="B148" i="1"/>
  <c r="B78" i="1"/>
  <c r="B402" i="1"/>
  <c r="B73" i="1"/>
  <c r="B536" i="1"/>
  <c r="B154" i="1"/>
  <c r="B478" i="1"/>
  <c r="B8" i="1"/>
  <c r="B350" i="1"/>
  <c r="B158" i="1"/>
  <c r="B501" i="1"/>
  <c r="B550" i="1"/>
  <c r="B467" i="1"/>
  <c r="B410" i="1"/>
  <c r="B461" i="1"/>
  <c r="B246" i="1"/>
  <c r="B218" i="1"/>
  <c r="B554" i="1"/>
  <c r="B49" i="1"/>
  <c r="B398" i="1"/>
  <c r="B319" i="1"/>
  <c r="B149" i="1"/>
  <c r="B390" i="1"/>
  <c r="B201" i="1"/>
  <c r="B4" i="1"/>
  <c r="B324" i="1"/>
  <c r="B434" i="1"/>
  <c r="B485" i="1"/>
  <c r="B447" i="1"/>
  <c r="B342" i="1"/>
  <c r="B50" i="1"/>
  <c r="B89" i="1"/>
  <c r="B279" i="1"/>
  <c r="B435" i="1"/>
  <c r="B254" i="1"/>
  <c r="B299" i="1"/>
  <c r="B142" i="1"/>
  <c r="B17" i="1"/>
  <c r="B70" i="1"/>
  <c r="B532" i="1"/>
  <c r="B238" i="1"/>
  <c r="B382" i="1"/>
  <c r="B512" i="1"/>
  <c r="B544" i="1"/>
  <c r="B90" i="1"/>
  <c r="B343" i="1"/>
  <c r="B255" i="1"/>
  <c r="B122" i="1"/>
  <c r="B508" i="1"/>
  <c r="B39" i="1"/>
  <c r="B143" i="1"/>
  <c r="B540" i="1"/>
  <c r="B502" i="1"/>
  <c r="B58" i="1"/>
  <c r="B471" i="1"/>
  <c r="B503" i="1"/>
  <c r="B521" i="1"/>
  <c r="B162" i="1"/>
  <c r="B314" i="1"/>
  <c r="B415" i="1"/>
  <c r="B261" i="1"/>
  <c r="B474" i="1"/>
  <c r="B21" i="1"/>
  <c r="B359" i="1"/>
  <c r="B223" i="1"/>
  <c r="B118" i="1"/>
  <c r="B330" i="1"/>
  <c r="B66" i="1"/>
  <c r="B527" i="1"/>
  <c r="B98" i="1"/>
  <c r="B40" i="1"/>
  <c r="B407" i="1"/>
  <c r="B377" i="1"/>
  <c r="B450" i="1"/>
  <c r="B351" i="1"/>
  <c r="B119" i="1"/>
  <c r="B224" i="1"/>
  <c r="B133" i="1"/>
  <c r="B509" i="1"/>
  <c r="B280" i="1"/>
  <c r="B239" i="1"/>
  <c r="B13" i="1"/>
  <c r="B436" i="1"/>
  <c r="B320" i="1"/>
  <c r="B362" i="1"/>
  <c r="B468" i="1"/>
  <c r="B256" i="1"/>
  <c r="B5" i="1"/>
  <c r="B462" i="1"/>
  <c r="B469" i="1"/>
  <c r="B212" i="1"/>
  <c r="B416" i="1"/>
  <c r="B202" i="1"/>
  <c r="B300" i="1"/>
  <c r="B371" i="1"/>
  <c r="B437" i="1"/>
  <c r="B301" i="1"/>
  <c r="B344" i="1"/>
  <c r="B9" i="1"/>
  <c r="B463" i="1"/>
  <c r="B345" i="1"/>
  <c r="B530" i="1"/>
  <c r="B101" i="1"/>
  <c r="B22" i="1"/>
  <c r="B438" i="1"/>
  <c r="B311" i="1"/>
  <c r="B486" i="1"/>
  <c r="B383" i="1"/>
  <c r="B150" i="1"/>
  <c r="B394" i="1"/>
  <c r="B439" i="1"/>
  <c r="B51" i="1"/>
  <c r="B76" i="1"/>
  <c r="B99" i="1"/>
  <c r="B120" i="1"/>
  <c r="B325" i="1"/>
  <c r="B247" i="1"/>
  <c r="B257" i="1"/>
  <c r="B166" i="1"/>
  <c r="B522" i="1"/>
  <c r="B144" i="1"/>
  <c r="B74" i="1"/>
  <c r="B59" i="1"/>
  <c r="B106" i="1"/>
  <c r="B18" i="1"/>
  <c r="B378" i="1"/>
  <c r="B365" i="1"/>
  <c r="B136" i="1"/>
  <c r="B123" i="1"/>
  <c r="B454" i="1"/>
  <c r="B263" i="1"/>
  <c r="B513" i="1"/>
  <c r="B281" i="1"/>
  <c r="B523" i="1"/>
  <c r="B203" i="1"/>
  <c r="B514" i="1"/>
  <c r="B216" i="1"/>
  <c r="B210" i="1"/>
  <c r="B356" i="1"/>
  <c r="B373" i="1"/>
  <c r="B315" i="1"/>
  <c r="B480" i="1"/>
  <c r="B61" i="1"/>
  <c r="B472" i="1"/>
  <c r="B134" i="1"/>
  <c r="B97" i="1"/>
  <c r="B151" i="1"/>
  <c r="B172" i="1"/>
  <c r="B248" i="1"/>
  <c r="B352" i="1"/>
  <c r="B504" i="1"/>
  <c r="B448" i="1"/>
  <c r="B91" i="1"/>
  <c r="B302" i="1"/>
  <c r="B204" i="1"/>
  <c r="B23" i="1"/>
  <c r="B537" i="1"/>
  <c r="B403" i="1"/>
  <c r="B173" i="1"/>
  <c r="B225" i="1"/>
  <c r="B41" i="1"/>
  <c r="B240" i="1"/>
  <c r="B464" i="1"/>
  <c r="B346" i="1"/>
  <c r="B303" i="1"/>
  <c r="B258" i="1"/>
  <c r="B226" i="1"/>
  <c r="B386" i="1"/>
  <c r="B304" i="1"/>
  <c r="B505" i="1"/>
  <c r="B92" i="1"/>
  <c r="B481" i="1"/>
  <c r="B321" i="1"/>
  <c r="B370" i="1"/>
  <c r="B533" i="1"/>
  <c r="B411" i="1"/>
  <c r="B541" i="1"/>
  <c r="B42" i="1"/>
  <c r="B113" i="1"/>
  <c r="B528" i="1"/>
  <c r="B282" i="1"/>
  <c r="B262" i="1"/>
  <c r="B417" i="1"/>
  <c r="B163" i="1"/>
  <c r="B71" i="1"/>
  <c r="B331" i="1"/>
  <c r="B174" i="1"/>
  <c r="B135" i="1"/>
  <c r="B43" i="1"/>
  <c r="B399" i="1"/>
  <c r="B552" i="1"/>
  <c r="B114" i="1"/>
  <c r="B305" i="1"/>
  <c r="B79" i="1"/>
  <c r="B241" i="1"/>
  <c r="B284" i="1"/>
  <c r="B227" i="1"/>
  <c r="B465" i="1"/>
  <c r="B353" i="1"/>
  <c r="B52" i="1"/>
  <c r="B391" i="1"/>
  <c r="B93" i="1"/>
  <c r="B529" i="1"/>
  <c r="B379" i="1"/>
  <c r="B332" i="1"/>
  <c r="B126" i="1"/>
  <c r="B269" i="1"/>
  <c r="B80" i="1"/>
  <c r="B510" i="1"/>
  <c r="B487" i="1"/>
  <c r="B213" i="1"/>
  <c r="B205" i="1"/>
  <c r="B306" i="1"/>
  <c r="B56" i="1"/>
  <c r="B555" i="1"/>
  <c r="B506" i="1"/>
  <c r="B307" i="1"/>
  <c r="B542" i="1"/>
  <c r="B206" i="1"/>
  <c r="B543" i="1"/>
</calcChain>
</file>

<file path=xl/sharedStrings.xml><?xml version="1.0" encoding="utf-8"?>
<sst xmlns="http://schemas.openxmlformats.org/spreadsheetml/2006/main" count="1667" uniqueCount="658">
  <si>
    <t>Vendor Name</t>
  </si>
  <si>
    <t>Address</t>
  </si>
  <si>
    <t>City</t>
  </si>
  <si>
    <t>Store Phone</t>
  </si>
  <si>
    <t>A &amp; H CONVENIENCE</t>
  </si>
  <si>
    <t>MERIDEN</t>
  </si>
  <si>
    <t>CT</t>
  </si>
  <si>
    <t>ACME #2439</t>
  </si>
  <si>
    <t>STAMFORD</t>
  </si>
  <si>
    <t>ACME #2494</t>
  </si>
  <si>
    <t>GREENWICH</t>
  </si>
  <si>
    <t>ACME #2497</t>
  </si>
  <si>
    <t>RIVERSIDE</t>
  </si>
  <si>
    <t>ACME #2633</t>
  </si>
  <si>
    <t>NEW CANAAN</t>
  </si>
  <si>
    <t>ADAM'S HOMETOWN MARKET</t>
  </si>
  <si>
    <t>THOMASTON</t>
  </si>
  <si>
    <t>ADAM'S HOMETOWN MARKETS</t>
  </si>
  <si>
    <t>PORTLAND</t>
  </si>
  <si>
    <t>ADAM'S IGA SUPERMARKET</t>
  </si>
  <si>
    <t>MILFORD</t>
  </si>
  <si>
    <t>ADAM'S SUPER FOOD STORE</t>
  </si>
  <si>
    <t>WATERTOWN</t>
  </si>
  <si>
    <t>DEEP RIVER</t>
  </si>
  <si>
    <t>ADAM'S SUPERMARKET</t>
  </si>
  <si>
    <t>SHELTON</t>
  </si>
  <si>
    <t>TERRYVILLE</t>
  </si>
  <si>
    <t>ALBANY GROCERY</t>
  </si>
  <si>
    <t>HARTFORD</t>
  </si>
  <si>
    <t>ALMONTE MARKET</t>
  </si>
  <si>
    <t>BRIDGEPORT</t>
  </si>
  <si>
    <t>AMIGO MARKET &amp; DELI</t>
  </si>
  <si>
    <t>ANSONIA XPRESS MART</t>
  </si>
  <si>
    <t>ANSONIA</t>
  </si>
  <si>
    <t>AZTECA MARKET</t>
  </si>
  <si>
    <t>BETTER VAL-U #1</t>
  </si>
  <si>
    <t>JEWETT CITY</t>
  </si>
  <si>
    <t>BETTER VAL-U #7</t>
  </si>
  <si>
    <t>CANTERBURY</t>
  </si>
  <si>
    <t>BIG Y #109 MARLBOROUGH</t>
  </si>
  <si>
    <t>MARLBOROUGH</t>
  </si>
  <si>
    <t>BIG Y BRANFORD #12</t>
  </si>
  <si>
    <t>BRANFORD</t>
  </si>
  <si>
    <t>BIG Y CHESHIRE # 40</t>
  </si>
  <si>
    <t>CHESHIRE</t>
  </si>
  <si>
    <t>BIG Y CLINTON #110</t>
  </si>
  <si>
    <t>CLINTON</t>
  </si>
  <si>
    <t>BIG Y DERBY #117</t>
  </si>
  <si>
    <t>DERBY</t>
  </si>
  <si>
    <t>BIG Y MILFORD #121</t>
  </si>
  <si>
    <t>BIG Y MYSTIC #05</t>
  </si>
  <si>
    <t>MYSTIC</t>
  </si>
  <si>
    <t>BIG Y OLD LYME #06</t>
  </si>
  <si>
    <t>OLD LYME</t>
  </si>
  <si>
    <t>BIG Y SHELTON #90</t>
  </si>
  <si>
    <t>BIG Y SIMSBURY #95</t>
  </si>
  <si>
    <t>SIMSBURY</t>
  </si>
  <si>
    <t>BIG Y WORLD CLASS MARKET #17</t>
  </si>
  <si>
    <t>STAFFORD SPRINGS</t>
  </si>
  <si>
    <t>BIG Y WORLD CLASS MARKET #18</t>
  </si>
  <si>
    <t>WEST HARTFORD</t>
  </si>
  <si>
    <t>BIG Y WORLD CLASS MARKET #30</t>
  </si>
  <si>
    <t>NORWICH</t>
  </si>
  <si>
    <t>BIG Y WORLD CLASS MARKET #31</t>
  </si>
  <si>
    <t>DANIELSON</t>
  </si>
  <si>
    <t>BIG Y WORLD CLASS MARKET #32</t>
  </si>
  <si>
    <t>NAUGATUCK</t>
  </si>
  <si>
    <t>BIG Y WORLD CLASS MARKET #33</t>
  </si>
  <si>
    <t>PLAINFIELD</t>
  </si>
  <si>
    <t>BIG Y WORLD CLASS MARKET #34</t>
  </si>
  <si>
    <t>MANSFIELD CENTER</t>
  </si>
  <si>
    <t>BIG Y WORLD CLASS MARKET #35</t>
  </si>
  <si>
    <t>MONROE</t>
  </si>
  <si>
    <t>BIG Y WORLD CLASS MARKET #36</t>
  </si>
  <si>
    <t>PLAINVILLE</t>
  </si>
  <si>
    <t>BIG Y WORLD CLASS MARKET #44</t>
  </si>
  <si>
    <t>ROCKY HILL</t>
  </si>
  <si>
    <t>BIG Y WORLD CLASS MARKET #45</t>
  </si>
  <si>
    <t>MANCHESTER</t>
  </si>
  <si>
    <t>BIG Y WORLD CLASS MARKET #48</t>
  </si>
  <si>
    <t>ENFIELD</t>
  </si>
  <si>
    <t>BIG Y WORLD CLASS MARKET #49</t>
  </si>
  <si>
    <t>NEWTOWN</t>
  </si>
  <si>
    <t>BIG Y WORLD CLASS MARKET #53</t>
  </si>
  <si>
    <t>AVON</t>
  </si>
  <si>
    <t>BIG Y WORLD CLASS MARKET #55</t>
  </si>
  <si>
    <t>GUILFORD</t>
  </si>
  <si>
    <t>BIG Y WORLD CLASS MARKET #56</t>
  </si>
  <si>
    <t>NEW MILFORD</t>
  </si>
  <si>
    <t>BIG Y WORLD CLASS MARKET #58</t>
  </si>
  <si>
    <t>OLD SAYBROOK</t>
  </si>
  <si>
    <t>BIG Y WORLD CLASS MARKET #59</t>
  </si>
  <si>
    <t>TORRINGTON</t>
  </si>
  <si>
    <t>BIG Y WORLD CLASS MARKET #60</t>
  </si>
  <si>
    <t>EAST WINDSOR</t>
  </si>
  <si>
    <t>BIG Y WORLD CLASS MARKET #61</t>
  </si>
  <si>
    <t>GROTON</t>
  </si>
  <si>
    <t>BIG Y WORLD CLASS MARKET #73</t>
  </si>
  <si>
    <t>ELLINGTON</t>
  </si>
  <si>
    <t>BIG Y WORLD CLASS MARKET #77</t>
  </si>
  <si>
    <t>NORTH HAVEN</t>
  </si>
  <si>
    <t>BIG Y WORLD CLASS MARKET #81</t>
  </si>
  <si>
    <t>TOLLAND</t>
  </si>
  <si>
    <t>BIG Y WORLD CLASS MARKET #82</t>
  </si>
  <si>
    <t>BETHEL</t>
  </si>
  <si>
    <t>BIG Y WORLD CLASS MARKET #84</t>
  </si>
  <si>
    <t>STRATFORD</t>
  </si>
  <si>
    <t>BIG Y WORLD CLASS MARKET #87</t>
  </si>
  <si>
    <t>NORTH BRANFORD</t>
  </si>
  <si>
    <t>BIG Y WORLD CLASS MARKET #88</t>
  </si>
  <si>
    <t>BRAVO SUPERMARKET</t>
  </si>
  <si>
    <t>BURRITO MEAT-AMERICA'S FOOD BSKT</t>
  </si>
  <si>
    <t>NEW BRITAIN</t>
  </si>
  <si>
    <t>C TOWN SUPERMARKET</t>
  </si>
  <si>
    <t>NORWALK</t>
  </si>
  <si>
    <t>DANBURY</t>
  </si>
  <si>
    <t>EAST HARTFORD</t>
  </si>
  <si>
    <t>CARLA'S SUPERMARKET</t>
  </si>
  <si>
    <t>CARLOS SUPERMARKET</t>
  </si>
  <si>
    <t>CARONNA'S MARKET</t>
  </si>
  <si>
    <t>CHERRY VALLEY MARKETPLACE</t>
  </si>
  <si>
    <t>WATERBURY</t>
  </si>
  <si>
    <t>CIBAO MARKET</t>
  </si>
  <si>
    <t>WILLIMANTIC</t>
  </si>
  <si>
    <t>COMPARE FOODS - A &amp; E</t>
  </si>
  <si>
    <t>COMPARE FOODS SUPERMARKET</t>
  </si>
  <si>
    <t>CONGRESS MARKET</t>
  </si>
  <si>
    <t>NEW HAVEN</t>
  </si>
  <si>
    <t>CORNER MARKET</t>
  </si>
  <si>
    <t>WALLINGFORD</t>
  </si>
  <si>
    <t>COUNTRY FARMS</t>
  </si>
  <si>
    <t>CRESPO &amp; SONS</t>
  </si>
  <si>
    <t>CROSS ROADS</t>
  </si>
  <si>
    <t>CRYSTAL GROCERY</t>
  </si>
  <si>
    <t>CVS #0071</t>
  </si>
  <si>
    <t>CVS #0123</t>
  </si>
  <si>
    <t>CVS #0124</t>
  </si>
  <si>
    <t>CVS #0133</t>
  </si>
  <si>
    <t>FAIRFIELD</t>
  </si>
  <si>
    <t>CVS #0135</t>
  </si>
  <si>
    <t>LITCHFIELD</t>
  </si>
  <si>
    <t>CVS #0145</t>
  </si>
  <si>
    <t>FARMINGTON</t>
  </si>
  <si>
    <t>CVS #0172</t>
  </si>
  <si>
    <t>CVS #0185</t>
  </si>
  <si>
    <t>SEYMOUR</t>
  </si>
  <si>
    <t>CVS #0231</t>
  </si>
  <si>
    <t>VERNON</t>
  </si>
  <si>
    <t>CVS #0288</t>
  </si>
  <si>
    <t>BRISTOL</t>
  </si>
  <si>
    <t>CVS #0294</t>
  </si>
  <si>
    <t>CVS #0343</t>
  </si>
  <si>
    <t>CVS #0348</t>
  </si>
  <si>
    <t>WETHERSFIELD</t>
  </si>
  <si>
    <t>CVS #0349</t>
  </si>
  <si>
    <t>WINDSOR</t>
  </si>
  <si>
    <t>CVS #0364</t>
  </si>
  <si>
    <t>MIDDLETOWN</t>
  </si>
  <si>
    <t>CVS #0377</t>
  </si>
  <si>
    <t>CVS #0388</t>
  </si>
  <si>
    <t>MADISON</t>
  </si>
  <si>
    <t>CVS #0459</t>
  </si>
  <si>
    <t>GLASTONBURY</t>
  </si>
  <si>
    <t>CVS #0623</t>
  </si>
  <si>
    <t>WESTPORT</t>
  </si>
  <si>
    <t>CVS #0629</t>
  </si>
  <si>
    <t>CVS #0671</t>
  </si>
  <si>
    <t>CVS #0691</t>
  </si>
  <si>
    <t>NEWINGTON</t>
  </si>
  <si>
    <t>CVS #0692</t>
  </si>
  <si>
    <t>CVS #0696</t>
  </si>
  <si>
    <t>BROOKFIELD</t>
  </si>
  <si>
    <t>CVS #0718</t>
  </si>
  <si>
    <t>CVS #0738</t>
  </si>
  <si>
    <t>RIDGEFIELD</t>
  </si>
  <si>
    <t>CVS #0750</t>
  </si>
  <si>
    <t>CVS #0775</t>
  </si>
  <si>
    <t>HAMDEN</t>
  </si>
  <si>
    <t>CVS #0785</t>
  </si>
  <si>
    <t>STORRS MANSFIELD</t>
  </si>
  <si>
    <t>CVS #0811</t>
  </si>
  <si>
    <t>CVS #0822</t>
  </si>
  <si>
    <t>CVS #0839</t>
  </si>
  <si>
    <t>CVS #0840</t>
  </si>
  <si>
    <t>CVS #0854</t>
  </si>
  <si>
    <t>CVS #0857</t>
  </si>
  <si>
    <t>EAST HAVEN</t>
  </si>
  <si>
    <t>CVS #0865</t>
  </si>
  <si>
    <t>CVS #0916</t>
  </si>
  <si>
    <t>OAKVILLE</t>
  </si>
  <si>
    <t>CVS #0918</t>
  </si>
  <si>
    <t>DARIEN</t>
  </si>
  <si>
    <t>CVS #0935</t>
  </si>
  <si>
    <t>CVS #0941</t>
  </si>
  <si>
    <t>WEST HAVEN</t>
  </si>
  <si>
    <t>CVS #0942</t>
  </si>
  <si>
    <t>BROOKLYN</t>
  </si>
  <si>
    <t>CVS #0943</t>
  </si>
  <si>
    <t>CVS #0953</t>
  </si>
  <si>
    <t>UNIONVILLE</t>
  </si>
  <si>
    <t>CVS #0954</t>
  </si>
  <si>
    <t>CVS #10130</t>
  </si>
  <si>
    <t>HEBRON</t>
  </si>
  <si>
    <t>CVS #1027</t>
  </si>
  <si>
    <t>CVS #10367</t>
  </si>
  <si>
    <t>TRUMBULL</t>
  </si>
  <si>
    <t>CVS #1043</t>
  </si>
  <si>
    <t>SOUTH WINDSOR</t>
  </si>
  <si>
    <t>CVS #1044</t>
  </si>
  <si>
    <t>CVS #10462</t>
  </si>
  <si>
    <t>CVS #1051</t>
  </si>
  <si>
    <t>CVS #1060</t>
  </si>
  <si>
    <t>SOUTHINGTON</t>
  </si>
  <si>
    <t>CVS #1070</t>
  </si>
  <si>
    <t>WINDSOR LOCKS</t>
  </si>
  <si>
    <t>CVS #1080</t>
  </si>
  <si>
    <t>NEW LONDON</t>
  </si>
  <si>
    <t>CVS #1097</t>
  </si>
  <si>
    <t>CVS #1101</t>
  </si>
  <si>
    <t>CVS #1102</t>
  </si>
  <si>
    <t>BLOOMFIELD</t>
  </si>
  <si>
    <t>CVS #1109</t>
  </si>
  <si>
    <t>CVS #1123</t>
  </si>
  <si>
    <t>SOUTHBURY</t>
  </si>
  <si>
    <t>CVS #1125</t>
  </si>
  <si>
    <t>CVS #1149</t>
  </si>
  <si>
    <t>CVS #1151</t>
  </si>
  <si>
    <t>CVS #1152</t>
  </si>
  <si>
    <t>NIANTIC</t>
  </si>
  <si>
    <t>CVS #1153</t>
  </si>
  <si>
    <t>CVS #1156</t>
  </si>
  <si>
    <t>CVS #1166</t>
  </si>
  <si>
    <t>CVS #1180</t>
  </si>
  <si>
    <t>CVS #1183</t>
  </si>
  <si>
    <t>CVS #1202</t>
  </si>
  <si>
    <t>GRANBY</t>
  </si>
  <si>
    <t>CVS #1241</t>
  </si>
  <si>
    <t>CVS #1242</t>
  </si>
  <si>
    <t>CVS #1244</t>
  </si>
  <si>
    <t>PROSPECT</t>
  </si>
  <si>
    <t>CVS #1268</t>
  </si>
  <si>
    <t>WATERFORD</t>
  </si>
  <si>
    <t>CVS #1276</t>
  </si>
  <si>
    <t>CVS #1280</t>
  </si>
  <si>
    <t>CVS #1284</t>
  </si>
  <si>
    <t>CVS #1775</t>
  </si>
  <si>
    <t>CVS #1897</t>
  </si>
  <si>
    <t>CVS #1903</t>
  </si>
  <si>
    <t>CVS #1912</t>
  </si>
  <si>
    <t>CVS #1941</t>
  </si>
  <si>
    <t>CVS #1948</t>
  </si>
  <si>
    <t>CVS #1960</t>
  </si>
  <si>
    <t>CVS #1966</t>
  </si>
  <si>
    <t>CVS #1968</t>
  </si>
  <si>
    <t>CVS #2018</t>
  </si>
  <si>
    <t>CVS #2022</t>
  </si>
  <si>
    <t>SUFFIELD</t>
  </si>
  <si>
    <t>CVS #2056</t>
  </si>
  <si>
    <t>CVS #2097</t>
  </si>
  <si>
    <t>ORANGE</t>
  </si>
  <si>
    <t>CVS #2099</t>
  </si>
  <si>
    <t>CVS #2109</t>
  </si>
  <si>
    <t>VERNON ROCKVILLE</t>
  </si>
  <si>
    <t>CVS #2119</t>
  </si>
  <si>
    <t>KENSINGTON</t>
  </si>
  <si>
    <t>CVS #2140</t>
  </si>
  <si>
    <t>CVS #2143</t>
  </si>
  <si>
    <t>CVS #2151</t>
  </si>
  <si>
    <t>CVS #2153</t>
  </si>
  <si>
    <t>CVS #2210</t>
  </si>
  <si>
    <t>CVS #2219</t>
  </si>
  <si>
    <t>CVS #2253</t>
  </si>
  <si>
    <t>CANTON</t>
  </si>
  <si>
    <t>CVS #2388</t>
  </si>
  <si>
    <t>CVS #2475</t>
  </si>
  <si>
    <t>COS COB</t>
  </si>
  <si>
    <t>CVS #2502</t>
  </si>
  <si>
    <t>CVS #2525</t>
  </si>
  <si>
    <t>CVS #2545</t>
  </si>
  <si>
    <t>CVS #2572</t>
  </si>
  <si>
    <t>CVS #2573</t>
  </si>
  <si>
    <t>CVS #2682</t>
  </si>
  <si>
    <t>WINSTED</t>
  </si>
  <si>
    <t>CVS #2839</t>
  </si>
  <si>
    <t>UNCASVILLE</t>
  </si>
  <si>
    <t>CVS #2896</t>
  </si>
  <si>
    <t>CVS #3373</t>
  </si>
  <si>
    <t>CVS #3549</t>
  </si>
  <si>
    <t>CVS #3719</t>
  </si>
  <si>
    <t>CVS #4436</t>
  </si>
  <si>
    <t>CVS #4473</t>
  </si>
  <si>
    <t>EAST LYME</t>
  </si>
  <si>
    <t>CVS #5263</t>
  </si>
  <si>
    <t>CVS #5450</t>
  </si>
  <si>
    <t>CVS #5703</t>
  </si>
  <si>
    <t>CVS #5848</t>
  </si>
  <si>
    <t>COLCHESTER</t>
  </si>
  <si>
    <t>CVS #6702</t>
  </si>
  <si>
    <t>CVS #6807</t>
  </si>
  <si>
    <t>CVS #7093</t>
  </si>
  <si>
    <t>CVS #7916</t>
  </si>
  <si>
    <t>BURLINGTON</t>
  </si>
  <si>
    <t>CVS #8249</t>
  </si>
  <si>
    <t>PUTNAM</t>
  </si>
  <si>
    <t>DANIELA DELI MARKET</t>
  </si>
  <si>
    <t>DEFLORIO'S VARIETY</t>
  </si>
  <si>
    <t>DREAM FOOD MART</t>
  </si>
  <si>
    <t>EDDY'S FOOD CENTER</t>
  </si>
  <si>
    <t>EL MERCADITO GROCERY</t>
  </si>
  <si>
    <t>FLATBUSH MARKET</t>
  </si>
  <si>
    <t>FOOD BAZAAR</t>
  </si>
  <si>
    <t>FOOD BAZAAR FARMERS MARKET</t>
  </si>
  <si>
    <t>GALA FOODS</t>
  </si>
  <si>
    <t>GALA FOODS SUPERMARKET</t>
  </si>
  <si>
    <t>GEISSLER'S SUPERMARKET</t>
  </si>
  <si>
    <t>SOMERS</t>
  </si>
  <si>
    <t>GRADE A MARKET #391</t>
  </si>
  <si>
    <t>GRADE A MARKET #395</t>
  </si>
  <si>
    <t>GRADE A SHOPRITE #390</t>
  </si>
  <si>
    <t>GRADE A SHOPRITE #392</t>
  </si>
  <si>
    <t>GRADE A SHOPRITE #394</t>
  </si>
  <si>
    <t>GRADE A SHOPRITE #396</t>
  </si>
  <si>
    <t>GRADE A SHOPRITE #397</t>
  </si>
  <si>
    <t>GRADE A SHOPRITE #398</t>
  </si>
  <si>
    <t>GRADE A SHOPRITE-DANBURY #388</t>
  </si>
  <si>
    <t>GRADE A SHOPRITE-FAIRFIELD 399</t>
  </si>
  <si>
    <t>GRADE A SHOPRITE-SOUTHBURY 389</t>
  </si>
  <si>
    <t>JAY SHREE KRASHNA LLC</t>
  </si>
  <si>
    <t>JR SUPERMARKET</t>
  </si>
  <si>
    <t>JR SUPERMARKET 2</t>
  </si>
  <si>
    <t>JUNCO &amp; DAUGHTER MARKET</t>
  </si>
  <si>
    <t>JUNCO 9</t>
  </si>
  <si>
    <t>KEKO'S DELI LLC</t>
  </si>
  <si>
    <t>KEY FOOD</t>
  </si>
  <si>
    <t>KEY FOOD FRESH</t>
  </si>
  <si>
    <t>KRAUSZER'S FOOD STORE</t>
  </si>
  <si>
    <t>LA MARQUETA MEAT &amp; PRODUCE</t>
  </si>
  <si>
    <t>LA PLACITA MARKET 4</t>
  </si>
  <si>
    <t>LA PLACITA OF BETHEL, LLC</t>
  </si>
  <si>
    <t>LA PLAZA DEL MERCADO</t>
  </si>
  <si>
    <t>LA SUPERMARKETA</t>
  </si>
  <si>
    <t>LENNYS GROCERY II</t>
  </si>
  <si>
    <t>LIAM SUPER DELI</t>
  </si>
  <si>
    <t>LOMBARD DELI &amp; GROCERY</t>
  </si>
  <si>
    <t>LOS CHICOS ALEGRES</t>
  </si>
  <si>
    <t>LOS PRIMOS MINI MARKET</t>
  </si>
  <si>
    <t>MARKET 32 BY PRICE CHOPPER</t>
  </si>
  <si>
    <t>MARKET 32 BY PRICE CHOPPER #248</t>
  </si>
  <si>
    <t>OXFORD</t>
  </si>
  <si>
    <t>MARQUETA PUTNAM MEAT LLC</t>
  </si>
  <si>
    <t>MARTINEZ MINI MARKET</t>
  </si>
  <si>
    <t>MELO MINI MARKET</t>
  </si>
  <si>
    <t>MOE QUALITY MARKET</t>
  </si>
  <si>
    <t>MOON MART</t>
  </si>
  <si>
    <t>MY FAIR HAVEN PHARMACY</t>
  </si>
  <si>
    <t>NAVAL COMMISSARY STORE</t>
  </si>
  <si>
    <t>NEW ENGLAND SHOPPE</t>
  </si>
  <si>
    <t>NSA SUPERMARKET</t>
  </si>
  <si>
    <t>PAPI'S VARIETY STORE LLC</t>
  </si>
  <si>
    <t>PARADISE SUPERMARKET</t>
  </si>
  <si>
    <t>PEOPLE'S PLAZA</t>
  </si>
  <si>
    <t>PLAZA FOOD STORE</t>
  </si>
  <si>
    <t>POLLA SUPERMARKET</t>
  </si>
  <si>
    <t>PRICE CHOPPER #189</t>
  </si>
  <si>
    <t>PRICE CHOPPER #203</t>
  </si>
  <si>
    <t>PRICE CHOPPER #204</t>
  </si>
  <si>
    <t>PRICE CHOPPER #209</t>
  </si>
  <si>
    <t>PRICE CHOPPER #221</t>
  </si>
  <si>
    <t>PRICE CHOPPER #232</t>
  </si>
  <si>
    <t>PRICE CHOPPER #243</t>
  </si>
  <si>
    <t>STORRS</t>
  </si>
  <si>
    <t>PRICERITE OF BRIDGEPORT</t>
  </si>
  <si>
    <t>PRICERITE OF DANBURY</t>
  </si>
  <si>
    <t>PRICERITE OF HAMDEN</t>
  </si>
  <si>
    <t>PRICERITE OF MAIN ST BRIDGEPORT</t>
  </si>
  <si>
    <t>PRICERITE OF NEW BRITAIN</t>
  </si>
  <si>
    <t>PRICERITE OF TORRINGTON #311</t>
  </si>
  <si>
    <t>PRICERITE OF WEST HARTFORD</t>
  </si>
  <si>
    <t>PRICERITE OF WETHERSFIELD #348</t>
  </si>
  <si>
    <t>PRICERITE OF WINDSOR</t>
  </si>
  <si>
    <t>R &amp; M CORNER MARKET</t>
  </si>
  <si>
    <t>RAVI FOOD MART</t>
  </si>
  <si>
    <t>RICHMOND HILL MINI MARKET-JC MARKET</t>
  </si>
  <si>
    <t>SAM'S DELI &amp; CONVENIENCE STORE</t>
  </si>
  <si>
    <t>SAMMY MARKET INC.</t>
  </si>
  <si>
    <t>SAMMY'S DOLLAR STORE</t>
  </si>
  <si>
    <t>SAVE A LOT</t>
  </si>
  <si>
    <t>SHOPRITE OF CANTON</t>
  </si>
  <si>
    <t>SHOPRITE OF CLINTON</t>
  </si>
  <si>
    <t>SHOPRITE OF CROMWELL #331</t>
  </si>
  <si>
    <t>CROMWELL</t>
  </si>
  <si>
    <t>SHOPRITE OF EAST HARTFORD #340</t>
  </si>
  <si>
    <t>SHOPRITE OF EAST HAVEN #326</t>
  </si>
  <si>
    <t>SHOPRITE OF ENFIELD</t>
  </si>
  <si>
    <t>SHOPRITE OF FARMINGTON AVE</t>
  </si>
  <si>
    <t>SHOPRITE OF HAMDEN #324</t>
  </si>
  <si>
    <t>SHOPRITE OF MANCHESTER #330</t>
  </si>
  <si>
    <t>SHOPRITE OF MILFORD #327</t>
  </si>
  <si>
    <t>SHOPRITE OF NEW LONDON</t>
  </si>
  <si>
    <t>SHOPRITE OF NORWICH #336</t>
  </si>
  <si>
    <t>SHOPRITE OF ORANGE #325</t>
  </si>
  <si>
    <t>SHOPRITE OF SOUTHINGTON</t>
  </si>
  <si>
    <t>SHOPRITE OF STRATFORD #320</t>
  </si>
  <si>
    <t>SHOPRITE OF TRI-CITY PLAZA</t>
  </si>
  <si>
    <t>SHOPRITE OF WALLINGFORD #321</t>
  </si>
  <si>
    <t>SONO MARKET</t>
  </si>
  <si>
    <t>STAMFORD MARKET</t>
  </si>
  <si>
    <t>STAR SUPERMARKET &amp; DELI</t>
  </si>
  <si>
    <t>STOP &amp; SHOP #2604</t>
  </si>
  <si>
    <t>STOP &amp; SHOP #2605 #691</t>
  </si>
  <si>
    <t>STOP &amp; SHOP #2606</t>
  </si>
  <si>
    <t>STOP &amp; SHOP #2607</t>
  </si>
  <si>
    <t>PAWCATUCK</t>
  </si>
  <si>
    <t>STOP &amp; SHOP #2610</t>
  </si>
  <si>
    <t>STOP &amp; SHOP #2611</t>
  </si>
  <si>
    <t>EAST HAMPTON</t>
  </si>
  <si>
    <t>STOP &amp; SHOP #2612</t>
  </si>
  <si>
    <t>NEW FAIRFIELD</t>
  </si>
  <si>
    <t>STOP &amp; SHOP #2613</t>
  </si>
  <si>
    <t>STOP &amp; SHOP #2614</t>
  </si>
  <si>
    <t>STOP &amp; SHOP #2616</t>
  </si>
  <si>
    <t>STOP &amp; SHOP #2633</t>
  </si>
  <si>
    <t>STOP &amp; SHOP #600</t>
  </si>
  <si>
    <t>STOP &amp; SHOP #603</t>
  </si>
  <si>
    <t>STOP &amp; SHOP #604</t>
  </si>
  <si>
    <t>STOP &amp; SHOP #605</t>
  </si>
  <si>
    <t>STOP &amp; SHOP #606</t>
  </si>
  <si>
    <t>STOP &amp; SHOP #607</t>
  </si>
  <si>
    <t>STOP &amp; SHOP #608</t>
  </si>
  <si>
    <t>STOP &amp; SHOP #610</t>
  </si>
  <si>
    <t>STOP &amp; SHOP #611</t>
  </si>
  <si>
    <t>STOP &amp; SHOP #613</t>
  </si>
  <si>
    <t>STOP &amp; SHOP #614</t>
  </si>
  <si>
    <t>BERLIN</t>
  </si>
  <si>
    <t>STOP &amp; SHOP #615</t>
  </si>
  <si>
    <t>STOP &amp; SHOP #616</t>
  </si>
  <si>
    <t>STOP &amp; SHOP #618</t>
  </si>
  <si>
    <t>STOP &amp; SHOP #619</t>
  </si>
  <si>
    <t>STOP &amp; SHOP #620 SUPER</t>
  </si>
  <si>
    <t>STOP &amp; SHOP #621</t>
  </si>
  <si>
    <t>STOP &amp; SHOP #622</t>
  </si>
  <si>
    <t>STOP &amp; SHOP #623</t>
  </si>
  <si>
    <t>STOP &amp; SHOP #624</t>
  </si>
  <si>
    <t>STOP &amp; SHOP #625</t>
  </si>
  <si>
    <t>STOP &amp; SHOP #628</t>
  </si>
  <si>
    <t>STOP &amp; SHOP #629</t>
  </si>
  <si>
    <t>STOP &amp; SHOP #630</t>
  </si>
  <si>
    <t>STOP &amp; SHOP #631</t>
  </si>
  <si>
    <t>STOP &amp; SHOP #632</t>
  </si>
  <si>
    <t>STOP &amp; SHOP #634</t>
  </si>
  <si>
    <t>STOP &amp; SHOP #635</t>
  </si>
  <si>
    <t>STOP &amp; SHOP #636</t>
  </si>
  <si>
    <t>STOP &amp; SHOP #637</t>
  </si>
  <si>
    <t>STOP &amp; SHOP #638</t>
  </si>
  <si>
    <t>STOP &amp; SHOP #639</t>
  </si>
  <si>
    <t>STOP &amp; SHOP #640 SUPER</t>
  </si>
  <si>
    <t>STOP &amp; SHOP #642 SUPER</t>
  </si>
  <si>
    <t>STOP &amp; SHOP #644</t>
  </si>
  <si>
    <t>STOP &amp; SHOP #645</t>
  </si>
  <si>
    <t>STOP &amp; SHOP #646</t>
  </si>
  <si>
    <t>STOP &amp; SHOP #647</t>
  </si>
  <si>
    <t>STOP &amp; SHOP #648</t>
  </si>
  <si>
    <t>STOP &amp; SHOP #650</t>
  </si>
  <si>
    <t>STOP &amp; SHOP #651</t>
  </si>
  <si>
    <t>STOP &amp; SHOP #652</t>
  </si>
  <si>
    <t>STOP &amp; SHOP #653</t>
  </si>
  <si>
    <t>STOP &amp; SHOP #654</t>
  </si>
  <si>
    <t>STOP &amp; SHOP #656</t>
  </si>
  <si>
    <t>STOP &amp; SHOP #657</t>
  </si>
  <si>
    <t>STOP &amp; SHOP #658</t>
  </si>
  <si>
    <t>WILTON</t>
  </si>
  <si>
    <t>STOP &amp; SHOP #659</t>
  </si>
  <si>
    <t>STOP &amp; SHOP #662</t>
  </si>
  <si>
    <t>STOP &amp; SHOP #663</t>
  </si>
  <si>
    <t>STOP &amp; SHOP #665 SUPER</t>
  </si>
  <si>
    <t>STOP &amp; SHOP #667</t>
  </si>
  <si>
    <t>STOP &amp; SHOP #670</t>
  </si>
  <si>
    <t>STOP &amp; SHOP #673</t>
  </si>
  <si>
    <t>STOP &amp; SHOP #674</t>
  </si>
  <si>
    <t>STOP &amp; SHOP #675</t>
  </si>
  <si>
    <t>STOP &amp; SHOP #677</t>
  </si>
  <si>
    <t>CANAAN</t>
  </si>
  <si>
    <t>STOP &amp; SHOP #678 SUPER</t>
  </si>
  <si>
    <t>STOP &amp; SHOP #679</t>
  </si>
  <si>
    <t>STOP &amp; SHOP #681</t>
  </si>
  <si>
    <t>STOP &amp; SHOP #682</t>
  </si>
  <si>
    <t>STOP &amp; SHOP #683</t>
  </si>
  <si>
    <t>STOP &amp; SHOP #684</t>
  </si>
  <si>
    <t>STOP &amp; SHOP #685 SUPER</t>
  </si>
  <si>
    <t>STOP &amp; SHOP #686</t>
  </si>
  <si>
    <t>STOP &amp; SHOP #687</t>
  </si>
  <si>
    <t>STOP &amp; SHOP #688</t>
  </si>
  <si>
    <t>STOP &amp; SHOP #689</t>
  </si>
  <si>
    <t>STOP &amp; SHOP #692</t>
  </si>
  <si>
    <t>STOP &amp; SHOP #694</t>
  </si>
  <si>
    <t>STOP &amp; SHOP #695</t>
  </si>
  <si>
    <t>STOP &amp; SHOP #696</t>
  </si>
  <si>
    <t>STOP &amp; SHOP #697 SUPER</t>
  </si>
  <si>
    <t>DAYVILLE</t>
  </si>
  <si>
    <t>STOP &amp; SHOP #698 SUPER</t>
  </si>
  <si>
    <t>STOP &amp; SHOP #699</t>
  </si>
  <si>
    <t>STOP &amp; SHOP #727</t>
  </si>
  <si>
    <t>SUFFIELD VILLAGE MARKET LLC</t>
  </si>
  <si>
    <t>SUNSHINE FARMS MINI MARKET LLC</t>
  </si>
  <si>
    <t>T &amp; J SUPERMARKET</t>
  </si>
  <si>
    <t>TARGET T-1249</t>
  </si>
  <si>
    <t>TARGET T-1255</t>
  </si>
  <si>
    <t>TARGET T-1267</t>
  </si>
  <si>
    <t>TARGET T-1289</t>
  </si>
  <si>
    <t>TARGET T-1373</t>
  </si>
  <si>
    <t>TARGET T-1528</t>
  </si>
  <si>
    <t>TARGET T-1544</t>
  </si>
  <si>
    <t>TARGET T-1802</t>
  </si>
  <si>
    <t>TARGET T-1955</t>
  </si>
  <si>
    <t>TARGET T-1956</t>
  </si>
  <si>
    <t>TARGET T-2045</t>
  </si>
  <si>
    <t>TARGET T-2249</t>
  </si>
  <si>
    <t>TARGET T-2305</t>
  </si>
  <si>
    <t>TARGET T-2361</t>
  </si>
  <si>
    <t>TARGET T-2433</t>
  </si>
  <si>
    <t>LISBON</t>
  </si>
  <si>
    <t>TARGET T-2434</t>
  </si>
  <si>
    <t>TESTPROD4/25/23</t>
  </si>
  <si>
    <t>THE MEAT KING FARM</t>
  </si>
  <si>
    <t>TOPS SUPERMARKET</t>
  </si>
  <si>
    <t>PLANTSVILLE</t>
  </si>
  <si>
    <t>UTUADO GROCERY</t>
  </si>
  <si>
    <t>VISEL'S PHARMACY</t>
  </si>
  <si>
    <t>WALGREENS #10058</t>
  </si>
  <si>
    <t>WALGREENS #10119</t>
  </si>
  <si>
    <t>WALGREENS #10144</t>
  </si>
  <si>
    <t>WALGREENS #10177</t>
  </si>
  <si>
    <t>WALGREENS #10244</t>
  </si>
  <si>
    <t>WESTBROOK</t>
  </si>
  <si>
    <t>WALGREENS #10261</t>
  </si>
  <si>
    <t>WALGREENS #10309</t>
  </si>
  <si>
    <t>WALGREENS #10310</t>
  </si>
  <si>
    <t>WALGREENS #10483</t>
  </si>
  <si>
    <t>WALGREENS #10647</t>
  </si>
  <si>
    <t>WALGREENS #11164</t>
  </si>
  <si>
    <t>WALGREENS #11533</t>
  </si>
  <si>
    <t>WALGREENS #11619</t>
  </si>
  <si>
    <t>WALGREENS #11620</t>
  </si>
  <si>
    <t>WALGREENS #11825</t>
  </si>
  <si>
    <t>WALGREENS #11919</t>
  </si>
  <si>
    <t>COVENTRY</t>
  </si>
  <si>
    <t>WALGREENS #12058</t>
  </si>
  <si>
    <t>WALGREENS #12120</t>
  </si>
  <si>
    <t>WALGREENS #12315</t>
  </si>
  <si>
    <t>WALGREENS #12338</t>
  </si>
  <si>
    <t>WALGREENS #1451</t>
  </si>
  <si>
    <t>WALGREENS #1455</t>
  </si>
  <si>
    <t>WALGREENS #15207</t>
  </si>
  <si>
    <t>WALGREENS #16080</t>
  </si>
  <si>
    <t>WALGREENS #17216</t>
  </si>
  <si>
    <t>WALGREENS #17219</t>
  </si>
  <si>
    <t>WALGREENS #17224</t>
  </si>
  <si>
    <t>WALGREENS #17298</t>
  </si>
  <si>
    <t>WALGREENS #17500</t>
  </si>
  <si>
    <t>WALGREENS #17726</t>
  </si>
  <si>
    <t>WALGREENS #17767</t>
  </si>
  <si>
    <t>ESSEX</t>
  </si>
  <si>
    <t>WALGREENS #17893</t>
  </si>
  <si>
    <t>WALGREENS #17899</t>
  </si>
  <si>
    <t>WALGREENS #17929</t>
  </si>
  <si>
    <t>MOOSUP</t>
  </si>
  <si>
    <t>WALGREENS #18169</t>
  </si>
  <si>
    <t>WALGREENS #18243</t>
  </si>
  <si>
    <t>WALGREENS #1826</t>
  </si>
  <si>
    <t>WALGREENS #18969</t>
  </si>
  <si>
    <t>WALGREENS #18975</t>
  </si>
  <si>
    <t>WALGREENS #19134</t>
  </si>
  <si>
    <t>WALGREENS #19244</t>
  </si>
  <si>
    <t>WALGREENS #19414</t>
  </si>
  <si>
    <t>WALGREENS #19532</t>
  </si>
  <si>
    <t>WALGREENS #19560</t>
  </si>
  <si>
    <t>WALGREENS #1977</t>
  </si>
  <si>
    <t>WALGREENS #19836</t>
  </si>
  <si>
    <t>WALGREENS #19888</t>
  </si>
  <si>
    <t>WALGREENS #19944</t>
  </si>
  <si>
    <t>WALGREENS #21268</t>
  </si>
  <si>
    <t>WALGREENS #2228</t>
  </si>
  <si>
    <t>WALGREENS #2410</t>
  </si>
  <si>
    <t>WALGREENS #2858</t>
  </si>
  <si>
    <t>WALGREENS #2976</t>
  </si>
  <si>
    <t>WALGREENS #3192</t>
  </si>
  <si>
    <t>WALGREENS #3359</t>
  </si>
  <si>
    <t>WALGREENS #3523</t>
  </si>
  <si>
    <t>WALGREENS #3579</t>
  </si>
  <si>
    <t>WALGREENS #3827</t>
  </si>
  <si>
    <t>WALGREENS #3944</t>
  </si>
  <si>
    <t>WALGREENS #4490</t>
  </si>
  <si>
    <t>WALGREENS #5134</t>
  </si>
  <si>
    <t>WALGREENS #5406</t>
  </si>
  <si>
    <t>WALGREENS #5407</t>
  </si>
  <si>
    <t>WALGREENS #5723</t>
  </si>
  <si>
    <t>WALGREENS #5948</t>
  </si>
  <si>
    <t>WALGREENS #5949</t>
  </si>
  <si>
    <t>WALGREENS #6308</t>
  </si>
  <si>
    <t>WALGREENS #6474</t>
  </si>
  <si>
    <t>WALGREENS #6503</t>
  </si>
  <si>
    <t>WALGREENS #6654</t>
  </si>
  <si>
    <t>WALGREENS #6757</t>
  </si>
  <si>
    <t>WALGREENS #6914</t>
  </si>
  <si>
    <t>WALGREENS #6966</t>
  </si>
  <si>
    <t>WALGREENS #6968</t>
  </si>
  <si>
    <t>WALGREENS #6992</t>
  </si>
  <si>
    <t>WALGREENS #7047</t>
  </si>
  <si>
    <t>WALGREENS #7086</t>
  </si>
  <si>
    <t>WALGREENS #7145</t>
  </si>
  <si>
    <t>WALGREENS #7258</t>
  </si>
  <si>
    <t>WALGREENS #7333</t>
  </si>
  <si>
    <t>WALGREENS #7522</t>
  </si>
  <si>
    <t>WALGREENS #7566</t>
  </si>
  <si>
    <t>WALGREENS #7584</t>
  </si>
  <si>
    <t>WALGREENS #7585</t>
  </si>
  <si>
    <t>WALGREENS #7602</t>
  </si>
  <si>
    <t>WALGREENS #7641</t>
  </si>
  <si>
    <t>WALGREENS #7759</t>
  </si>
  <si>
    <t>WALGREENS #7814</t>
  </si>
  <si>
    <t>WALGREENS #9071</t>
  </si>
  <si>
    <t>WALGREENS #9101</t>
  </si>
  <si>
    <t>WALGREENS #9432</t>
  </si>
  <si>
    <t>WALGREENS #9521</t>
  </si>
  <si>
    <t>WALGREENS #9612</t>
  </si>
  <si>
    <t>WALGREENS #9746</t>
  </si>
  <si>
    <t>WALGREENS #9784</t>
  </si>
  <si>
    <t>WALGREENS #9785</t>
  </si>
  <si>
    <t>WALGREENS #9818</t>
  </si>
  <si>
    <t>WALGREENS #9820</t>
  </si>
  <si>
    <t>WALGREENS #9821</t>
  </si>
  <si>
    <t>WALMART STORE #1891</t>
  </si>
  <si>
    <t>WALMART STORE #2144</t>
  </si>
  <si>
    <t>WALMART STORE #2170</t>
  </si>
  <si>
    <t>WALMART STORE #2719</t>
  </si>
  <si>
    <t>WALMART STORE #2900</t>
  </si>
  <si>
    <t>WALMART STORE #3543</t>
  </si>
  <si>
    <t>WALMART STORE #3803</t>
  </si>
  <si>
    <t>WALMART SUPERCENTER #1980</t>
  </si>
  <si>
    <t>WALMART SUPERCENTER #2022</t>
  </si>
  <si>
    <t>NORTH WINDHAM</t>
  </si>
  <si>
    <t>WALMART SUPERCENTER #2282</t>
  </si>
  <si>
    <t>WALMART SUPERCENTER #2284</t>
  </si>
  <si>
    <t>WALMART SUPERCENTER #2299</t>
  </si>
  <si>
    <t>WALMART SUPERCENTER #2331</t>
  </si>
  <si>
    <t>WALMART SUPERCENTER #2371</t>
  </si>
  <si>
    <t>WALMART SUPERCENTER #2854</t>
  </si>
  <si>
    <t>WALMART SUPERCENTER #5095</t>
  </si>
  <si>
    <t>WALMART SUPERCENTER #5439</t>
  </si>
  <si>
    <t>WALMART SUPERCENTER #5777</t>
  </si>
  <si>
    <t>WALSH'S MARKET OF WOLCOTT</t>
  </si>
  <si>
    <t>WOLCOTT</t>
  </si>
  <si>
    <t>WATERBURY KOSHER WORLD LLC</t>
  </si>
  <si>
    <t>WHALLEY AVE FOOD MARKET</t>
  </si>
  <si>
    <t>WILLI QUICK MART</t>
  </si>
  <si>
    <t>WILLIAMS GROCERY &amp; DELI</t>
  </si>
  <si>
    <t>WINDHAM IGA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</si>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</sst>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5"/>
  <sheetViews>
    <sheetView tabSelected="1" workbookViewId="0">
      <selection activeCell="B27" sqref="B27"/>
    </sheetView>
  </sheetViews>
  <sheetFormatPr defaultRowHeight="14.4" x14ac:dyDescent="0.3"/>
  <cols>
    <col min="1" max="1" width="38.6640625" bestFit="1" customWidth="1"/>
    <col min="2" max="2" width="32.6640625" bestFit="1" customWidth="1"/>
    <col min="3" max="3" width="18.88671875" bestFit="1" customWidth="1"/>
    <col min="4" max="4" width="10.109375" customWidth="1"/>
    <col min="5" max="5" width="11.88671875" bestFit="1" customWidth="1"/>
  </cols>
  <sheetData>
    <row r="1" spans="1:5" s="1" customFormat="1" x14ac:dyDescent="0.3">
      <c r="A1" s="1" t="s">
        <v>0</v>
      </c>
      <c r="B1" s="1" t="s">
        <v>1</v>
      </c>
      <c r="C1" s="1" t="s">
        <v>2</v>
      </c>
      <c r="D1" s="1" t="s">
        <v>657</v>
      </c>
      <c r="E1" s="1" t="s">
        <v>3</v>
      </c>
    </row>
    <row r="2" spans="1:5" x14ac:dyDescent="0.3">
      <c r="A2" t="s">
        <v>32</v>
      </c>
      <c r="B2" t="str">
        <f>"180 WAKELEE AVE"</f>
        <v>180 WAKELEE AVE</v>
      </c>
      <c r="C2" t="s">
        <v>33</v>
      </c>
      <c r="D2" t="s">
        <v>6</v>
      </c>
      <c r="E2" t="str">
        <f>"2037343550"</f>
        <v>2037343550</v>
      </c>
    </row>
    <row r="3" spans="1:5" x14ac:dyDescent="0.3">
      <c r="A3" t="s">
        <v>172</v>
      </c>
      <c r="B3" t="str">
        <f>"24 PERSHING DR"</f>
        <v>24 PERSHING DR</v>
      </c>
      <c r="C3" t="s">
        <v>33</v>
      </c>
      <c r="D3" t="s">
        <v>6</v>
      </c>
      <c r="E3" t="str">
        <f>"2037357252"</f>
        <v>2037357252</v>
      </c>
    </row>
    <row r="4" spans="1:5" x14ac:dyDescent="0.3">
      <c r="A4" t="s">
        <v>450</v>
      </c>
      <c r="B4" t="str">
        <f>"100 DIVISION ST"</f>
        <v>100 DIVISION ST</v>
      </c>
      <c r="C4" t="s">
        <v>33</v>
      </c>
      <c r="D4" t="s">
        <v>6</v>
      </c>
      <c r="E4" t="str">
        <f>"2037323901"</f>
        <v>2037323901</v>
      </c>
    </row>
    <row r="5" spans="1:5" x14ac:dyDescent="0.3">
      <c r="A5" t="s">
        <v>516</v>
      </c>
      <c r="B5" t="str">
        <f>"20 W MAIN ST"</f>
        <v>20 W MAIN ST</v>
      </c>
      <c r="C5" t="s">
        <v>33</v>
      </c>
      <c r="D5" t="s">
        <v>6</v>
      </c>
      <c r="E5" t="str">
        <f>"2032785055"</f>
        <v>2032785055</v>
      </c>
    </row>
    <row r="6" spans="1:5" x14ac:dyDescent="0.3">
      <c r="A6" t="s">
        <v>83</v>
      </c>
      <c r="B6" t="str">
        <f>"255 W MAIN ST"</f>
        <v>255 W MAIN ST</v>
      </c>
      <c r="C6" t="s">
        <v>84</v>
      </c>
      <c r="D6" t="s">
        <v>6</v>
      </c>
      <c r="E6" t="str">
        <f>"8606781322"</f>
        <v>8606781322</v>
      </c>
    </row>
    <row r="7" spans="1:5" x14ac:dyDescent="0.3">
      <c r="A7" t="s">
        <v>232</v>
      </c>
      <c r="B7" t="str">
        <f>"358 W MAIN ST"</f>
        <v>358 W MAIN ST</v>
      </c>
      <c r="C7" t="s">
        <v>84</v>
      </c>
      <c r="D7" t="s">
        <v>6</v>
      </c>
      <c r="E7" t="str">
        <f>"8606788697"</f>
        <v>8606788697</v>
      </c>
    </row>
    <row r="8" spans="1:5" x14ac:dyDescent="0.3">
      <c r="A8" t="s">
        <v>432</v>
      </c>
      <c r="B8" t="str">
        <f>"1135 FARMINGTON AVE"</f>
        <v>1135 FARMINGTON AVE</v>
      </c>
      <c r="C8" t="s">
        <v>433</v>
      </c>
      <c r="D8" t="s">
        <v>6</v>
      </c>
      <c r="E8" t="str">
        <f>"8608280276"</f>
        <v>8608280276</v>
      </c>
    </row>
    <row r="9" spans="1:5" x14ac:dyDescent="0.3">
      <c r="A9" t="s">
        <v>529</v>
      </c>
      <c r="B9" t="str">
        <f>"980 FARMINGTON AVE"</f>
        <v>980 FARMINGTON AVE</v>
      </c>
      <c r="C9" t="s">
        <v>433</v>
      </c>
      <c r="D9" t="s">
        <v>6</v>
      </c>
      <c r="E9" t="str">
        <f>"8608286844"</f>
        <v>8608286844</v>
      </c>
    </row>
    <row r="10" spans="1:5" x14ac:dyDescent="0.3">
      <c r="A10" t="s">
        <v>103</v>
      </c>
      <c r="B10" t="str">
        <f>"83 STONY HILL RD"</f>
        <v>83 STONY HILL RD</v>
      </c>
      <c r="C10" t="s">
        <v>104</v>
      </c>
      <c r="D10" t="s">
        <v>6</v>
      </c>
      <c r="E10" t="str">
        <f>"2037918589"</f>
        <v>2037918589</v>
      </c>
    </row>
    <row r="11" spans="1:5" x14ac:dyDescent="0.3">
      <c r="A11" t="s">
        <v>221</v>
      </c>
      <c r="B11" t="str">
        <f>"7 DURANT AVE"</f>
        <v>7 DURANT AVE</v>
      </c>
      <c r="C11" t="s">
        <v>104</v>
      </c>
      <c r="D11" t="s">
        <v>6</v>
      </c>
      <c r="E11" t="str">
        <f>"2037941745"</f>
        <v>2037941745</v>
      </c>
    </row>
    <row r="12" spans="1:5" x14ac:dyDescent="0.3">
      <c r="A12" t="s">
        <v>338</v>
      </c>
      <c r="B12" t="str">
        <f>"289  GREENWOOD AVE"</f>
        <v>289  GREENWOOD AVE</v>
      </c>
      <c r="C12" t="s">
        <v>104</v>
      </c>
      <c r="D12" t="s">
        <v>6</v>
      </c>
      <c r="E12" t="str">
        <f>"2036165967"</f>
        <v>2036165967</v>
      </c>
    </row>
    <row r="13" spans="1:5" x14ac:dyDescent="0.3">
      <c r="A13" t="s">
        <v>510</v>
      </c>
      <c r="B13" t="str">
        <f>"7 STONY HILL RD"</f>
        <v>7 STONY HILL RD</v>
      </c>
      <c r="C13" t="s">
        <v>104</v>
      </c>
      <c r="D13" t="s">
        <v>6</v>
      </c>
      <c r="E13" t="str">
        <f>"2034481029"</f>
        <v>2034481029</v>
      </c>
    </row>
    <row r="14" spans="1:5" x14ac:dyDescent="0.3">
      <c r="A14" t="s">
        <v>219</v>
      </c>
      <c r="B14" t="str">
        <f>"341 COTTAGE GROVE RD"</f>
        <v>341 COTTAGE GROVE RD</v>
      </c>
      <c r="C14" t="s">
        <v>220</v>
      </c>
      <c r="D14" t="s">
        <v>6</v>
      </c>
      <c r="E14" t="str">
        <f>"8602433328"</f>
        <v>8602433328</v>
      </c>
    </row>
    <row r="15" spans="1:5" x14ac:dyDescent="0.3">
      <c r="A15" t="s">
        <v>247</v>
      </c>
      <c r="B15" t="str">
        <f>"799 PARK AVE"</f>
        <v>799 PARK AVE</v>
      </c>
      <c r="C15" t="s">
        <v>220</v>
      </c>
      <c r="D15" t="s">
        <v>6</v>
      </c>
      <c r="E15" t="str">
        <f>"8602431698"</f>
        <v>8602431698</v>
      </c>
    </row>
    <row r="16" spans="1:5" x14ac:dyDescent="0.3">
      <c r="A16" t="s">
        <v>314</v>
      </c>
      <c r="B16" t="str">
        <f>"40 TUNXIS AVE"</f>
        <v>40 TUNXIS AVE</v>
      </c>
      <c r="C16" t="s">
        <v>220</v>
      </c>
      <c r="D16" t="s">
        <v>6</v>
      </c>
      <c r="E16" t="str">
        <f>"8602424444"</f>
        <v>8602424444</v>
      </c>
    </row>
    <row r="17" spans="1:5" x14ac:dyDescent="0.3">
      <c r="A17" t="s">
        <v>463</v>
      </c>
      <c r="B17" t="str">
        <f>"313 COTTAGE GROVE RD"</f>
        <v>313 COTTAGE GROVE RD</v>
      </c>
      <c r="C17" t="s">
        <v>220</v>
      </c>
      <c r="D17" t="s">
        <v>6</v>
      </c>
      <c r="E17" t="str">
        <f>"8602425954"</f>
        <v>8602425954</v>
      </c>
    </row>
    <row r="18" spans="1:5" x14ac:dyDescent="0.3">
      <c r="A18" t="s">
        <v>557</v>
      </c>
      <c r="B18" t="str">
        <f>"835 PARK AVE"</f>
        <v>835 PARK AVE</v>
      </c>
      <c r="C18" t="s">
        <v>220</v>
      </c>
      <c r="D18" t="s">
        <v>6</v>
      </c>
      <c r="E18" t="str">
        <f>"8602425551"</f>
        <v>8602425551</v>
      </c>
    </row>
    <row r="19" spans="1:5" x14ac:dyDescent="0.3">
      <c r="A19" t="s">
        <v>41</v>
      </c>
      <c r="B19" t="str">
        <f>"1060 W MAIN ST"</f>
        <v>1060 W MAIN ST</v>
      </c>
      <c r="C19" t="s">
        <v>42</v>
      </c>
      <c r="D19" t="s">
        <v>6</v>
      </c>
      <c r="E19" t="str">
        <f>"2034819671"</f>
        <v>2034819671</v>
      </c>
    </row>
    <row r="20" spans="1:5" x14ac:dyDescent="0.3">
      <c r="A20" t="s">
        <v>143</v>
      </c>
      <c r="B20" t="str">
        <f>"2 SHORTBEACH RD"</f>
        <v>2 SHORTBEACH RD</v>
      </c>
      <c r="C20" t="s">
        <v>42</v>
      </c>
      <c r="D20" t="s">
        <v>6</v>
      </c>
      <c r="E20" t="str">
        <f>"2034884372"</f>
        <v>2034884372</v>
      </c>
    </row>
    <row r="21" spans="1:5" x14ac:dyDescent="0.3">
      <c r="A21" t="s">
        <v>490</v>
      </c>
      <c r="B21" t="str">
        <f>"22 LEETES ISLAND RD"</f>
        <v>22 LEETES ISLAND RD</v>
      </c>
      <c r="C21" t="s">
        <v>42</v>
      </c>
      <c r="D21" t="s">
        <v>6</v>
      </c>
      <c r="E21" t="str">
        <f>"2034881325"</f>
        <v>2034881325</v>
      </c>
    </row>
    <row r="22" spans="1:5" x14ac:dyDescent="0.3">
      <c r="A22" t="s">
        <v>535</v>
      </c>
      <c r="B22" t="str">
        <f>"1036 W. MAIN STREET"</f>
        <v>1036 W. MAIN STREET</v>
      </c>
      <c r="C22" t="s">
        <v>42</v>
      </c>
      <c r="D22" t="s">
        <v>6</v>
      </c>
      <c r="E22" t="str">
        <f>"2034889059"</f>
        <v>2034889059</v>
      </c>
    </row>
    <row r="23" spans="1:5" x14ac:dyDescent="0.3">
      <c r="A23" t="s">
        <v>590</v>
      </c>
      <c r="B23" t="str">
        <f>"329 E MAIN STREET"</f>
        <v>329 E MAIN STREET</v>
      </c>
      <c r="C23" t="s">
        <v>42</v>
      </c>
      <c r="D23" t="s">
        <v>6</v>
      </c>
      <c r="E23" t="str">
        <f>"2034810386"</f>
        <v>2034810386</v>
      </c>
    </row>
    <row r="24" spans="1:5" x14ac:dyDescent="0.3">
      <c r="A24" t="s">
        <v>29</v>
      </c>
      <c r="B24" t="str">
        <f>"288 BUNNELL STREET"</f>
        <v>288 BUNNELL STREET</v>
      </c>
      <c r="C24" t="s">
        <v>30</v>
      </c>
      <c r="D24" t="s">
        <v>6</v>
      </c>
      <c r="E24" t="str">
        <f>"2038700646"</f>
        <v>2038700646</v>
      </c>
    </row>
    <row r="25" spans="1:5" x14ac:dyDescent="0.3">
      <c r="A25" t="s">
        <v>34</v>
      </c>
      <c r="B25" t="str">
        <f>"522 PEQUONNOCK ST"</f>
        <v>522 PEQUONNOCK ST</v>
      </c>
      <c r="C25" t="s">
        <v>30</v>
      </c>
      <c r="D25" t="s">
        <v>6</v>
      </c>
      <c r="E25" t="str">
        <f>"2032969955"</f>
        <v>2032969955</v>
      </c>
    </row>
    <row r="26" spans="1:5" x14ac:dyDescent="0.3">
      <c r="A26" t="s">
        <v>229</v>
      </c>
      <c r="B26" t="str">
        <f>"1875 BOSTON AVE"</f>
        <v>1875 BOSTON AVE</v>
      </c>
      <c r="C26" t="s">
        <v>30</v>
      </c>
      <c r="D26" t="s">
        <v>6</v>
      </c>
      <c r="E26" t="str">
        <f>"2033308284"</f>
        <v>2033308284</v>
      </c>
    </row>
    <row r="27" spans="1:5" x14ac:dyDescent="0.3">
      <c r="A27" t="s">
        <v>266</v>
      </c>
      <c r="B27" t="str">
        <f>"3710 MAIN ST"</f>
        <v>3710 MAIN ST</v>
      </c>
      <c r="C27" t="s">
        <v>30</v>
      </c>
      <c r="D27" t="s">
        <v>6</v>
      </c>
      <c r="E27" t="str">
        <f>"2033711279"</f>
        <v>2033711279</v>
      </c>
    </row>
    <row r="28" spans="1:5" x14ac:dyDescent="0.3">
      <c r="A28" t="s">
        <v>310</v>
      </c>
      <c r="B28" t="str">
        <f>"500 SYLVAN AVE"</f>
        <v>500 SYLVAN AVE</v>
      </c>
      <c r="C28" t="s">
        <v>30</v>
      </c>
      <c r="D28" t="s">
        <v>6</v>
      </c>
      <c r="E28" t="str">
        <f>"2036833740"</f>
        <v>2036833740</v>
      </c>
    </row>
    <row r="29" spans="1:5" x14ac:dyDescent="0.3">
      <c r="A29" t="s">
        <v>311</v>
      </c>
      <c r="B29" t="str">
        <f>"345 HUNTINGTON TPKE"</f>
        <v>345 HUNTINGTON TPKE</v>
      </c>
      <c r="C29" t="s">
        <v>30</v>
      </c>
      <c r="D29" t="s">
        <v>6</v>
      </c>
      <c r="E29" t="str">
        <f>"2036106995"</f>
        <v>2036106995</v>
      </c>
    </row>
    <row r="30" spans="1:5" x14ac:dyDescent="0.3">
      <c r="A30" t="s">
        <v>312</v>
      </c>
      <c r="B30" t="str">
        <f>"1050 E MAIN ST"</f>
        <v>1050 E MAIN ST</v>
      </c>
      <c r="C30" t="s">
        <v>30</v>
      </c>
      <c r="D30" t="s">
        <v>6</v>
      </c>
      <c r="E30" t="str">
        <f>"2033669060"</f>
        <v>2033669060</v>
      </c>
    </row>
    <row r="31" spans="1:5" x14ac:dyDescent="0.3">
      <c r="A31" t="s">
        <v>313</v>
      </c>
      <c r="B31" t="str">
        <f>"1457 FAIRFIELD AVE"</f>
        <v>1457 FAIRFIELD AVE</v>
      </c>
      <c r="C31" t="s">
        <v>30</v>
      </c>
      <c r="D31" t="s">
        <v>6</v>
      </c>
      <c r="E31" t="str">
        <f>"2033301094"</f>
        <v>2033301094</v>
      </c>
    </row>
    <row r="32" spans="1:5" x14ac:dyDescent="0.3">
      <c r="A32" t="s">
        <v>330</v>
      </c>
      <c r="B32" t="str">
        <f>"533 HARRAL AVE"</f>
        <v>533 HARRAL AVE</v>
      </c>
      <c r="C32" t="s">
        <v>30</v>
      </c>
      <c r="D32" t="s">
        <v>6</v>
      </c>
      <c r="E32" t="str">
        <f>"2033376188"</f>
        <v>2033376188</v>
      </c>
    </row>
    <row r="33" spans="1:5" x14ac:dyDescent="0.3">
      <c r="A33" t="s">
        <v>331</v>
      </c>
      <c r="B33" t="str">
        <f>"373 HARRAL AVE"</f>
        <v>373 HARRAL AVE</v>
      </c>
      <c r="C33" t="s">
        <v>30</v>
      </c>
      <c r="D33" t="s">
        <v>6</v>
      </c>
      <c r="E33" t="str">
        <f>"2033319090"</f>
        <v>2033319090</v>
      </c>
    </row>
    <row r="34" spans="1:5" x14ac:dyDescent="0.3">
      <c r="A34" t="s">
        <v>334</v>
      </c>
      <c r="B34" t="str">
        <f>"2251 MAIN ST"</f>
        <v>2251 MAIN ST</v>
      </c>
      <c r="C34" t="s">
        <v>30</v>
      </c>
      <c r="D34" t="s">
        <v>6</v>
      </c>
      <c r="E34" t="str">
        <f>"2032758485"</f>
        <v>2032758485</v>
      </c>
    </row>
    <row r="35" spans="1:5" x14ac:dyDescent="0.3">
      <c r="A35" t="s">
        <v>371</v>
      </c>
      <c r="B35" t="str">
        <f>"164 BOSTON AVE"</f>
        <v>164 BOSTON AVE</v>
      </c>
      <c r="C35" t="s">
        <v>30</v>
      </c>
      <c r="D35" t="s">
        <v>6</v>
      </c>
      <c r="E35" t="str">
        <f>"2033336954"</f>
        <v>2033336954</v>
      </c>
    </row>
    <row r="36" spans="1:5" x14ac:dyDescent="0.3">
      <c r="A36" t="s">
        <v>374</v>
      </c>
      <c r="B36" t="str">
        <f>"4425 MAIN STREET"</f>
        <v>4425 MAIN STREET</v>
      </c>
      <c r="C36" t="s">
        <v>30</v>
      </c>
      <c r="D36" t="s">
        <v>6</v>
      </c>
      <c r="E36" t="str">
        <f>"2033960839"</f>
        <v>2033960839</v>
      </c>
    </row>
    <row r="37" spans="1:5" x14ac:dyDescent="0.3">
      <c r="A37" t="s">
        <v>385</v>
      </c>
      <c r="B37" t="str">
        <f>"500 PARK AVE SUITE 6"</f>
        <v>500 PARK AVE SUITE 6</v>
      </c>
      <c r="C37" t="s">
        <v>30</v>
      </c>
      <c r="D37" t="s">
        <v>6</v>
      </c>
      <c r="E37" t="str">
        <f>"2033829520"</f>
        <v>2033829520</v>
      </c>
    </row>
    <row r="38" spans="1:5" x14ac:dyDescent="0.3">
      <c r="A38" t="s">
        <v>386</v>
      </c>
      <c r="B38" t="str">
        <f>"540 PEQUONNOCK STREET"</f>
        <v>540 PEQUONNOCK STREET</v>
      </c>
      <c r="C38" t="s">
        <v>30</v>
      </c>
      <c r="D38" t="s">
        <v>6</v>
      </c>
      <c r="E38" t="str">
        <f>"2033350540"</f>
        <v>2033350540</v>
      </c>
    </row>
    <row r="39" spans="1:5" x14ac:dyDescent="0.3">
      <c r="A39" t="s">
        <v>476</v>
      </c>
      <c r="B39" t="str">
        <f>"4531 MAIN ST"</f>
        <v>4531 MAIN ST</v>
      </c>
      <c r="C39" t="s">
        <v>30</v>
      </c>
      <c r="D39" t="s">
        <v>6</v>
      </c>
      <c r="E39" t="str">
        <f>"2033716972"</f>
        <v>2033716972</v>
      </c>
    </row>
    <row r="40" spans="1:5" x14ac:dyDescent="0.3">
      <c r="A40" t="s">
        <v>499</v>
      </c>
      <c r="B40" t="str">
        <f>"2145 FAIRFIELD AVE"</f>
        <v>2145 FAIRFIELD AVE</v>
      </c>
      <c r="C40" t="s">
        <v>30</v>
      </c>
      <c r="D40" t="s">
        <v>6</v>
      </c>
      <c r="E40" t="str">
        <f>"2033330333"</f>
        <v>2033330333</v>
      </c>
    </row>
    <row r="41" spans="1:5" x14ac:dyDescent="0.3">
      <c r="A41" t="s">
        <v>595</v>
      </c>
      <c r="B41" t="str">
        <f>"960 NORTH AVE"</f>
        <v>960 NORTH AVE</v>
      </c>
      <c r="C41" t="s">
        <v>30</v>
      </c>
      <c r="D41" t="s">
        <v>6</v>
      </c>
      <c r="E41" t="str">
        <f>"2033346978"</f>
        <v>2033346978</v>
      </c>
    </row>
    <row r="42" spans="1:5" x14ac:dyDescent="0.3">
      <c r="A42" t="s">
        <v>612</v>
      </c>
      <c r="B42" t="str">
        <f>"4083 MAIN STREET"</f>
        <v>4083 MAIN STREET</v>
      </c>
      <c r="C42" t="s">
        <v>30</v>
      </c>
      <c r="D42" t="s">
        <v>6</v>
      </c>
      <c r="E42" t="str">
        <f>"2033742819"</f>
        <v>2033742819</v>
      </c>
    </row>
    <row r="43" spans="1:5" x14ac:dyDescent="0.3">
      <c r="A43" t="s">
        <v>623</v>
      </c>
      <c r="B43" t="str">
        <f>"1000 PARK AVE"</f>
        <v>1000 PARK AVE</v>
      </c>
      <c r="C43" t="s">
        <v>30</v>
      </c>
      <c r="D43" t="s">
        <v>6</v>
      </c>
      <c r="E43" t="str">
        <f>"2036960127"</f>
        <v>2036960127</v>
      </c>
    </row>
    <row r="44" spans="1:5" x14ac:dyDescent="0.3">
      <c r="A44" t="s">
        <v>148</v>
      </c>
      <c r="B44" t="str">
        <f>"839 FARMINGTON AVE"</f>
        <v>839 FARMINGTON AVE</v>
      </c>
      <c r="C44" t="s">
        <v>149</v>
      </c>
      <c r="D44" t="s">
        <v>6</v>
      </c>
      <c r="E44" t="str">
        <f>"8605838351"</f>
        <v>8605838351</v>
      </c>
    </row>
    <row r="45" spans="1:5" x14ac:dyDescent="0.3">
      <c r="A45" t="s">
        <v>242</v>
      </c>
      <c r="B45" t="str">
        <f>"81 NORTH ST"</f>
        <v>81 NORTH ST</v>
      </c>
      <c r="C45" t="s">
        <v>149</v>
      </c>
      <c r="D45" t="s">
        <v>6</v>
      </c>
      <c r="E45" t="str">
        <f>"8605848729"</f>
        <v>8605848729</v>
      </c>
    </row>
    <row r="46" spans="1:5" x14ac:dyDescent="0.3">
      <c r="A46" t="s">
        <v>294</v>
      </c>
      <c r="B46" t="str">
        <f>"60 MIDDLE ST"</f>
        <v>60 MIDDLE ST</v>
      </c>
      <c r="C46" t="s">
        <v>149</v>
      </c>
      <c r="D46" t="s">
        <v>6</v>
      </c>
      <c r="E46" t="str">
        <f>"8605850122"</f>
        <v>8605850122</v>
      </c>
    </row>
    <row r="47" spans="1:5" x14ac:dyDescent="0.3">
      <c r="A47" t="s">
        <v>365</v>
      </c>
      <c r="B47" t="str">
        <f>"121 FARMINGTON AVE"</f>
        <v>121 FARMINGTON AVE</v>
      </c>
      <c r="C47" t="s">
        <v>149</v>
      </c>
      <c r="D47" t="s">
        <v>6</v>
      </c>
      <c r="E47" t="str">
        <f>"8605822876"</f>
        <v>8605822876</v>
      </c>
    </row>
    <row r="48" spans="1:5" x14ac:dyDescent="0.3">
      <c r="A48" t="s">
        <v>394</v>
      </c>
      <c r="B48" t="str">
        <f>"1200 FARMINGTON AVENUE"</f>
        <v>1200 FARMINGTON AVENUE</v>
      </c>
      <c r="C48" t="s">
        <v>149</v>
      </c>
      <c r="D48" t="s">
        <v>6</v>
      </c>
      <c r="E48" t="str">
        <f>"8608548022"</f>
        <v>8608548022</v>
      </c>
    </row>
    <row r="49" spans="1:5" x14ac:dyDescent="0.3">
      <c r="A49" t="s">
        <v>444</v>
      </c>
      <c r="B49" t="str">
        <f>"597 FARMINGTON AVE"</f>
        <v>597 FARMINGTON AVE</v>
      </c>
      <c r="C49" t="s">
        <v>149</v>
      </c>
      <c r="D49" t="s">
        <v>6</v>
      </c>
      <c r="E49" t="str">
        <f>"8605825674"</f>
        <v>8605825674</v>
      </c>
    </row>
    <row r="50" spans="1:5" x14ac:dyDescent="0.3">
      <c r="A50" t="s">
        <v>456</v>
      </c>
      <c r="B50" t="str">
        <f>"747 PINE ST"</f>
        <v>747 PINE ST</v>
      </c>
      <c r="C50" t="s">
        <v>149</v>
      </c>
      <c r="D50" t="s">
        <v>6</v>
      </c>
      <c r="E50" t="str">
        <f>"8605823154"</f>
        <v>8605823154</v>
      </c>
    </row>
    <row r="51" spans="1:5" x14ac:dyDescent="0.3">
      <c r="A51" t="s">
        <v>543</v>
      </c>
      <c r="B51" t="str">
        <f>"525 FARMINGTON AVE"</f>
        <v>525 FARMINGTON AVE</v>
      </c>
      <c r="C51" t="s">
        <v>149</v>
      </c>
      <c r="D51" t="s">
        <v>6</v>
      </c>
      <c r="E51" t="str">
        <f>"8605833638"</f>
        <v>8605833638</v>
      </c>
    </row>
    <row r="52" spans="1:5" x14ac:dyDescent="0.3">
      <c r="A52" t="s">
        <v>634</v>
      </c>
      <c r="B52" t="str">
        <f>"1400 FARMINGTON AVE"</f>
        <v>1400 FARMINGTON AVE</v>
      </c>
      <c r="C52" t="s">
        <v>149</v>
      </c>
      <c r="D52" t="s">
        <v>6</v>
      </c>
      <c r="E52" t="str">
        <f>"8605851700"</f>
        <v>8605851700</v>
      </c>
    </row>
    <row r="53" spans="1:5" x14ac:dyDescent="0.3">
      <c r="A53" t="s">
        <v>170</v>
      </c>
      <c r="B53" t="str">
        <f>"14 CANDLEWOOD LAKE RD"</f>
        <v>14 CANDLEWOOD LAKE RD</v>
      </c>
      <c r="C53" t="s">
        <v>171</v>
      </c>
      <c r="D53" t="s">
        <v>6</v>
      </c>
      <c r="E53" t="str">
        <f>"2037759593"</f>
        <v>2037759593</v>
      </c>
    </row>
    <row r="54" spans="1:5" x14ac:dyDescent="0.3">
      <c r="A54" t="s">
        <v>319</v>
      </c>
      <c r="B54" t="str">
        <f>"143 FEDERAL RD"</f>
        <v>143 FEDERAL RD</v>
      </c>
      <c r="C54" t="s">
        <v>171</v>
      </c>
      <c r="D54" t="s">
        <v>6</v>
      </c>
      <c r="E54" t="str">
        <f>"2037757078"</f>
        <v>2037757078</v>
      </c>
    </row>
    <row r="55" spans="1:5" x14ac:dyDescent="0.3">
      <c r="A55" t="s">
        <v>195</v>
      </c>
      <c r="B55" t="str">
        <f>"542 PROVIDENCE RD"</f>
        <v>542 PROVIDENCE RD</v>
      </c>
      <c r="C55" t="s">
        <v>196</v>
      </c>
      <c r="D55" t="s">
        <v>6</v>
      </c>
      <c r="E55" t="str">
        <f>"8607790523"</f>
        <v>8607790523</v>
      </c>
    </row>
    <row r="56" spans="1:5" x14ac:dyDescent="0.3">
      <c r="A56" t="s">
        <v>649</v>
      </c>
      <c r="B56" t="str">
        <f>"450 PROVIDENCE RD"</f>
        <v>450 PROVIDENCE RD</v>
      </c>
      <c r="C56" t="s">
        <v>196</v>
      </c>
      <c r="D56" t="s">
        <v>6</v>
      </c>
      <c r="E56" t="str">
        <f>"8604125137"</f>
        <v>8604125137</v>
      </c>
    </row>
    <row r="57" spans="1:5" x14ac:dyDescent="0.3">
      <c r="A57" t="s">
        <v>300</v>
      </c>
      <c r="B57" t="str">
        <f>"292 SPIELMAN HWY"</f>
        <v>292 SPIELMAN HWY</v>
      </c>
      <c r="C57" t="s">
        <v>301</v>
      </c>
      <c r="D57" t="s">
        <v>6</v>
      </c>
      <c r="E57" t="str">
        <f>"8606738006"</f>
        <v>8606738006</v>
      </c>
    </row>
    <row r="58" spans="1:5" x14ac:dyDescent="0.3">
      <c r="A58" t="s">
        <v>480</v>
      </c>
      <c r="B58" t="str">
        <f>"11 E MAIN ST"</f>
        <v>11 E MAIN ST</v>
      </c>
      <c r="C58" t="s">
        <v>481</v>
      </c>
      <c r="D58" t="s">
        <v>6</v>
      </c>
      <c r="E58" t="str">
        <f>"8608247016"</f>
        <v>8608247016</v>
      </c>
    </row>
    <row r="59" spans="1:5" x14ac:dyDescent="0.3">
      <c r="A59" t="s">
        <v>555</v>
      </c>
      <c r="B59" t="str">
        <f>"76 MAIN STREET"</f>
        <v>76 MAIN STREET</v>
      </c>
      <c r="C59" t="s">
        <v>481</v>
      </c>
      <c r="D59" t="s">
        <v>6</v>
      </c>
      <c r="E59" t="str">
        <f>"8608245481"</f>
        <v>8608245481</v>
      </c>
    </row>
    <row r="60" spans="1:5" x14ac:dyDescent="0.3">
      <c r="A60" t="s">
        <v>37</v>
      </c>
      <c r="B60" t="str">
        <f>"4 N CANTERBURY RD"</f>
        <v>4 N CANTERBURY RD</v>
      </c>
      <c r="C60" t="s">
        <v>38</v>
      </c>
      <c r="D60" t="s">
        <v>6</v>
      </c>
      <c r="E60" t="str">
        <f>"8605469436"</f>
        <v>8605469436</v>
      </c>
    </row>
    <row r="61" spans="1:5" x14ac:dyDescent="0.3">
      <c r="A61" t="s">
        <v>577</v>
      </c>
      <c r="B61" t="str">
        <f>"200 WESTMINSTER RD.  #4"</f>
        <v>200 WESTMINSTER RD.  #4</v>
      </c>
      <c r="C61" t="s">
        <v>38</v>
      </c>
      <c r="D61" t="s">
        <v>6</v>
      </c>
      <c r="E61" t="str">
        <f>"8605466766"</f>
        <v>8605466766</v>
      </c>
    </row>
    <row r="62" spans="1:5" x14ac:dyDescent="0.3">
      <c r="A62" t="s">
        <v>271</v>
      </c>
      <c r="B62" t="str">
        <f>"111 ALBANY TPKE"</f>
        <v>111 ALBANY TPKE</v>
      </c>
      <c r="C62" t="s">
        <v>272</v>
      </c>
      <c r="D62" t="s">
        <v>6</v>
      </c>
      <c r="E62" t="str">
        <f>"8606938077"</f>
        <v>8606938077</v>
      </c>
    </row>
    <row r="63" spans="1:5" x14ac:dyDescent="0.3">
      <c r="A63" t="s">
        <v>387</v>
      </c>
      <c r="B63" t="str">
        <f>"110 ALBANY TPKE"</f>
        <v>110 ALBANY TPKE</v>
      </c>
      <c r="C63" t="s">
        <v>272</v>
      </c>
      <c r="D63" t="s">
        <v>6</v>
      </c>
      <c r="E63" t="str">
        <f>"8606933666"</f>
        <v>8606933666</v>
      </c>
    </row>
    <row r="64" spans="1:5" x14ac:dyDescent="0.3">
      <c r="A64" t="s">
        <v>43</v>
      </c>
      <c r="B64" t="str">
        <f>"1021 S MAIN ST"</f>
        <v>1021 S MAIN ST</v>
      </c>
      <c r="C64" t="s">
        <v>44</v>
      </c>
      <c r="D64" t="s">
        <v>6</v>
      </c>
      <c r="E64" t="str">
        <f>"2032722266"</f>
        <v>2032722266</v>
      </c>
    </row>
    <row r="65" spans="1:5" x14ac:dyDescent="0.3">
      <c r="A65" t="s">
        <v>276</v>
      </c>
      <c r="B65" t="str">
        <f>"581 HIGHLAND AVE"</f>
        <v>581 HIGHLAND AVE</v>
      </c>
      <c r="C65" t="s">
        <v>44</v>
      </c>
      <c r="D65" t="s">
        <v>6</v>
      </c>
      <c r="E65" t="str">
        <f>"2032502250"</f>
        <v>2032502250</v>
      </c>
    </row>
    <row r="66" spans="1:5" x14ac:dyDescent="0.3">
      <c r="A66" t="s">
        <v>495</v>
      </c>
      <c r="B66" t="str">
        <f>"275 HIGHLAND AVE"</f>
        <v>275 HIGHLAND AVE</v>
      </c>
      <c r="C66" t="s">
        <v>44</v>
      </c>
      <c r="D66" t="s">
        <v>6</v>
      </c>
      <c r="E66" t="str">
        <f>"2032723628"</f>
        <v>2032723628</v>
      </c>
    </row>
    <row r="67" spans="1:5" x14ac:dyDescent="0.3">
      <c r="A67" t="s">
        <v>45</v>
      </c>
      <c r="B67" t="str">
        <f>"23 KILLINGWORTH TURNPIKE"</f>
        <v>23 KILLINGWORTH TURNPIKE</v>
      </c>
      <c r="C67" t="s">
        <v>46</v>
      </c>
      <c r="D67" t="s">
        <v>6</v>
      </c>
      <c r="E67" t="str">
        <f>"8606648043"</f>
        <v>8606648043</v>
      </c>
    </row>
    <row r="68" spans="1:5" x14ac:dyDescent="0.3">
      <c r="A68" t="s">
        <v>244</v>
      </c>
      <c r="B68" t="str">
        <f>"17 W MAIN STREET"</f>
        <v>17 W MAIN STREET</v>
      </c>
      <c r="C68" t="s">
        <v>46</v>
      </c>
      <c r="D68" t="s">
        <v>6</v>
      </c>
      <c r="E68" t="str">
        <f>"8606649335"</f>
        <v>8606649335</v>
      </c>
    </row>
    <row r="69" spans="1:5" x14ac:dyDescent="0.3">
      <c r="A69" t="s">
        <v>388</v>
      </c>
      <c r="B69" t="str">
        <f>"266 E MAIN STREET"</f>
        <v>266 E MAIN STREET</v>
      </c>
      <c r="C69" t="s">
        <v>46</v>
      </c>
      <c r="D69" t="s">
        <v>6</v>
      </c>
      <c r="E69" t="str">
        <f>"8606690107"</f>
        <v>8606690107</v>
      </c>
    </row>
    <row r="70" spans="1:5" x14ac:dyDescent="0.3">
      <c r="A70" t="s">
        <v>464</v>
      </c>
      <c r="B70" t="str">
        <f>"215 E MAIN ST"</f>
        <v>215 E MAIN ST</v>
      </c>
      <c r="C70" t="s">
        <v>46</v>
      </c>
      <c r="D70" t="s">
        <v>6</v>
      </c>
      <c r="E70" t="str">
        <f>"8606692228"</f>
        <v>8606692228</v>
      </c>
    </row>
    <row r="71" spans="1:5" x14ac:dyDescent="0.3">
      <c r="A71" t="s">
        <v>619</v>
      </c>
      <c r="B71" t="str">
        <f>"218 E. MAIN ST."</f>
        <v>218 E. MAIN ST.</v>
      </c>
      <c r="C71" t="s">
        <v>46</v>
      </c>
      <c r="D71" t="s">
        <v>6</v>
      </c>
      <c r="E71" t="str">
        <f>"8606644641"</f>
        <v>8606644641</v>
      </c>
    </row>
    <row r="72" spans="1:5" x14ac:dyDescent="0.3">
      <c r="A72" t="s">
        <v>295</v>
      </c>
      <c r="B72" t="str">
        <f>"119 S MAIN ST"</f>
        <v>119 S MAIN ST</v>
      </c>
      <c r="C72" t="s">
        <v>296</v>
      </c>
      <c r="D72" t="s">
        <v>6</v>
      </c>
      <c r="E72" t="str">
        <f>"8605370711"</f>
        <v>8605370711</v>
      </c>
    </row>
    <row r="73" spans="1:5" x14ac:dyDescent="0.3">
      <c r="A73" t="s">
        <v>428</v>
      </c>
      <c r="B73" t="str">
        <f>"99 LINWOOD AVE"</f>
        <v>99 LINWOOD AVE</v>
      </c>
      <c r="C73" t="s">
        <v>296</v>
      </c>
      <c r="D73" t="s">
        <v>6</v>
      </c>
      <c r="E73" t="str">
        <f>"8605372361"</f>
        <v>8605372361</v>
      </c>
    </row>
    <row r="74" spans="1:5" x14ac:dyDescent="0.3">
      <c r="A74" t="s">
        <v>554</v>
      </c>
      <c r="B74" t="str">
        <f>"27 BROADWAY STREET"</f>
        <v>27 BROADWAY STREET</v>
      </c>
      <c r="C74" t="s">
        <v>296</v>
      </c>
      <c r="D74" t="s">
        <v>6</v>
      </c>
      <c r="E74" t="str">
        <f>"8605379034"</f>
        <v>8605379034</v>
      </c>
    </row>
    <row r="75" spans="1:5" x14ac:dyDescent="0.3">
      <c r="A75" t="s">
        <v>274</v>
      </c>
      <c r="B75" t="str">
        <f>"122 E PUTNAM RD"</f>
        <v>122 E PUTNAM RD</v>
      </c>
      <c r="C75" t="s">
        <v>275</v>
      </c>
      <c r="D75" t="s">
        <v>6</v>
      </c>
      <c r="E75" t="str">
        <f>"2034222129"</f>
        <v>2034222129</v>
      </c>
    </row>
    <row r="76" spans="1:5" x14ac:dyDescent="0.3">
      <c r="A76" t="s">
        <v>544</v>
      </c>
      <c r="B76" t="str">
        <f>"1630 BOSTON TPKE"</f>
        <v>1630 BOSTON TPKE</v>
      </c>
      <c r="C76" t="s">
        <v>545</v>
      </c>
      <c r="D76" t="s">
        <v>6</v>
      </c>
      <c r="E76" t="str">
        <f>"8607425389"</f>
        <v>8607425389</v>
      </c>
    </row>
    <row r="77" spans="1:5" x14ac:dyDescent="0.3">
      <c r="A77" t="s">
        <v>389</v>
      </c>
      <c r="B77" t="str">
        <f>"45 SHUNPIKE ROAD"</f>
        <v>45 SHUNPIKE ROAD</v>
      </c>
      <c r="C77" t="s">
        <v>390</v>
      </c>
      <c r="D77" t="s">
        <v>6</v>
      </c>
      <c r="E77" t="str">
        <f>"8606132063"</f>
        <v>8606132063</v>
      </c>
    </row>
    <row r="78" spans="1:5" x14ac:dyDescent="0.3">
      <c r="A78" t="s">
        <v>426</v>
      </c>
      <c r="B78" t="str">
        <f>"195 WEST ST"</f>
        <v>195 WEST ST</v>
      </c>
      <c r="C78" t="s">
        <v>390</v>
      </c>
      <c r="D78" t="s">
        <v>6</v>
      </c>
      <c r="E78" t="str">
        <f>"8606358300"</f>
        <v>8606358300</v>
      </c>
    </row>
    <row r="79" spans="1:5" x14ac:dyDescent="0.3">
      <c r="A79" t="s">
        <v>628</v>
      </c>
      <c r="B79" t="str">
        <f>"4 HAMMERHEAD PLACE"</f>
        <v>4 HAMMERHEAD PLACE</v>
      </c>
      <c r="C79" t="s">
        <v>390</v>
      </c>
      <c r="D79" t="s">
        <v>6</v>
      </c>
      <c r="E79" t="str">
        <f>"8606132324"</f>
        <v>8606132324</v>
      </c>
    </row>
    <row r="80" spans="1:5" x14ac:dyDescent="0.3">
      <c r="A80" t="s">
        <v>643</v>
      </c>
      <c r="B80" t="str">
        <f>"161 BERLIN RD"</f>
        <v>161 BERLIN RD</v>
      </c>
      <c r="C80" t="s">
        <v>390</v>
      </c>
      <c r="D80" t="s">
        <v>6</v>
      </c>
      <c r="E80" t="str">
        <f>"8606350458"</f>
        <v>8606350458</v>
      </c>
    </row>
    <row r="81" spans="1:5" x14ac:dyDescent="0.3">
      <c r="A81" t="s">
        <v>113</v>
      </c>
      <c r="B81" t="str">
        <f>"45 NORTH ST"</f>
        <v>45 NORTH ST</v>
      </c>
      <c r="C81" t="s">
        <v>115</v>
      </c>
      <c r="D81" t="s">
        <v>6</v>
      </c>
      <c r="E81" t="str">
        <f>"2037485466"</f>
        <v>2037485466</v>
      </c>
    </row>
    <row r="82" spans="1:5" x14ac:dyDescent="0.3">
      <c r="A82" t="s">
        <v>165</v>
      </c>
      <c r="B82" t="str">
        <f>"146 SOUTH ST"</f>
        <v>146 SOUTH ST</v>
      </c>
      <c r="C82" t="s">
        <v>115</v>
      </c>
      <c r="D82" t="s">
        <v>6</v>
      </c>
      <c r="E82" t="str">
        <f>"2037949438"</f>
        <v>2037949438</v>
      </c>
    </row>
    <row r="83" spans="1:5" x14ac:dyDescent="0.3">
      <c r="A83" t="s">
        <v>278</v>
      </c>
      <c r="B83" t="str">
        <f>"35 PADANARAM RD"</f>
        <v>35 PADANARAM RD</v>
      </c>
      <c r="C83" t="s">
        <v>115</v>
      </c>
      <c r="D83" t="s">
        <v>6</v>
      </c>
      <c r="E83" t="str">
        <f>"2037304870"</f>
        <v>2037304870</v>
      </c>
    </row>
    <row r="84" spans="1:5" x14ac:dyDescent="0.3">
      <c r="A84" t="s">
        <v>299</v>
      </c>
      <c r="B84" t="str">
        <f>"47-49 LAKE AVE EXT"</f>
        <v>47-49 LAKE AVE EXT</v>
      </c>
      <c r="C84" t="s">
        <v>115</v>
      </c>
      <c r="D84" t="s">
        <v>6</v>
      </c>
      <c r="E84" t="str">
        <f>"2037787471"</f>
        <v>2037787471</v>
      </c>
    </row>
    <row r="85" spans="1:5" x14ac:dyDescent="0.3">
      <c r="A85" t="s">
        <v>324</v>
      </c>
      <c r="B85" t="str">
        <f>"1 PADANARAM RD"</f>
        <v>1 PADANARAM RD</v>
      </c>
      <c r="C85" t="s">
        <v>115</v>
      </c>
      <c r="D85" t="s">
        <v>6</v>
      </c>
      <c r="E85" t="str">
        <f>"4753296114"</f>
        <v>4753296114</v>
      </c>
    </row>
    <row r="86" spans="1:5" x14ac:dyDescent="0.3">
      <c r="A86" t="s">
        <v>358</v>
      </c>
      <c r="B86" t="str">
        <f>"68 LAKE AVENUE"</f>
        <v>68 LAKE AVENUE</v>
      </c>
      <c r="C86" t="s">
        <v>115</v>
      </c>
      <c r="D86" t="s">
        <v>6</v>
      </c>
      <c r="E86" t="str">
        <f>"2037788810"</f>
        <v>2037788810</v>
      </c>
    </row>
    <row r="87" spans="1:5" x14ac:dyDescent="0.3">
      <c r="A87" t="s">
        <v>362</v>
      </c>
      <c r="B87" t="str">
        <f>"399 MAIN ST"</f>
        <v>399 MAIN ST</v>
      </c>
      <c r="C87" t="s">
        <v>115</v>
      </c>
      <c r="D87" t="s">
        <v>6</v>
      </c>
      <c r="E87" t="str">
        <f>"2037432487"</f>
        <v>2037432487</v>
      </c>
    </row>
    <row r="88" spans="1:5" x14ac:dyDescent="0.3">
      <c r="A88" t="s">
        <v>372</v>
      </c>
      <c r="B88" t="str">
        <f>"29 MAIN ST"</f>
        <v>29 MAIN ST</v>
      </c>
      <c r="C88" t="s">
        <v>115</v>
      </c>
      <c r="D88" t="s">
        <v>6</v>
      </c>
      <c r="E88" t="str">
        <f>"2037432660"</f>
        <v>2037432660</v>
      </c>
    </row>
    <row r="89" spans="1:5" x14ac:dyDescent="0.3">
      <c r="A89" t="s">
        <v>457</v>
      </c>
      <c r="B89" t="str">
        <f>"44 LAKE AVE EXT #46"</f>
        <v>44 LAKE AVE EXT #46</v>
      </c>
      <c r="C89" t="s">
        <v>115</v>
      </c>
      <c r="D89" t="s">
        <v>6</v>
      </c>
      <c r="E89" t="str">
        <f>"2037978901"</f>
        <v>2037978901</v>
      </c>
    </row>
    <row r="90" spans="1:5" x14ac:dyDescent="0.3">
      <c r="A90" t="s">
        <v>471</v>
      </c>
      <c r="B90" t="str">
        <f>"72 NEWTOWN RD"</f>
        <v>72 NEWTOWN RD</v>
      </c>
      <c r="C90" t="s">
        <v>115</v>
      </c>
      <c r="D90" t="s">
        <v>6</v>
      </c>
      <c r="E90" t="str">
        <f>"2037980555"</f>
        <v>2037980555</v>
      </c>
    </row>
    <row r="91" spans="1:5" x14ac:dyDescent="0.3">
      <c r="A91" t="s">
        <v>587</v>
      </c>
      <c r="B91" t="str">
        <f>"75 MAIN ST"</f>
        <v>75 MAIN ST</v>
      </c>
      <c r="C91" t="s">
        <v>115</v>
      </c>
      <c r="D91" t="s">
        <v>6</v>
      </c>
      <c r="E91" t="str">
        <f>"2037910405"</f>
        <v>2037910405</v>
      </c>
    </row>
    <row r="92" spans="1:5" x14ac:dyDescent="0.3">
      <c r="A92" t="s">
        <v>605</v>
      </c>
      <c r="B92" t="str">
        <f>"101 FEDERAL RD"</f>
        <v>101 FEDERAL RD</v>
      </c>
      <c r="C92" t="s">
        <v>115</v>
      </c>
      <c r="D92" t="s">
        <v>6</v>
      </c>
      <c r="E92" t="str">
        <f>"2037987753"</f>
        <v>2037987753</v>
      </c>
    </row>
    <row r="93" spans="1:5" x14ac:dyDescent="0.3">
      <c r="A93" t="s">
        <v>636</v>
      </c>
      <c r="B93" t="str">
        <f>"67 NEWTOWN RD"</f>
        <v>67 NEWTOWN RD</v>
      </c>
      <c r="C93" t="s">
        <v>115</v>
      </c>
      <c r="D93" t="s">
        <v>6</v>
      </c>
      <c r="E93" t="str">
        <f>"2037911929"</f>
        <v>2037911929</v>
      </c>
    </row>
    <row r="94" spans="1:5" x14ac:dyDescent="0.3">
      <c r="A94" t="s">
        <v>63</v>
      </c>
      <c r="B94" t="str">
        <f>"70 WAUREGAN RD"</f>
        <v>70 WAUREGAN RD</v>
      </c>
      <c r="C94" t="s">
        <v>64</v>
      </c>
      <c r="D94" t="s">
        <v>6</v>
      </c>
      <c r="E94" t="str">
        <f>"8607797223"</f>
        <v>8607797223</v>
      </c>
    </row>
    <row r="95" spans="1:5" x14ac:dyDescent="0.3">
      <c r="A95" t="s">
        <v>190</v>
      </c>
      <c r="B95" t="str">
        <f>"964 POST RD"</f>
        <v>964 POST RD</v>
      </c>
      <c r="C95" t="s">
        <v>191</v>
      </c>
      <c r="D95" t="s">
        <v>6</v>
      </c>
      <c r="E95" t="str">
        <f>"2036552865"</f>
        <v>2036552865</v>
      </c>
    </row>
    <row r="96" spans="1:5" x14ac:dyDescent="0.3">
      <c r="A96" t="s">
        <v>413</v>
      </c>
      <c r="B96" t="str">
        <f>"25 OLD KINGS HWY N"</f>
        <v>25 OLD KINGS HWY N</v>
      </c>
      <c r="C96" t="s">
        <v>191</v>
      </c>
      <c r="D96" t="s">
        <v>6</v>
      </c>
      <c r="E96" t="str">
        <f>"2036621227"</f>
        <v>2036621227</v>
      </c>
    </row>
    <row r="97" spans="1:5" x14ac:dyDescent="0.3">
      <c r="A97" t="s">
        <v>580</v>
      </c>
      <c r="B97" t="str">
        <f>"76 HEIGHTS RD"</f>
        <v>76 HEIGHTS RD</v>
      </c>
      <c r="C97" t="s">
        <v>191</v>
      </c>
      <c r="D97" t="s">
        <v>6</v>
      </c>
      <c r="E97" t="str">
        <f>"2036558904"</f>
        <v>2036558904</v>
      </c>
    </row>
    <row r="98" spans="1:5" x14ac:dyDescent="0.3">
      <c r="A98" t="s">
        <v>497</v>
      </c>
      <c r="B98" t="str">
        <f>"1094 KILLINGLY COMMONS DR"</f>
        <v>1094 KILLINGLY COMMONS DR</v>
      </c>
      <c r="C98" t="s">
        <v>498</v>
      </c>
      <c r="D98" t="s">
        <v>6</v>
      </c>
      <c r="E98" t="str">
        <f>"8607793259"</f>
        <v>8607793259</v>
      </c>
    </row>
    <row r="99" spans="1:5" x14ac:dyDescent="0.3">
      <c r="A99" t="s">
        <v>546</v>
      </c>
      <c r="B99" t="str">
        <f>"1093 NORTH MAIN STREET"</f>
        <v>1093 NORTH MAIN STREET</v>
      </c>
      <c r="C99" t="s">
        <v>498</v>
      </c>
      <c r="D99" t="s">
        <v>6</v>
      </c>
      <c r="E99" t="str">
        <f>"8607740490"</f>
        <v>8607740490</v>
      </c>
    </row>
    <row r="100" spans="1:5" x14ac:dyDescent="0.3">
      <c r="A100" t="s">
        <v>21</v>
      </c>
      <c r="B100" t="str">
        <f>"193 MAIN ST"</f>
        <v>193 MAIN ST</v>
      </c>
      <c r="C100" t="s">
        <v>23</v>
      </c>
      <c r="D100" t="s">
        <v>6</v>
      </c>
      <c r="E100" t="str">
        <f>"8605262807"</f>
        <v>8605262807</v>
      </c>
    </row>
    <row r="101" spans="1:5" x14ac:dyDescent="0.3">
      <c r="A101" t="s">
        <v>534</v>
      </c>
      <c r="B101" t="str">
        <f>"180 MAIN STREET"</f>
        <v>180 MAIN STREET</v>
      </c>
      <c r="C101" t="s">
        <v>23</v>
      </c>
      <c r="D101" t="s">
        <v>6</v>
      </c>
      <c r="E101" t="str">
        <f>"8605268052"</f>
        <v>8605268052</v>
      </c>
    </row>
    <row r="102" spans="1:5" x14ac:dyDescent="0.3">
      <c r="A102" t="s">
        <v>47</v>
      </c>
      <c r="B102" t="str">
        <f>"656 NEW HAVEN AVE"</f>
        <v>656 NEW HAVEN AVE</v>
      </c>
      <c r="C102" t="s">
        <v>48</v>
      </c>
      <c r="D102" t="s">
        <v>6</v>
      </c>
      <c r="E102" t="str">
        <f>"2034460049"</f>
        <v>2034460049</v>
      </c>
    </row>
    <row r="103" spans="1:5" x14ac:dyDescent="0.3">
      <c r="A103" t="s">
        <v>208</v>
      </c>
      <c r="B103" t="str">
        <f>"656 NEW HAVEN AVE"</f>
        <v>656 NEW HAVEN AVE</v>
      </c>
      <c r="C103" t="s">
        <v>48</v>
      </c>
      <c r="D103" t="s">
        <v>6</v>
      </c>
      <c r="E103" t="str">
        <f>"2037324501"</f>
        <v>2037324501</v>
      </c>
    </row>
    <row r="104" spans="1:5" x14ac:dyDescent="0.3">
      <c r="A104" t="s">
        <v>321</v>
      </c>
      <c r="B104" t="str">
        <f>"49 PERSHING DR"</f>
        <v>49 PERSHING DR</v>
      </c>
      <c r="C104" t="s">
        <v>48</v>
      </c>
      <c r="D104" t="s">
        <v>6</v>
      </c>
      <c r="E104" t="str">
        <f>"2037361001"</f>
        <v>2037361001</v>
      </c>
    </row>
    <row r="105" spans="1:5" x14ac:dyDescent="0.3">
      <c r="A105" t="s">
        <v>414</v>
      </c>
      <c r="B105" t="str">
        <f>"11 E HIGH ST"</f>
        <v>11 E HIGH ST</v>
      </c>
      <c r="C105" t="s">
        <v>415</v>
      </c>
      <c r="D105" t="s">
        <v>6</v>
      </c>
      <c r="E105" t="str">
        <f>"8602672039"</f>
        <v>8602672039</v>
      </c>
    </row>
    <row r="106" spans="1:5" x14ac:dyDescent="0.3">
      <c r="A106" t="s">
        <v>556</v>
      </c>
      <c r="B106" t="str">
        <f>"25 E. HIGH ST.  #8"</f>
        <v>25 E. HIGH ST.  #8</v>
      </c>
      <c r="C106" t="s">
        <v>415</v>
      </c>
      <c r="D106" t="s">
        <v>6</v>
      </c>
      <c r="E106" t="str">
        <f>"8602670732"</f>
        <v>8602670732</v>
      </c>
    </row>
    <row r="107" spans="1:5" x14ac:dyDescent="0.3">
      <c r="A107" t="s">
        <v>113</v>
      </c>
      <c r="B107" t="str">
        <f>"442 MAIN ST"</f>
        <v>442 MAIN ST</v>
      </c>
      <c r="C107" t="s">
        <v>116</v>
      </c>
      <c r="D107" t="s">
        <v>6</v>
      </c>
      <c r="E107" t="str">
        <f>"8605682221"</f>
        <v>8605682221</v>
      </c>
    </row>
    <row r="108" spans="1:5" x14ac:dyDescent="0.3">
      <c r="A108" t="s">
        <v>218</v>
      </c>
      <c r="B108" t="str">
        <f>"16 MAIN ST"</f>
        <v>16 MAIN ST</v>
      </c>
      <c r="C108" t="s">
        <v>116</v>
      </c>
      <c r="D108" t="s">
        <v>6</v>
      </c>
      <c r="E108" t="str">
        <f>"8605691418"</f>
        <v>8605691418</v>
      </c>
    </row>
    <row r="109" spans="1:5" x14ac:dyDescent="0.3">
      <c r="A109" t="s">
        <v>304</v>
      </c>
      <c r="B109" t="str">
        <f>"1071 BURNSIDE AVENUE"</f>
        <v>1071 BURNSIDE AVENUE</v>
      </c>
      <c r="C109" t="s">
        <v>116</v>
      </c>
      <c r="D109" t="s">
        <v>6</v>
      </c>
      <c r="E109" t="str">
        <f>"8609045343"</f>
        <v>8609045343</v>
      </c>
    </row>
    <row r="110" spans="1:5" x14ac:dyDescent="0.3">
      <c r="A110" t="s">
        <v>333</v>
      </c>
      <c r="B110" t="str">
        <f>"954 MAIN STREET"</f>
        <v>954 MAIN STREET</v>
      </c>
      <c r="C110" t="s">
        <v>116</v>
      </c>
      <c r="D110" t="s">
        <v>6</v>
      </c>
      <c r="E110" t="str">
        <f>"8609696984"</f>
        <v>8609696984</v>
      </c>
    </row>
    <row r="111" spans="1:5" x14ac:dyDescent="0.3">
      <c r="A111" t="s">
        <v>391</v>
      </c>
      <c r="B111" t="str">
        <f>"31 MAIN ST"</f>
        <v>31 MAIN ST</v>
      </c>
      <c r="C111" t="s">
        <v>116</v>
      </c>
      <c r="D111" t="s">
        <v>6</v>
      </c>
      <c r="E111" t="str">
        <f>"8608958390"</f>
        <v>8608958390</v>
      </c>
    </row>
    <row r="112" spans="1:5" x14ac:dyDescent="0.3">
      <c r="A112" t="s">
        <v>407</v>
      </c>
      <c r="B112" t="str">
        <f>"583 BURNSIDE AVE"</f>
        <v>583 BURNSIDE AVE</v>
      </c>
      <c r="C112" t="s">
        <v>116</v>
      </c>
      <c r="D112" t="s">
        <v>6</v>
      </c>
      <c r="E112" t="str">
        <f>"8602827827"</f>
        <v>8602827827</v>
      </c>
    </row>
    <row r="113" spans="1:5" x14ac:dyDescent="0.3">
      <c r="A113" t="s">
        <v>613</v>
      </c>
      <c r="B113" t="str">
        <f>"922 SILVER LANE"</f>
        <v>922 SILVER LANE</v>
      </c>
      <c r="C113" t="s">
        <v>116</v>
      </c>
      <c r="D113" t="s">
        <v>6</v>
      </c>
      <c r="E113" t="str">
        <f>"8605694120"</f>
        <v>8605694120</v>
      </c>
    </row>
    <row r="114" spans="1:5" x14ac:dyDescent="0.3">
      <c r="A114" t="s">
        <v>626</v>
      </c>
      <c r="B114" t="str">
        <f>"20 CONNECTICUT BLVD"</f>
        <v>20 CONNECTICUT BLVD</v>
      </c>
      <c r="C114" t="s">
        <v>116</v>
      </c>
      <c r="D114" t="s">
        <v>6</v>
      </c>
      <c r="E114" t="str">
        <f>"8602894944"</f>
        <v>8602894944</v>
      </c>
    </row>
    <row r="115" spans="1:5" x14ac:dyDescent="0.3">
      <c r="A115" t="s">
        <v>185</v>
      </c>
      <c r="B115" t="str">
        <f>"660 FOXON RD"</f>
        <v>660 FOXON RD</v>
      </c>
      <c r="C115" t="s">
        <v>186</v>
      </c>
      <c r="D115" t="s">
        <v>6</v>
      </c>
      <c r="E115" t="str">
        <f>"2034695154"</f>
        <v>2034695154</v>
      </c>
    </row>
    <row r="116" spans="1:5" x14ac:dyDescent="0.3">
      <c r="A116" t="s">
        <v>253</v>
      </c>
      <c r="B116" t="str">
        <f>"369 MAIN ST"</f>
        <v>369 MAIN ST</v>
      </c>
      <c r="C116" t="s">
        <v>186</v>
      </c>
      <c r="D116" t="s">
        <v>6</v>
      </c>
      <c r="E116" t="str">
        <f>"2034676369"</f>
        <v>2034676369</v>
      </c>
    </row>
    <row r="117" spans="1:5" x14ac:dyDescent="0.3">
      <c r="A117" t="s">
        <v>392</v>
      </c>
      <c r="B117" t="str">
        <f>"745 FOXON RD"</f>
        <v>745 FOXON RD</v>
      </c>
      <c r="C117" t="s">
        <v>186</v>
      </c>
      <c r="D117" t="s">
        <v>6</v>
      </c>
      <c r="E117" t="str">
        <f>"4752025180"</f>
        <v>4752025180</v>
      </c>
    </row>
    <row r="118" spans="1:5" x14ac:dyDescent="0.3">
      <c r="A118" t="s">
        <v>493</v>
      </c>
      <c r="B118" t="str">
        <f>"370 HEMINGWAY AVE"</f>
        <v>370 HEMINGWAY AVE</v>
      </c>
      <c r="C118" t="s">
        <v>186</v>
      </c>
      <c r="D118" t="s">
        <v>6</v>
      </c>
      <c r="E118" t="str">
        <f>"2034698895"</f>
        <v>2034698895</v>
      </c>
    </row>
    <row r="119" spans="1:5" x14ac:dyDescent="0.3">
      <c r="A119" t="s">
        <v>504</v>
      </c>
      <c r="B119" t="str">
        <f>"875 N HIGH ST"</f>
        <v>875 N HIGH ST</v>
      </c>
      <c r="C119" t="s">
        <v>186</v>
      </c>
      <c r="D119" t="s">
        <v>6</v>
      </c>
      <c r="E119" t="str">
        <f>"2034676438"</f>
        <v>2034676438</v>
      </c>
    </row>
    <row r="120" spans="1:5" x14ac:dyDescent="0.3">
      <c r="A120" t="s">
        <v>547</v>
      </c>
      <c r="B120" t="str">
        <f>"157 MAIN STREET"</f>
        <v>157 MAIN STREET</v>
      </c>
      <c r="C120" t="s">
        <v>186</v>
      </c>
      <c r="D120" t="s">
        <v>6</v>
      </c>
      <c r="E120" t="str">
        <f>"2034689732"</f>
        <v>2034689732</v>
      </c>
    </row>
    <row r="121" spans="1:5" x14ac:dyDescent="0.3">
      <c r="A121" t="s">
        <v>290</v>
      </c>
      <c r="B121" t="str">
        <f>"15 CHESTERFIELD RD"</f>
        <v>15 CHESTERFIELD RD</v>
      </c>
      <c r="C121" t="s">
        <v>291</v>
      </c>
      <c r="D121" t="s">
        <v>6</v>
      </c>
      <c r="E121" t="str">
        <f>"8607390276"</f>
        <v>8607390276</v>
      </c>
    </row>
    <row r="122" spans="1:5" x14ac:dyDescent="0.3">
      <c r="A122" t="s">
        <v>474</v>
      </c>
      <c r="B122" t="str">
        <f>"248 FLANDERS RD"</f>
        <v>248 FLANDERS RD</v>
      </c>
      <c r="C122" t="s">
        <v>291</v>
      </c>
      <c r="D122" t="s">
        <v>6</v>
      </c>
      <c r="E122" t="str">
        <f>"8606912146"</f>
        <v>8606912146</v>
      </c>
    </row>
    <row r="123" spans="1:5" x14ac:dyDescent="0.3">
      <c r="A123" t="s">
        <v>562</v>
      </c>
      <c r="B123" t="str">
        <f>"340 FLANDERS RD"</f>
        <v>340 FLANDERS RD</v>
      </c>
      <c r="C123" t="s">
        <v>291</v>
      </c>
      <c r="D123" t="s">
        <v>6</v>
      </c>
      <c r="E123" t="str">
        <f>"8607399007"</f>
        <v>8607399007</v>
      </c>
    </row>
    <row r="124" spans="1:5" x14ac:dyDescent="0.3">
      <c r="A124" t="s">
        <v>93</v>
      </c>
      <c r="B124" t="str">
        <f>"67 PROSPECT HILL RD"</f>
        <v>67 PROSPECT HILL RD</v>
      </c>
      <c r="C124" t="s">
        <v>94</v>
      </c>
      <c r="D124" t="s">
        <v>6</v>
      </c>
      <c r="E124" t="str">
        <f>"8606234000"</f>
        <v>8606234000</v>
      </c>
    </row>
    <row r="125" spans="1:5" x14ac:dyDescent="0.3">
      <c r="A125" t="s">
        <v>314</v>
      </c>
      <c r="B125" t="str">
        <f>"100 BRIDGE ST"</f>
        <v>100 BRIDGE ST</v>
      </c>
      <c r="C125" t="s">
        <v>94</v>
      </c>
      <c r="D125" t="s">
        <v>6</v>
      </c>
      <c r="E125" t="str">
        <f>"8606236336"</f>
        <v>8606236336</v>
      </c>
    </row>
    <row r="126" spans="1:5" x14ac:dyDescent="0.3">
      <c r="A126" t="s">
        <v>641</v>
      </c>
      <c r="B126" t="str">
        <f>"44 PROSPECT HILL RD"</f>
        <v>44 PROSPECT HILL RD</v>
      </c>
      <c r="C126" t="s">
        <v>94</v>
      </c>
      <c r="D126" t="s">
        <v>6</v>
      </c>
      <c r="E126" t="str">
        <f>"8602921235"</f>
        <v>8602921235</v>
      </c>
    </row>
    <row r="127" spans="1:5" x14ac:dyDescent="0.3">
      <c r="A127" t="s">
        <v>97</v>
      </c>
      <c r="B127" t="str">
        <f>"135 WEST RD"</f>
        <v>135 WEST RD</v>
      </c>
      <c r="C127" t="s">
        <v>98</v>
      </c>
      <c r="D127" t="s">
        <v>6</v>
      </c>
      <c r="E127" t="str">
        <f>"8608960457"</f>
        <v>8608960457</v>
      </c>
    </row>
    <row r="128" spans="1:5" x14ac:dyDescent="0.3">
      <c r="A128" t="s">
        <v>79</v>
      </c>
      <c r="B128" t="str">
        <f>"65 PALOMBA DR"</f>
        <v>65 PALOMBA DR</v>
      </c>
      <c r="C128" t="s">
        <v>80</v>
      </c>
      <c r="D128" t="s">
        <v>6</v>
      </c>
      <c r="E128" t="str">
        <f>"8607495514"</f>
        <v>8607495514</v>
      </c>
    </row>
    <row r="129" spans="1:5" x14ac:dyDescent="0.3">
      <c r="A129" t="s">
        <v>119</v>
      </c>
      <c r="B129" t="str">
        <f>"25 PEARL ST"</f>
        <v>25 PEARL ST</v>
      </c>
      <c r="C129" t="s">
        <v>80</v>
      </c>
      <c r="D129" t="s">
        <v>6</v>
      </c>
      <c r="E129" t="str">
        <f>"8607454284"</f>
        <v>8607454284</v>
      </c>
    </row>
    <row r="130" spans="1:5" x14ac:dyDescent="0.3">
      <c r="A130" t="s">
        <v>175</v>
      </c>
      <c r="B130" t="str">
        <f>"875 ENFIELD ST"</f>
        <v>875 ENFIELD ST</v>
      </c>
      <c r="C130" t="s">
        <v>80</v>
      </c>
      <c r="D130" t="s">
        <v>6</v>
      </c>
      <c r="E130" t="str">
        <f>"8607413015"</f>
        <v>8607413015</v>
      </c>
    </row>
    <row r="131" spans="1:5" x14ac:dyDescent="0.3">
      <c r="A131" t="s">
        <v>393</v>
      </c>
      <c r="B131" t="str">
        <f>"40 HAZARD AVE"</f>
        <v>40 HAZARD AVE</v>
      </c>
      <c r="C131" t="s">
        <v>80</v>
      </c>
      <c r="D131" t="s">
        <v>6</v>
      </c>
      <c r="E131" t="str">
        <f>"8607451621"</f>
        <v>8607451621</v>
      </c>
    </row>
    <row r="132" spans="1:5" x14ac:dyDescent="0.3">
      <c r="A132" t="s">
        <v>409</v>
      </c>
      <c r="B132" t="str">
        <f>"54 HAZARD AVE"</f>
        <v>54 HAZARD AVE</v>
      </c>
      <c r="C132" t="s">
        <v>80</v>
      </c>
      <c r="D132" t="s">
        <v>6</v>
      </c>
      <c r="E132" t="str">
        <f>"8607412200"</f>
        <v>8607412200</v>
      </c>
    </row>
    <row r="133" spans="1:5" x14ac:dyDescent="0.3">
      <c r="A133" t="s">
        <v>506</v>
      </c>
      <c r="B133" t="str">
        <f>"90 ELM ST"</f>
        <v>90 ELM ST</v>
      </c>
      <c r="C133" t="s">
        <v>80</v>
      </c>
      <c r="D133" t="s">
        <v>6</v>
      </c>
      <c r="E133" t="str">
        <f>"8607412676"</f>
        <v>8607412676</v>
      </c>
    </row>
    <row r="134" spans="1:5" x14ac:dyDescent="0.3">
      <c r="A134" t="s">
        <v>579</v>
      </c>
      <c r="B134" t="str">
        <f>"71 PALOMBA DRIVE"</f>
        <v>71 PALOMBA DRIVE</v>
      </c>
      <c r="C134" t="s">
        <v>80</v>
      </c>
      <c r="D134" t="s">
        <v>6</v>
      </c>
      <c r="E134" t="str">
        <f>"8607494184"</f>
        <v>8607494184</v>
      </c>
    </row>
    <row r="135" spans="1:5" x14ac:dyDescent="0.3">
      <c r="A135" t="s">
        <v>622</v>
      </c>
      <c r="B135" t="str">
        <f>"2 SHAKER RD"</f>
        <v>2 SHAKER RD</v>
      </c>
      <c r="C135" t="s">
        <v>80</v>
      </c>
      <c r="D135" t="s">
        <v>6</v>
      </c>
      <c r="E135" t="str">
        <f>"8602530463"</f>
        <v>8602530463</v>
      </c>
    </row>
    <row r="136" spans="1:5" x14ac:dyDescent="0.3">
      <c r="A136" t="s">
        <v>560</v>
      </c>
      <c r="B136" t="str">
        <f>"125 WESTBROOK RD.  #7"</f>
        <v>125 WESTBROOK RD.  #7</v>
      </c>
      <c r="C136" t="s">
        <v>561</v>
      </c>
      <c r="D136" t="s">
        <v>6</v>
      </c>
      <c r="E136" t="str">
        <f>"8607672181"</f>
        <v>8607672181</v>
      </c>
    </row>
    <row r="137" spans="1:5" x14ac:dyDescent="0.3">
      <c r="A137" t="s">
        <v>137</v>
      </c>
      <c r="B137" t="str">
        <f>"698 POST RD"</f>
        <v>698 POST RD</v>
      </c>
      <c r="C137" t="s">
        <v>138</v>
      </c>
      <c r="D137" t="s">
        <v>6</v>
      </c>
      <c r="E137" t="str">
        <f>"2032554402"</f>
        <v>2032554402</v>
      </c>
    </row>
    <row r="138" spans="1:5" x14ac:dyDescent="0.3">
      <c r="A138" t="s">
        <v>248</v>
      </c>
      <c r="B138" t="str">
        <f>"1968 BLACK ROCK TPKE"</f>
        <v>1968 BLACK ROCK TPKE</v>
      </c>
      <c r="C138" t="s">
        <v>138</v>
      </c>
      <c r="D138" t="s">
        <v>6</v>
      </c>
      <c r="E138" t="str">
        <f>"2033667934"</f>
        <v>2033667934</v>
      </c>
    </row>
    <row r="139" spans="1:5" x14ac:dyDescent="0.3">
      <c r="A139" t="s">
        <v>267</v>
      </c>
      <c r="B139" t="str">
        <f>"1770 KINGS HIGHWAY"</f>
        <v>1770 KINGS HIGHWAY</v>
      </c>
      <c r="C139" t="s">
        <v>138</v>
      </c>
      <c r="D139" t="s">
        <v>6</v>
      </c>
      <c r="E139" t="str">
        <f>"2032550060"</f>
        <v>2032550060</v>
      </c>
    </row>
    <row r="140" spans="1:5" x14ac:dyDescent="0.3">
      <c r="A140" t="s">
        <v>286</v>
      </c>
      <c r="B140" t="str">
        <f>"961 BLACK ROCK TPKE"</f>
        <v>961 BLACK ROCK TPKE</v>
      </c>
      <c r="C140" t="s">
        <v>138</v>
      </c>
      <c r="D140" t="s">
        <v>6</v>
      </c>
      <c r="E140" t="str">
        <f>"2033314731"</f>
        <v>2033314731</v>
      </c>
    </row>
    <row r="141" spans="1:5" x14ac:dyDescent="0.3">
      <c r="A141" t="s">
        <v>325</v>
      </c>
      <c r="B141" t="str">
        <f>"1975 BLACK ROCK TPKE"</f>
        <v>1975 BLACK ROCK TPKE</v>
      </c>
      <c r="C141" t="s">
        <v>138</v>
      </c>
      <c r="D141" t="s">
        <v>6</v>
      </c>
      <c r="E141" t="str">
        <f>"2036150140"</f>
        <v>2036150140</v>
      </c>
    </row>
    <row r="142" spans="1:5" x14ac:dyDescent="0.3">
      <c r="A142" t="s">
        <v>462</v>
      </c>
      <c r="B142" t="str">
        <f>"1160 KINGS HIGHWAY CUTOFF"</f>
        <v>1160 KINGS HIGHWAY CUTOFF</v>
      </c>
      <c r="C142" t="s">
        <v>138</v>
      </c>
      <c r="D142" t="s">
        <v>6</v>
      </c>
      <c r="E142" t="str">
        <f>"2032548478"</f>
        <v>2032548478</v>
      </c>
    </row>
    <row r="143" spans="1:5" x14ac:dyDescent="0.3">
      <c r="A143" t="s">
        <v>477</v>
      </c>
      <c r="B143" t="str">
        <f>"760 VILLA AVE"</f>
        <v>760 VILLA AVE</v>
      </c>
      <c r="C143" t="s">
        <v>138</v>
      </c>
      <c r="D143" t="s">
        <v>6</v>
      </c>
      <c r="E143" t="str">
        <f>"2033330004"</f>
        <v>2033330004</v>
      </c>
    </row>
    <row r="144" spans="1:5" x14ac:dyDescent="0.3">
      <c r="A144" t="s">
        <v>553</v>
      </c>
      <c r="B144" t="str">
        <f>"414 KINGS HWY E"</f>
        <v>414 KINGS HWY E</v>
      </c>
      <c r="C144" t="s">
        <v>138</v>
      </c>
      <c r="D144" t="s">
        <v>6</v>
      </c>
      <c r="E144" t="str">
        <f>"2033363551"</f>
        <v>2033363551</v>
      </c>
    </row>
    <row r="145" spans="1:5" x14ac:dyDescent="0.3">
      <c r="A145" t="s">
        <v>141</v>
      </c>
      <c r="B145" t="str">
        <f>"330 MAIN ST"</f>
        <v>330 MAIN ST</v>
      </c>
      <c r="C145" t="s">
        <v>142</v>
      </c>
      <c r="D145" t="s">
        <v>6</v>
      </c>
      <c r="E145" t="str">
        <f>"8606775047"</f>
        <v>8606775047</v>
      </c>
    </row>
    <row r="146" spans="1:5" x14ac:dyDescent="0.3">
      <c r="A146" t="s">
        <v>161</v>
      </c>
      <c r="B146" t="str">
        <f>"2639 MAIN ST"</f>
        <v>2639 MAIN ST</v>
      </c>
      <c r="C146" t="s">
        <v>162</v>
      </c>
      <c r="D146" t="s">
        <v>6</v>
      </c>
      <c r="E146" t="str">
        <f>"8606339090"</f>
        <v>8606339090</v>
      </c>
    </row>
    <row r="147" spans="1:5" x14ac:dyDescent="0.3">
      <c r="A147" t="s">
        <v>293</v>
      </c>
      <c r="B147" t="str">
        <f>"766 NEW LONDON TPKE"</f>
        <v>766 NEW LONDON TPKE</v>
      </c>
      <c r="C147" t="s">
        <v>162</v>
      </c>
      <c r="D147" t="s">
        <v>6</v>
      </c>
      <c r="E147" t="str">
        <f>"8606334668"</f>
        <v>8606334668</v>
      </c>
    </row>
    <row r="148" spans="1:5" x14ac:dyDescent="0.3">
      <c r="A148" t="s">
        <v>425</v>
      </c>
      <c r="B148" t="str">
        <f>"55 OAK ST"</f>
        <v>55 OAK ST</v>
      </c>
      <c r="C148" t="s">
        <v>162</v>
      </c>
      <c r="D148" t="s">
        <v>6</v>
      </c>
      <c r="E148" t="str">
        <f>"8606528925"</f>
        <v>8606528925</v>
      </c>
    </row>
    <row r="149" spans="1:5" x14ac:dyDescent="0.3">
      <c r="A149" t="s">
        <v>447</v>
      </c>
      <c r="B149" t="str">
        <f>"215 GLASTONBURY BLVD"</f>
        <v>215 GLASTONBURY BLVD</v>
      </c>
      <c r="C149" t="s">
        <v>162</v>
      </c>
      <c r="D149" t="s">
        <v>6</v>
      </c>
      <c r="E149" t="str">
        <f>"8606594553"</f>
        <v>8606594553</v>
      </c>
    </row>
    <row r="150" spans="1:5" x14ac:dyDescent="0.3">
      <c r="A150" t="s">
        <v>540</v>
      </c>
      <c r="B150" t="str">
        <f>"1312 MANCHESTER RD"</f>
        <v>1312 MANCHESTER RD</v>
      </c>
      <c r="C150" t="s">
        <v>162</v>
      </c>
      <c r="D150" t="s">
        <v>6</v>
      </c>
      <c r="E150" t="str">
        <f>"8607817073"</f>
        <v>8607817073</v>
      </c>
    </row>
    <row r="151" spans="1:5" x14ac:dyDescent="0.3">
      <c r="A151" t="s">
        <v>581</v>
      </c>
      <c r="B151" t="str">
        <f>"2900 MAIN STREET"</f>
        <v>2900 MAIN STREET</v>
      </c>
      <c r="C151" t="s">
        <v>162</v>
      </c>
      <c r="D151" t="s">
        <v>6</v>
      </c>
      <c r="E151" t="str">
        <f>"8606334186"</f>
        <v>8606334186</v>
      </c>
    </row>
    <row r="152" spans="1:5" x14ac:dyDescent="0.3">
      <c r="A152" t="s">
        <v>234</v>
      </c>
      <c r="B152" t="str">
        <f>"20 BANK ST"</f>
        <v>20 BANK ST</v>
      </c>
      <c r="C152" t="s">
        <v>235</v>
      </c>
      <c r="D152" t="s">
        <v>6</v>
      </c>
      <c r="E152" t="str">
        <f>"8606534246"</f>
        <v>8606534246</v>
      </c>
    </row>
    <row r="153" spans="1:5" x14ac:dyDescent="0.3">
      <c r="A153" t="s">
        <v>314</v>
      </c>
      <c r="B153" t="str">
        <f>"9-J BANK ST"</f>
        <v>9-J BANK ST</v>
      </c>
      <c r="C153" t="s">
        <v>235</v>
      </c>
      <c r="D153" t="s">
        <v>6</v>
      </c>
      <c r="E153" t="str">
        <f>"8606533990"</f>
        <v>8606533990</v>
      </c>
    </row>
    <row r="154" spans="1:5" x14ac:dyDescent="0.3">
      <c r="A154" t="s">
        <v>430</v>
      </c>
      <c r="B154" t="str">
        <f>"120 SALMON BROOK ST"</f>
        <v>120 SALMON BROOK ST</v>
      </c>
      <c r="C154" t="s">
        <v>235</v>
      </c>
      <c r="D154" t="s">
        <v>6</v>
      </c>
      <c r="E154" t="str">
        <f>"8608448253"</f>
        <v>8608448253</v>
      </c>
    </row>
    <row r="155" spans="1:5" x14ac:dyDescent="0.3">
      <c r="A155" t="s">
        <v>9</v>
      </c>
      <c r="B155" t="str">
        <f>"160 W PUTNAM AVE"</f>
        <v>160 W PUTNAM AVE</v>
      </c>
      <c r="C155" t="s">
        <v>10</v>
      </c>
      <c r="D155" t="s">
        <v>6</v>
      </c>
      <c r="E155" t="str">
        <f>"2036222944"</f>
        <v>2036222944</v>
      </c>
    </row>
    <row r="156" spans="1:5" x14ac:dyDescent="0.3">
      <c r="A156" t="s">
        <v>243</v>
      </c>
      <c r="B156" t="str">
        <f>"99 GREENWICH AVE"</f>
        <v>99 GREENWICH AVE</v>
      </c>
      <c r="C156" t="s">
        <v>10</v>
      </c>
      <c r="D156" t="s">
        <v>6</v>
      </c>
      <c r="E156" t="str">
        <f>"2038629320"</f>
        <v>2038629320</v>
      </c>
    </row>
    <row r="157" spans="1:5" x14ac:dyDescent="0.3">
      <c r="A157" t="s">
        <v>297</v>
      </c>
      <c r="B157" t="str">
        <f>"644 W PUTNAM AVE"</f>
        <v>644 W PUTNAM AVE</v>
      </c>
      <c r="C157" t="s">
        <v>10</v>
      </c>
      <c r="D157" t="s">
        <v>6</v>
      </c>
      <c r="E157" t="str">
        <f>"2034222022"</f>
        <v>2034222022</v>
      </c>
    </row>
    <row r="158" spans="1:5" x14ac:dyDescent="0.3">
      <c r="A158" t="s">
        <v>435</v>
      </c>
      <c r="B158" t="str">
        <f>"161 W PUTNAM AVE"</f>
        <v>161 W PUTNAM AVE</v>
      </c>
      <c r="C158" t="s">
        <v>10</v>
      </c>
      <c r="D158" t="s">
        <v>6</v>
      </c>
      <c r="E158" t="str">
        <f>"2036250622"</f>
        <v>2036250622</v>
      </c>
    </row>
    <row r="159" spans="1:5" x14ac:dyDescent="0.3">
      <c r="A159" t="s">
        <v>95</v>
      </c>
      <c r="B159" t="str">
        <f>"995 POQUONNOCK RD"</f>
        <v>995 POQUONNOCK RD</v>
      </c>
      <c r="C159" t="s">
        <v>96</v>
      </c>
      <c r="D159" t="s">
        <v>6</v>
      </c>
      <c r="E159" t="str">
        <f>"8604491229"</f>
        <v>8604491229</v>
      </c>
    </row>
    <row r="160" spans="1:5" x14ac:dyDescent="0.3">
      <c r="A160" t="s">
        <v>158</v>
      </c>
      <c r="B160" t="str">
        <f>"915 POQUONNOCK RD"</f>
        <v>915 POQUONNOCK RD</v>
      </c>
      <c r="C160" t="s">
        <v>96</v>
      </c>
      <c r="D160" t="s">
        <v>6</v>
      </c>
      <c r="E160" t="str">
        <f>"8604460144"</f>
        <v>8604460144</v>
      </c>
    </row>
    <row r="161" spans="1:5" x14ac:dyDescent="0.3">
      <c r="A161" t="s">
        <v>355</v>
      </c>
      <c r="B161" t="str">
        <f>"40 CRYSTAL LAKE ROAD"</f>
        <v>40 CRYSTAL LAKE ROAD</v>
      </c>
      <c r="C161" t="s">
        <v>96</v>
      </c>
      <c r="D161" t="s">
        <v>6</v>
      </c>
      <c r="E161" t="str">
        <f>"8603262020"</f>
        <v>8603262020</v>
      </c>
    </row>
    <row r="162" spans="1:5" x14ac:dyDescent="0.3">
      <c r="A162" t="s">
        <v>485</v>
      </c>
      <c r="B162" t="str">
        <f>"220 ROUTE 12"</f>
        <v>220 ROUTE 12</v>
      </c>
      <c r="C162" t="s">
        <v>96</v>
      </c>
      <c r="D162" t="s">
        <v>6</v>
      </c>
      <c r="E162" t="str">
        <f>"8604454440"</f>
        <v>8604454440</v>
      </c>
    </row>
    <row r="163" spans="1:5" x14ac:dyDescent="0.3">
      <c r="A163" t="s">
        <v>618</v>
      </c>
      <c r="B163" t="str">
        <f>"441 LONG HILL RD"</f>
        <v>441 LONG HILL RD</v>
      </c>
      <c r="C163" t="s">
        <v>96</v>
      </c>
      <c r="D163" t="s">
        <v>6</v>
      </c>
      <c r="E163" t="str">
        <f>"8604051919"</f>
        <v>8604051919</v>
      </c>
    </row>
    <row r="164" spans="1:5" x14ac:dyDescent="0.3">
      <c r="A164" t="s">
        <v>85</v>
      </c>
      <c r="B164" t="str">
        <f>"830 BOSTON POST RD"</f>
        <v>830 BOSTON POST RD</v>
      </c>
      <c r="C164" t="s">
        <v>86</v>
      </c>
      <c r="D164" t="s">
        <v>6</v>
      </c>
      <c r="E164" t="str">
        <f>"2034533267"</f>
        <v>2034533267</v>
      </c>
    </row>
    <row r="165" spans="1:5" x14ac:dyDescent="0.3">
      <c r="A165" t="s">
        <v>252</v>
      </c>
      <c r="B165" t="str">
        <f>"1057 BOSTON POST RD"</f>
        <v>1057 BOSTON POST RD</v>
      </c>
      <c r="C165" t="s">
        <v>86</v>
      </c>
      <c r="D165" t="s">
        <v>6</v>
      </c>
      <c r="E165" t="str">
        <f>"2034581444"</f>
        <v>2034581444</v>
      </c>
    </row>
    <row r="166" spans="1:5" x14ac:dyDescent="0.3">
      <c r="A166" t="s">
        <v>551</v>
      </c>
      <c r="B166" t="str">
        <f>"1116 BOSTON POST RD"</f>
        <v>1116 BOSTON POST RD</v>
      </c>
      <c r="C166" t="s">
        <v>86</v>
      </c>
      <c r="D166" t="s">
        <v>6</v>
      </c>
      <c r="E166" t="str">
        <f>"2034531619"</f>
        <v>2034531619</v>
      </c>
    </row>
    <row r="167" spans="1:5" x14ac:dyDescent="0.3">
      <c r="A167" t="s">
        <v>176</v>
      </c>
      <c r="B167" t="str">
        <f>"2045 DIXWELL AVE"</f>
        <v>2045 DIXWELL AVE</v>
      </c>
      <c r="C167" t="s">
        <v>177</v>
      </c>
      <c r="D167" t="s">
        <v>6</v>
      </c>
      <c r="E167" t="str">
        <f>"2032870835"</f>
        <v>2032870835</v>
      </c>
    </row>
    <row r="168" spans="1:5" x14ac:dyDescent="0.3">
      <c r="A168" t="s">
        <v>373</v>
      </c>
      <c r="B168" t="str">
        <f>"1869 DIXWELL AVENUE"</f>
        <v>1869 DIXWELL AVENUE</v>
      </c>
      <c r="C168" t="s">
        <v>177</v>
      </c>
      <c r="D168" t="s">
        <v>6</v>
      </c>
      <c r="E168" t="str">
        <f>"2032810036"</f>
        <v>2032810036</v>
      </c>
    </row>
    <row r="169" spans="1:5" x14ac:dyDescent="0.3">
      <c r="A169" t="s">
        <v>386</v>
      </c>
      <c r="B169" t="str">
        <f>"1125  DIXWELL AVENUE"</f>
        <v>1125  DIXWELL AVENUE</v>
      </c>
      <c r="C169" t="s">
        <v>177</v>
      </c>
      <c r="D169" t="s">
        <v>6</v>
      </c>
      <c r="E169" t="str">
        <f>"2037721346"</f>
        <v>2037721346</v>
      </c>
    </row>
    <row r="170" spans="1:5" x14ac:dyDescent="0.3">
      <c r="A170" t="s">
        <v>395</v>
      </c>
      <c r="B170" t="str">
        <f>"2100 DIXWELL AVE"</f>
        <v>2100 DIXWELL AVE</v>
      </c>
      <c r="C170" t="s">
        <v>177</v>
      </c>
      <c r="D170" t="s">
        <v>6</v>
      </c>
      <c r="E170" t="str">
        <f>"2032305000"</f>
        <v>2032305000</v>
      </c>
    </row>
    <row r="171" spans="1:5" x14ac:dyDescent="0.3">
      <c r="A171" t="s">
        <v>422</v>
      </c>
      <c r="B171" t="str">
        <f>"2335 DIXWELL AVE"</f>
        <v>2335 DIXWELL AVE</v>
      </c>
      <c r="C171" t="s">
        <v>177</v>
      </c>
      <c r="D171" t="s">
        <v>6</v>
      </c>
      <c r="E171" t="str">
        <f>"2032489615"</f>
        <v>2032489615</v>
      </c>
    </row>
    <row r="172" spans="1:5" x14ac:dyDescent="0.3">
      <c r="A172" t="s">
        <v>582</v>
      </c>
      <c r="B172" t="str">
        <f>"1697 WHITNEY AVE"</f>
        <v>1697 WHITNEY AVE</v>
      </c>
      <c r="C172" t="s">
        <v>177</v>
      </c>
      <c r="D172" t="s">
        <v>6</v>
      </c>
      <c r="E172" t="str">
        <f>"2032300610"</f>
        <v>2032300610</v>
      </c>
    </row>
    <row r="173" spans="1:5" x14ac:dyDescent="0.3">
      <c r="A173" t="s">
        <v>593</v>
      </c>
      <c r="B173" t="str">
        <f>"1191 DIXWELL AVE"</f>
        <v>1191 DIXWELL AVE</v>
      </c>
      <c r="C173" t="s">
        <v>177</v>
      </c>
      <c r="D173" t="s">
        <v>6</v>
      </c>
      <c r="E173" t="str">
        <f>"2032302803"</f>
        <v>2032302803</v>
      </c>
    </row>
    <row r="174" spans="1:5" x14ac:dyDescent="0.3">
      <c r="A174" t="s">
        <v>621</v>
      </c>
      <c r="B174" t="str">
        <f>"2505 WHITNEY AVE"</f>
        <v>2505 WHITNEY AVE</v>
      </c>
      <c r="C174" t="s">
        <v>177</v>
      </c>
      <c r="D174" t="s">
        <v>6</v>
      </c>
      <c r="E174" t="str">
        <f>"2032885217"</f>
        <v>2032885217</v>
      </c>
    </row>
    <row r="175" spans="1:5" x14ac:dyDescent="0.3">
      <c r="A175" t="s">
        <v>27</v>
      </c>
      <c r="B175" t="str">
        <f>"1160 ALBANY AVE"</f>
        <v>1160 ALBANY AVE</v>
      </c>
      <c r="C175" t="s">
        <v>28</v>
      </c>
      <c r="D175" t="s">
        <v>6</v>
      </c>
      <c r="E175" t="str">
        <f>"8602784775"</f>
        <v>8602784775</v>
      </c>
    </row>
    <row r="176" spans="1:5" x14ac:dyDescent="0.3">
      <c r="A176" t="s">
        <v>31</v>
      </c>
      <c r="B176" t="str">
        <f>"527 FARMINGTON AVE"</f>
        <v>527 FARMINGTON AVE</v>
      </c>
      <c r="C176" t="s">
        <v>28</v>
      </c>
      <c r="D176" t="s">
        <v>6</v>
      </c>
      <c r="E176" t="str">
        <f>"8602323963"</f>
        <v>8602323963</v>
      </c>
    </row>
    <row r="177" spans="1:5" x14ac:dyDescent="0.3">
      <c r="A177" t="s">
        <v>110</v>
      </c>
      <c r="B177" t="str">
        <f>"1291 ALBANY AVE"</f>
        <v>1291 ALBANY AVE</v>
      </c>
      <c r="C177" t="s">
        <v>28</v>
      </c>
      <c r="D177" t="s">
        <v>6</v>
      </c>
      <c r="E177" t="str">
        <f>"8602788271"</f>
        <v>8602788271</v>
      </c>
    </row>
    <row r="178" spans="1:5" x14ac:dyDescent="0.3">
      <c r="A178" t="s">
        <v>110</v>
      </c>
      <c r="B178" t="str">
        <f>"685 MAPLE AVE"</f>
        <v>685 MAPLE AVE</v>
      </c>
      <c r="C178" t="s">
        <v>28</v>
      </c>
      <c r="D178" t="s">
        <v>6</v>
      </c>
      <c r="E178" t="str">
        <f>"8602931354"</f>
        <v>8602931354</v>
      </c>
    </row>
    <row r="179" spans="1:5" x14ac:dyDescent="0.3">
      <c r="A179" t="s">
        <v>113</v>
      </c>
      <c r="B179" t="str">
        <f>"394 NEW BRITAIN AVE"</f>
        <v>394 NEW BRITAIN AVE</v>
      </c>
      <c r="C179" t="s">
        <v>28</v>
      </c>
      <c r="D179" t="s">
        <v>6</v>
      </c>
      <c r="E179" t="str">
        <f>"8605255984"</f>
        <v>8605255984</v>
      </c>
    </row>
    <row r="180" spans="1:5" x14ac:dyDescent="0.3">
      <c r="A180" t="s">
        <v>113</v>
      </c>
      <c r="B180" t="str">
        <f>"165 WETHERSFIELD AVE"</f>
        <v>165 WETHERSFIELD AVE</v>
      </c>
      <c r="C180" t="s">
        <v>28</v>
      </c>
      <c r="D180" t="s">
        <v>6</v>
      </c>
      <c r="E180" t="str">
        <f>"8602474411"</f>
        <v>8602474411</v>
      </c>
    </row>
    <row r="181" spans="1:5" x14ac:dyDescent="0.3">
      <c r="A181" t="s">
        <v>113</v>
      </c>
      <c r="B181" t="str">
        <f>"1744 PARK STREET"</f>
        <v>1744 PARK STREET</v>
      </c>
      <c r="C181" t="s">
        <v>28</v>
      </c>
      <c r="D181" t="s">
        <v>6</v>
      </c>
      <c r="E181" t="str">
        <f>"8602365520"</f>
        <v>8602365520</v>
      </c>
    </row>
    <row r="182" spans="1:5" x14ac:dyDescent="0.3">
      <c r="A182" t="s">
        <v>117</v>
      </c>
      <c r="B182" t="str">
        <f>"660 BLUE HILLS AVE"</f>
        <v>660 BLUE HILLS AVE</v>
      </c>
      <c r="C182" t="s">
        <v>28</v>
      </c>
      <c r="D182" t="s">
        <v>6</v>
      </c>
      <c r="E182" t="str">
        <f>"8602431439"</f>
        <v>8602431439</v>
      </c>
    </row>
    <row r="183" spans="1:5" x14ac:dyDescent="0.3">
      <c r="A183" t="s">
        <v>118</v>
      </c>
      <c r="B183" t="str">
        <f>"198 FARMINGTON AVENUE"</f>
        <v>198 FARMINGTON AVENUE</v>
      </c>
      <c r="C183" t="s">
        <v>28</v>
      </c>
      <c r="D183" t="s">
        <v>6</v>
      </c>
      <c r="E183" t="str">
        <f>"8605224772"</f>
        <v>8605224772</v>
      </c>
    </row>
    <row r="184" spans="1:5" x14ac:dyDescent="0.3">
      <c r="A184" t="s">
        <v>132</v>
      </c>
      <c r="B184" t="str">
        <f>"1062 ALBANY AVE"</f>
        <v>1062 ALBANY AVE</v>
      </c>
      <c r="C184" t="s">
        <v>28</v>
      </c>
      <c r="D184" t="s">
        <v>6</v>
      </c>
      <c r="E184" t="str">
        <f>"8602473172"</f>
        <v>8602473172</v>
      </c>
    </row>
    <row r="185" spans="1:5" x14ac:dyDescent="0.3">
      <c r="A185" t="s">
        <v>183</v>
      </c>
      <c r="B185" t="str">
        <f>"908 MAPLE AVE"</f>
        <v>908 MAPLE AVE</v>
      </c>
      <c r="C185" t="s">
        <v>28</v>
      </c>
      <c r="D185" t="s">
        <v>6</v>
      </c>
      <c r="E185" t="str">
        <f>"8609566739"</f>
        <v>8609566739</v>
      </c>
    </row>
    <row r="186" spans="1:5" x14ac:dyDescent="0.3">
      <c r="A186" t="s">
        <v>233</v>
      </c>
      <c r="B186" t="str">
        <f>"777 MAIN ST"</f>
        <v>777 MAIN ST</v>
      </c>
      <c r="C186" t="s">
        <v>28</v>
      </c>
      <c r="D186" t="s">
        <v>6</v>
      </c>
      <c r="E186" t="str">
        <f>"8602449424"</f>
        <v>8602449424</v>
      </c>
    </row>
    <row r="187" spans="1:5" x14ac:dyDescent="0.3">
      <c r="A187" t="s">
        <v>250</v>
      </c>
      <c r="B187" t="str">
        <f>"690 WETHERSFIELD AVE"</f>
        <v>690 WETHERSFIELD AVE</v>
      </c>
      <c r="C187" t="s">
        <v>28</v>
      </c>
      <c r="D187" t="s">
        <v>6</v>
      </c>
      <c r="E187" t="str">
        <f>"8602960533"</f>
        <v>8602960533</v>
      </c>
    </row>
    <row r="188" spans="1:5" x14ac:dyDescent="0.3">
      <c r="A188" t="s">
        <v>260</v>
      </c>
      <c r="B188" t="str">
        <f>"479 BLUE HILLS AVE"</f>
        <v>479 BLUE HILLS AVE</v>
      </c>
      <c r="C188" t="s">
        <v>28</v>
      </c>
      <c r="D188" t="s">
        <v>6</v>
      </c>
      <c r="E188" t="str">
        <f>"8607696869"</f>
        <v>8607696869</v>
      </c>
    </row>
    <row r="189" spans="1:5" x14ac:dyDescent="0.3">
      <c r="A189" t="s">
        <v>292</v>
      </c>
      <c r="B189" t="str">
        <f>"150 WASHINGTON ST"</f>
        <v>150 WASHINGTON ST</v>
      </c>
      <c r="C189" t="s">
        <v>28</v>
      </c>
      <c r="D189" t="s">
        <v>6</v>
      </c>
      <c r="E189" t="str">
        <f>"8605951750"</f>
        <v>8605951750</v>
      </c>
    </row>
    <row r="190" spans="1:5" x14ac:dyDescent="0.3">
      <c r="A190" t="s">
        <v>309</v>
      </c>
      <c r="B190" t="str">
        <f>"273 HILLSIDE AVE"</f>
        <v>273 HILLSIDE AVE</v>
      </c>
      <c r="C190" t="s">
        <v>28</v>
      </c>
      <c r="D190" t="s">
        <v>6</v>
      </c>
      <c r="E190" t="str">
        <f>"8603100057"</f>
        <v>8603100057</v>
      </c>
    </row>
    <row r="191" spans="1:5" x14ac:dyDescent="0.3">
      <c r="A191" t="s">
        <v>328</v>
      </c>
      <c r="B191" t="str">
        <f>"194 WESTLAND STREET"</f>
        <v>194 WESTLAND STREET</v>
      </c>
      <c r="C191" t="s">
        <v>28</v>
      </c>
      <c r="D191" t="s">
        <v>6</v>
      </c>
      <c r="E191" t="str">
        <f>"8609061295"</f>
        <v>8609061295</v>
      </c>
    </row>
    <row r="192" spans="1:5" x14ac:dyDescent="0.3">
      <c r="A192" t="s">
        <v>329</v>
      </c>
      <c r="B192" t="str">
        <f>"224 CAPEN STREET"</f>
        <v>224 CAPEN STREET</v>
      </c>
      <c r="C192" t="s">
        <v>28</v>
      </c>
      <c r="D192" t="s">
        <v>6</v>
      </c>
      <c r="E192" t="str">
        <f>"8602449707"</f>
        <v>8602449707</v>
      </c>
    </row>
    <row r="193" spans="1:5" x14ac:dyDescent="0.3">
      <c r="A193" t="s">
        <v>333</v>
      </c>
      <c r="B193" t="str">
        <f>"1250 PARK STREET"</f>
        <v>1250 PARK STREET</v>
      </c>
      <c r="C193" t="s">
        <v>28</v>
      </c>
      <c r="D193" t="s">
        <v>6</v>
      </c>
      <c r="E193" t="str">
        <f>"8602063751"</f>
        <v>8602063751</v>
      </c>
    </row>
    <row r="194" spans="1:5" x14ac:dyDescent="0.3">
      <c r="A194" t="s">
        <v>339</v>
      </c>
      <c r="B194" t="str">
        <f>"704 PARK ST"</f>
        <v>704 PARK ST</v>
      </c>
      <c r="C194" t="s">
        <v>28</v>
      </c>
      <c r="D194" t="s">
        <v>6</v>
      </c>
      <c r="E194" t="str">
        <f>"8605607677"</f>
        <v>8605607677</v>
      </c>
    </row>
    <row r="195" spans="1:5" x14ac:dyDescent="0.3">
      <c r="A195" t="s">
        <v>342</v>
      </c>
      <c r="B195" t="str">
        <f>"2383 MAIN STREET"</f>
        <v>2383 MAIN STREET</v>
      </c>
      <c r="C195" t="s">
        <v>28</v>
      </c>
      <c r="D195" t="s">
        <v>6</v>
      </c>
      <c r="E195" t="str">
        <f>"8602638429"</f>
        <v>8602638429</v>
      </c>
    </row>
    <row r="196" spans="1:5" x14ac:dyDescent="0.3">
      <c r="A196" t="s">
        <v>350</v>
      </c>
      <c r="B196" t="str">
        <f>"110 SOUTH STREET"</f>
        <v>110 SOUTH STREET</v>
      </c>
      <c r="C196" t="s">
        <v>28</v>
      </c>
      <c r="D196" t="s">
        <v>6</v>
      </c>
      <c r="E196" t="str">
        <f>"8602966529"</f>
        <v>8602966529</v>
      </c>
    </row>
    <row r="197" spans="1:5" x14ac:dyDescent="0.3">
      <c r="A197" t="s">
        <v>351</v>
      </c>
      <c r="B197" t="str">
        <f>"517 ALBANY AVE"</f>
        <v>517 ALBANY AVE</v>
      </c>
      <c r="C197" t="s">
        <v>28</v>
      </c>
      <c r="D197" t="s">
        <v>6</v>
      </c>
      <c r="E197" t="str">
        <f>"8605240578"</f>
        <v>8605240578</v>
      </c>
    </row>
    <row r="198" spans="1:5" x14ac:dyDescent="0.3">
      <c r="A198" t="s">
        <v>359</v>
      </c>
      <c r="B198" t="str">
        <f>"1480 ALBANY AVENUE"</f>
        <v>1480 ALBANY AVENUE</v>
      </c>
      <c r="C198" t="s">
        <v>28</v>
      </c>
      <c r="D198" t="s">
        <v>6</v>
      </c>
      <c r="E198" t="str">
        <f>"8609696677"</f>
        <v>8609696677</v>
      </c>
    </row>
    <row r="199" spans="1:5" x14ac:dyDescent="0.3">
      <c r="A199" t="s">
        <v>360</v>
      </c>
      <c r="B199" t="str">
        <f>"1631 MAIN ST"</f>
        <v>1631 MAIN ST</v>
      </c>
      <c r="C199" t="s">
        <v>28</v>
      </c>
      <c r="D199" t="s">
        <v>6</v>
      </c>
      <c r="E199" t="str">
        <f>"8605481656"</f>
        <v>8605481656</v>
      </c>
    </row>
    <row r="200" spans="1:5" x14ac:dyDescent="0.3">
      <c r="A200" t="s">
        <v>386</v>
      </c>
      <c r="B200" t="str">
        <f>"1888 MAIN STREET"</f>
        <v>1888 MAIN STREET</v>
      </c>
      <c r="C200" t="s">
        <v>28</v>
      </c>
      <c r="D200" t="s">
        <v>6</v>
      </c>
      <c r="E200" t="str">
        <f>"8605480654"</f>
        <v>8605480654</v>
      </c>
    </row>
    <row r="201" spans="1:5" x14ac:dyDescent="0.3">
      <c r="A201" t="s">
        <v>449</v>
      </c>
      <c r="B201" t="str">
        <f>"150 NEW PARK AVE"</f>
        <v>150 NEW PARK AVE</v>
      </c>
      <c r="C201" t="s">
        <v>28</v>
      </c>
      <c r="D201" t="s">
        <v>6</v>
      </c>
      <c r="E201" t="str">
        <f>"8602328777"</f>
        <v>8602328777</v>
      </c>
    </row>
    <row r="202" spans="1:5" x14ac:dyDescent="0.3">
      <c r="A202" t="s">
        <v>522</v>
      </c>
      <c r="B202" t="str">
        <f>"410 CAPITOL AVENUE"</f>
        <v>410 CAPITOL AVENUE</v>
      </c>
      <c r="C202" t="s">
        <v>28</v>
      </c>
      <c r="D202" t="s">
        <v>6</v>
      </c>
      <c r="E202" t="str">
        <f>"8605098072"</f>
        <v>8605098072</v>
      </c>
    </row>
    <row r="203" spans="1:5" x14ac:dyDescent="0.3">
      <c r="A203" t="s">
        <v>569</v>
      </c>
      <c r="B203" t="str">
        <f>"1291 ALBANY AVE"</f>
        <v>1291 ALBANY AVE</v>
      </c>
      <c r="C203" t="s">
        <v>28</v>
      </c>
      <c r="D203" t="s">
        <v>6</v>
      </c>
      <c r="E203" t="str">
        <f>"8605601881"</f>
        <v>8605601881</v>
      </c>
    </row>
    <row r="204" spans="1:5" x14ac:dyDescent="0.3">
      <c r="A204" t="s">
        <v>589</v>
      </c>
      <c r="B204" t="str">
        <f>"161 WASHINGTON ST"</f>
        <v>161 WASHINGTON ST</v>
      </c>
      <c r="C204" t="s">
        <v>28</v>
      </c>
      <c r="D204" t="s">
        <v>6</v>
      </c>
      <c r="E204" t="str">
        <f>"8605225005"</f>
        <v>8605225005</v>
      </c>
    </row>
    <row r="205" spans="1:5" x14ac:dyDescent="0.3">
      <c r="A205" t="s">
        <v>647</v>
      </c>
      <c r="B205" t="str">
        <f>"495 FLATBUSH AVE"</f>
        <v>495 FLATBUSH AVE</v>
      </c>
      <c r="C205" t="s">
        <v>28</v>
      </c>
      <c r="D205" t="s">
        <v>6</v>
      </c>
      <c r="E205" t="str">
        <f>"8609530040"</f>
        <v>8609530040</v>
      </c>
    </row>
    <row r="206" spans="1:5" x14ac:dyDescent="0.3">
      <c r="A206" t="s">
        <v>655</v>
      </c>
      <c r="B206" t="str">
        <f>"247 SIGOURNEY ST"</f>
        <v>247 SIGOURNEY ST</v>
      </c>
      <c r="C206" t="s">
        <v>28</v>
      </c>
      <c r="D206" t="s">
        <v>6</v>
      </c>
      <c r="E206" t="str">
        <f>"9598883145"</f>
        <v>9598883145</v>
      </c>
    </row>
    <row r="207" spans="1:5" x14ac:dyDescent="0.3">
      <c r="A207" t="s">
        <v>201</v>
      </c>
      <c r="B207" t="str">
        <f>"110 MAIN ST"</f>
        <v>110 MAIN ST</v>
      </c>
      <c r="C207" t="s">
        <v>202</v>
      </c>
      <c r="D207" t="s">
        <v>6</v>
      </c>
      <c r="E207" t="str">
        <f>"8602283888"</f>
        <v>8602283888</v>
      </c>
    </row>
    <row r="208" spans="1:5" x14ac:dyDescent="0.3">
      <c r="A208" t="s">
        <v>35</v>
      </c>
      <c r="B208" t="str">
        <f>"99 RIVER RD"</f>
        <v>99 RIVER RD</v>
      </c>
      <c r="C208" t="s">
        <v>36</v>
      </c>
      <c r="D208" t="s">
        <v>6</v>
      </c>
      <c r="E208" t="str">
        <f>"8603764424"</f>
        <v>8603764424</v>
      </c>
    </row>
    <row r="209" spans="1:5" x14ac:dyDescent="0.3">
      <c r="A209" t="s">
        <v>130</v>
      </c>
      <c r="B209" t="str">
        <f>"66 MAIN ST"</f>
        <v>66 MAIN ST</v>
      </c>
      <c r="C209" t="s">
        <v>36</v>
      </c>
      <c r="D209" t="s">
        <v>6</v>
      </c>
      <c r="E209" t="str">
        <f>"8603761137"</f>
        <v>8603761137</v>
      </c>
    </row>
    <row r="210" spans="1:5" x14ac:dyDescent="0.3">
      <c r="A210" t="s">
        <v>572</v>
      </c>
      <c r="B210" t="str">
        <f>"27 MAIN STREET"</f>
        <v>27 MAIN STREET</v>
      </c>
      <c r="C210" t="s">
        <v>36</v>
      </c>
      <c r="D210" t="s">
        <v>6</v>
      </c>
      <c r="E210" t="str">
        <f>"8603761206"</f>
        <v>8603761206</v>
      </c>
    </row>
    <row r="211" spans="1:5" x14ac:dyDescent="0.3">
      <c r="A211" t="s">
        <v>263</v>
      </c>
      <c r="B211" t="str">
        <f>"1055 FARMINGTON AVE"</f>
        <v>1055 FARMINGTON AVE</v>
      </c>
      <c r="C211" t="s">
        <v>264</v>
      </c>
      <c r="D211" t="s">
        <v>6</v>
      </c>
      <c r="E211" t="str">
        <f>"8608290561"</f>
        <v>8608290561</v>
      </c>
    </row>
    <row r="212" spans="1:5" x14ac:dyDescent="0.3">
      <c r="A212" t="s">
        <v>519</v>
      </c>
      <c r="B212" t="str">
        <f>"195 RIVER RD"</f>
        <v>195 RIVER RD</v>
      </c>
      <c r="C212" t="s">
        <v>520</v>
      </c>
      <c r="D212" t="s">
        <v>6</v>
      </c>
      <c r="E212" t="str">
        <f>"8608232960"</f>
        <v>8608232960</v>
      </c>
    </row>
    <row r="213" spans="1:5" x14ac:dyDescent="0.3">
      <c r="A213" t="s">
        <v>646</v>
      </c>
      <c r="B213" t="str">
        <f>"180 RIVER RD"</f>
        <v>180 RIVER RD</v>
      </c>
      <c r="C213" t="s">
        <v>520</v>
      </c>
      <c r="D213" t="s">
        <v>6</v>
      </c>
      <c r="E213" t="str">
        <f>"8603763254"</f>
        <v>8603763254</v>
      </c>
    </row>
    <row r="214" spans="1:5" x14ac:dyDescent="0.3">
      <c r="A214" t="s">
        <v>139</v>
      </c>
      <c r="B214" t="str">
        <f>"266 WEST ST"</f>
        <v>266 WEST ST</v>
      </c>
      <c r="C214" t="s">
        <v>140</v>
      </c>
      <c r="D214" t="s">
        <v>6</v>
      </c>
      <c r="E214" t="str">
        <f>"8605670856"</f>
        <v>8605670856</v>
      </c>
    </row>
    <row r="215" spans="1:5" x14ac:dyDescent="0.3">
      <c r="A215" t="s">
        <v>420</v>
      </c>
      <c r="B215" t="str">
        <f>"55 VILLAGE GREEN DRIVE"</f>
        <v>55 VILLAGE GREEN DRIVE</v>
      </c>
      <c r="C215" t="s">
        <v>140</v>
      </c>
      <c r="D215" t="s">
        <v>6</v>
      </c>
      <c r="E215" t="str">
        <f>"8603934051"</f>
        <v>8603934051</v>
      </c>
    </row>
    <row r="216" spans="1:5" x14ac:dyDescent="0.3">
      <c r="A216" t="s">
        <v>571</v>
      </c>
      <c r="B216" t="str">
        <f>"331 WEST STREET"</f>
        <v>331 WEST STREET</v>
      </c>
      <c r="C216" t="s">
        <v>140</v>
      </c>
      <c r="D216" t="s">
        <v>6</v>
      </c>
      <c r="E216" t="str">
        <f>"8605677064"</f>
        <v>8605677064</v>
      </c>
    </row>
    <row r="217" spans="1:5" x14ac:dyDescent="0.3">
      <c r="A217" t="s">
        <v>159</v>
      </c>
      <c r="B217" t="str">
        <f>"613 BOSTON POST RD"</f>
        <v>613 BOSTON POST RD</v>
      </c>
      <c r="C217" t="s">
        <v>160</v>
      </c>
      <c r="D217" t="s">
        <v>6</v>
      </c>
      <c r="E217" t="str">
        <f>"2032459438"</f>
        <v>2032459438</v>
      </c>
    </row>
    <row r="218" spans="1:5" x14ac:dyDescent="0.3">
      <c r="A218" t="s">
        <v>442</v>
      </c>
      <c r="B218" t="str">
        <f>"136 SAMSON ROCK DR"</f>
        <v>136 SAMSON ROCK DR</v>
      </c>
      <c r="C218" t="s">
        <v>160</v>
      </c>
      <c r="D218" t="s">
        <v>6</v>
      </c>
      <c r="E218" t="str">
        <f>"2032457204"</f>
        <v>2032457204</v>
      </c>
    </row>
    <row r="219" spans="1:5" x14ac:dyDescent="0.3">
      <c r="A219" t="s">
        <v>77</v>
      </c>
      <c r="B219" t="str">
        <f>"234 TOLLAND TPKE"</f>
        <v>234 TOLLAND TPKE</v>
      </c>
      <c r="C219" t="s">
        <v>78</v>
      </c>
      <c r="D219" t="s">
        <v>6</v>
      </c>
      <c r="E219" t="str">
        <f>"8606457312"</f>
        <v>8606457312</v>
      </c>
    </row>
    <row r="220" spans="1:5" x14ac:dyDescent="0.3">
      <c r="A220" t="s">
        <v>289</v>
      </c>
      <c r="B220" t="str">
        <f>"241 W MIDDLE TPKE"</f>
        <v>241 W MIDDLE TPKE</v>
      </c>
      <c r="C220" t="s">
        <v>78</v>
      </c>
      <c r="D220" t="s">
        <v>6</v>
      </c>
      <c r="E220" t="str">
        <f>"8605331156"</f>
        <v>8605331156</v>
      </c>
    </row>
    <row r="221" spans="1:5" x14ac:dyDescent="0.3">
      <c r="A221" t="s">
        <v>381</v>
      </c>
      <c r="B221" t="str">
        <f>"208 W CENTER ST"</f>
        <v>208 W CENTER ST</v>
      </c>
      <c r="C221" t="s">
        <v>78</v>
      </c>
      <c r="D221" t="s">
        <v>6</v>
      </c>
      <c r="E221" t="str">
        <f>"8606435500"</f>
        <v>8606435500</v>
      </c>
    </row>
    <row r="222" spans="1:5" x14ac:dyDescent="0.3">
      <c r="A222" t="s">
        <v>396</v>
      </c>
      <c r="B222" t="str">
        <f>"214 SPENCER ST"</f>
        <v>214 SPENCER ST</v>
      </c>
      <c r="C222" t="s">
        <v>78</v>
      </c>
      <c r="D222" t="s">
        <v>6</v>
      </c>
      <c r="E222" t="str">
        <f>"8606453240"</f>
        <v>8606453240</v>
      </c>
    </row>
    <row r="223" spans="1:5" x14ac:dyDescent="0.3">
      <c r="A223" t="s">
        <v>492</v>
      </c>
      <c r="B223" t="str">
        <f>"286 BROAD ST"</f>
        <v>286 BROAD ST</v>
      </c>
      <c r="C223" t="s">
        <v>78</v>
      </c>
      <c r="D223" t="s">
        <v>6</v>
      </c>
      <c r="E223" t="str">
        <f>"8606458050"</f>
        <v>8606458050</v>
      </c>
    </row>
    <row r="224" spans="1:5" x14ac:dyDescent="0.3">
      <c r="A224" t="s">
        <v>505</v>
      </c>
      <c r="B224" t="str">
        <f>"125 BUCKLAND HILLS DR"</f>
        <v>125 BUCKLAND HILLS DR</v>
      </c>
      <c r="C224" t="s">
        <v>78</v>
      </c>
      <c r="D224" t="s">
        <v>6</v>
      </c>
      <c r="E224" t="str">
        <f>"8603270082"</f>
        <v>8603270082</v>
      </c>
    </row>
    <row r="225" spans="1:5" x14ac:dyDescent="0.3">
      <c r="A225" t="s">
        <v>594</v>
      </c>
      <c r="B225" t="str">
        <f>"295 MAIN STREET"</f>
        <v>295 MAIN STREET</v>
      </c>
      <c r="C225" t="s">
        <v>78</v>
      </c>
      <c r="D225" t="s">
        <v>6</v>
      </c>
      <c r="E225" t="str">
        <f>"8606498747"</f>
        <v>8606498747</v>
      </c>
    </row>
    <row r="226" spans="1:5" x14ac:dyDescent="0.3">
      <c r="A226" t="s">
        <v>601</v>
      </c>
      <c r="B226" t="str">
        <f>"149 DEMING ST"</f>
        <v>149 DEMING ST</v>
      </c>
      <c r="C226" t="s">
        <v>78</v>
      </c>
      <c r="D226" t="s">
        <v>6</v>
      </c>
      <c r="E226" t="str">
        <f>"8606441210"</f>
        <v>8606441210</v>
      </c>
    </row>
    <row r="227" spans="1:5" x14ac:dyDescent="0.3">
      <c r="A227" t="s">
        <v>631</v>
      </c>
      <c r="B227" t="str">
        <f>"420 BUCKLAND HILLS DR"</f>
        <v>420 BUCKLAND HILLS DR</v>
      </c>
      <c r="C227" t="s">
        <v>78</v>
      </c>
      <c r="D227" t="s">
        <v>6</v>
      </c>
      <c r="E227" t="str">
        <f>"8606445100"</f>
        <v>8606445100</v>
      </c>
    </row>
    <row r="228" spans="1:5" x14ac:dyDescent="0.3">
      <c r="A228" t="s">
        <v>69</v>
      </c>
      <c r="B228" t="str">
        <f>"141-B STORRS RD"</f>
        <v>141-B STORRS RD</v>
      </c>
      <c r="C228" t="s">
        <v>70</v>
      </c>
      <c r="D228" t="s">
        <v>6</v>
      </c>
      <c r="E228" t="str">
        <f>"8604568051"</f>
        <v>8604568051</v>
      </c>
    </row>
    <row r="229" spans="1:5" x14ac:dyDescent="0.3">
      <c r="A229" t="s">
        <v>39</v>
      </c>
      <c r="B229" t="str">
        <f>"7 E HAMPTON RD"</f>
        <v>7 E HAMPTON RD</v>
      </c>
      <c r="C229" t="s">
        <v>40</v>
      </c>
      <c r="D229" t="s">
        <v>6</v>
      </c>
      <c r="E229" t="str">
        <f>"8604679136"</f>
        <v>8604679136</v>
      </c>
    </row>
    <row r="230" spans="1:5" x14ac:dyDescent="0.3">
      <c r="A230" t="s">
        <v>4</v>
      </c>
      <c r="B230" t="str">
        <f>"334 A LIBERTY ST"</f>
        <v>334 A LIBERTY ST</v>
      </c>
      <c r="C230" t="s">
        <v>5</v>
      </c>
      <c r="D230" t="s">
        <v>6</v>
      </c>
      <c r="E230" t="str">
        <f>"2036393551"</f>
        <v>2036393551</v>
      </c>
    </row>
    <row r="231" spans="1:5" x14ac:dyDescent="0.3">
      <c r="A231" t="s">
        <v>109</v>
      </c>
      <c r="B231" t="str">
        <f>"533 S BROAD ST"</f>
        <v>533 S BROAD ST</v>
      </c>
      <c r="C231" t="s">
        <v>5</v>
      </c>
      <c r="D231" t="s">
        <v>6</v>
      </c>
      <c r="E231" t="str">
        <f>"2032375244"</f>
        <v>2032375244</v>
      </c>
    </row>
    <row r="232" spans="1:5" x14ac:dyDescent="0.3">
      <c r="A232" t="s">
        <v>113</v>
      </c>
      <c r="B232" t="str">
        <f>"160 COLONY ST"</f>
        <v>160 COLONY ST</v>
      </c>
      <c r="C232" t="s">
        <v>5</v>
      </c>
      <c r="D232" t="s">
        <v>6</v>
      </c>
      <c r="E232" t="str">
        <f>"2032357000"</f>
        <v>2032357000</v>
      </c>
    </row>
    <row r="233" spans="1:5" x14ac:dyDescent="0.3">
      <c r="A233" t="s">
        <v>133</v>
      </c>
      <c r="B233" t="str">
        <f>"226 W MAIN ST"</f>
        <v>226 W MAIN ST</v>
      </c>
      <c r="C233" t="s">
        <v>5</v>
      </c>
      <c r="D233" t="s">
        <v>6</v>
      </c>
      <c r="E233" t="str">
        <f>"2034401518"</f>
        <v>2034401518</v>
      </c>
    </row>
    <row r="234" spans="1:5" x14ac:dyDescent="0.3">
      <c r="A234" t="s">
        <v>187</v>
      </c>
      <c r="B234" t="str">
        <f>"839 E MAIN ST"</f>
        <v>839 E MAIN ST</v>
      </c>
      <c r="C234" t="s">
        <v>5</v>
      </c>
      <c r="D234" t="s">
        <v>6</v>
      </c>
      <c r="E234" t="str">
        <f>"2032372665"</f>
        <v>2032372665</v>
      </c>
    </row>
    <row r="235" spans="1:5" x14ac:dyDescent="0.3">
      <c r="A235" t="s">
        <v>254</v>
      </c>
      <c r="B235" t="str">
        <f>"540 W MAIN ST"</f>
        <v>540 W MAIN ST</v>
      </c>
      <c r="C235" t="s">
        <v>5</v>
      </c>
      <c r="D235" t="s">
        <v>6</v>
      </c>
      <c r="E235" t="str">
        <f>"2036391473"</f>
        <v>2036391473</v>
      </c>
    </row>
    <row r="236" spans="1:5" x14ac:dyDescent="0.3">
      <c r="A236" t="s">
        <v>298</v>
      </c>
      <c r="B236" t="str">
        <f>"153 BROAD ST"</f>
        <v>153 BROAD ST</v>
      </c>
      <c r="C236" t="s">
        <v>5</v>
      </c>
      <c r="D236" t="s">
        <v>6</v>
      </c>
      <c r="E236" t="str">
        <f>"2036396081"</f>
        <v>2036396081</v>
      </c>
    </row>
    <row r="237" spans="1:5" x14ac:dyDescent="0.3">
      <c r="A237" t="s">
        <v>386</v>
      </c>
      <c r="B237" t="str">
        <f>"311 WEST MAIN STREET"</f>
        <v>311 WEST MAIN STREET</v>
      </c>
      <c r="C237" t="s">
        <v>5</v>
      </c>
      <c r="D237" t="s">
        <v>6</v>
      </c>
      <c r="E237" t="str">
        <f>"2032387204"</f>
        <v>2032387204</v>
      </c>
    </row>
    <row r="238" spans="1:5" x14ac:dyDescent="0.3">
      <c r="A238" t="s">
        <v>466</v>
      </c>
      <c r="B238" t="str">
        <f>"485 BROAD ST"</f>
        <v>485 BROAD ST</v>
      </c>
      <c r="C238" t="s">
        <v>5</v>
      </c>
      <c r="D238" t="s">
        <v>6</v>
      </c>
      <c r="E238" t="str">
        <f>"2032381235"</f>
        <v>2032381235</v>
      </c>
    </row>
    <row r="239" spans="1:5" x14ac:dyDescent="0.3">
      <c r="A239" t="s">
        <v>509</v>
      </c>
      <c r="B239" t="str">
        <f>"474 CHAMBERLAIN HWY"</f>
        <v>474 CHAMBERLAIN HWY</v>
      </c>
      <c r="C239" t="s">
        <v>5</v>
      </c>
      <c r="D239" t="s">
        <v>6</v>
      </c>
      <c r="E239" t="str">
        <f>"2036346049"</f>
        <v>2036346049</v>
      </c>
    </row>
    <row r="240" spans="1:5" x14ac:dyDescent="0.3">
      <c r="A240" t="s">
        <v>596</v>
      </c>
      <c r="B240" t="str">
        <f>"425 W MAIN STREET"</f>
        <v>425 W MAIN STREET</v>
      </c>
      <c r="C240" t="s">
        <v>5</v>
      </c>
      <c r="D240" t="s">
        <v>6</v>
      </c>
      <c r="E240" t="str">
        <f>"2036398166"</f>
        <v>2036398166</v>
      </c>
    </row>
    <row r="241" spans="1:5" x14ac:dyDescent="0.3">
      <c r="A241" t="s">
        <v>629</v>
      </c>
      <c r="B241" t="str">
        <f>"825 E MAIN STREET"</f>
        <v>825 E MAIN STREET</v>
      </c>
      <c r="C241" t="s">
        <v>5</v>
      </c>
      <c r="D241" t="s">
        <v>6</v>
      </c>
      <c r="E241" t="str">
        <f>"2032380910"</f>
        <v>2032380910</v>
      </c>
    </row>
    <row r="242" spans="1:5" x14ac:dyDescent="0.3">
      <c r="A242" t="s">
        <v>156</v>
      </c>
      <c r="B242" t="str">
        <f>"308 MAIN ST EXT"</f>
        <v>308 MAIN ST EXT</v>
      </c>
      <c r="C242" t="s">
        <v>157</v>
      </c>
      <c r="D242" t="s">
        <v>6</v>
      </c>
      <c r="E242" t="str">
        <f>"8603448202"</f>
        <v>8603448202</v>
      </c>
    </row>
    <row r="243" spans="1:5" x14ac:dyDescent="0.3">
      <c r="A243" t="s">
        <v>285</v>
      </c>
      <c r="B243" t="str">
        <f>"675 WASHINGTON ST"</f>
        <v>675 WASHINGTON ST</v>
      </c>
      <c r="C243" t="s">
        <v>157</v>
      </c>
      <c r="D243" t="s">
        <v>6</v>
      </c>
      <c r="E243" t="str">
        <f>"8603441320"</f>
        <v>8603441320</v>
      </c>
    </row>
    <row r="244" spans="1:5" x14ac:dyDescent="0.3">
      <c r="A244" t="s">
        <v>345</v>
      </c>
      <c r="B244" t="str">
        <f>"656 MAIN ST"</f>
        <v>656 MAIN ST</v>
      </c>
      <c r="C244" t="s">
        <v>157</v>
      </c>
      <c r="D244" t="s">
        <v>6</v>
      </c>
      <c r="E244" t="str">
        <f>"2035434407"</f>
        <v>2035434407</v>
      </c>
    </row>
    <row r="245" spans="1:5" x14ac:dyDescent="0.3">
      <c r="A245" t="s">
        <v>368</v>
      </c>
      <c r="B245" t="str">
        <f>"855 WASHINGTON ST"</f>
        <v>855 WASHINGTON ST</v>
      </c>
      <c r="C245" t="s">
        <v>157</v>
      </c>
      <c r="D245" t="s">
        <v>6</v>
      </c>
      <c r="E245" t="str">
        <f>"8607407700"</f>
        <v>8607407700</v>
      </c>
    </row>
    <row r="246" spans="1:5" x14ac:dyDescent="0.3">
      <c r="A246" t="s">
        <v>441</v>
      </c>
      <c r="B246" t="str">
        <f>"416 E MAIN ST"</f>
        <v>416 E MAIN ST</v>
      </c>
      <c r="C246" t="s">
        <v>157</v>
      </c>
      <c r="D246" t="s">
        <v>6</v>
      </c>
      <c r="E246" t="str">
        <f>"8603460160"</f>
        <v>8603460160</v>
      </c>
    </row>
    <row r="247" spans="1:5" x14ac:dyDescent="0.3">
      <c r="A247" t="s">
        <v>549</v>
      </c>
      <c r="B247" t="str">
        <f>"311 E MAIN STREET"</f>
        <v>311 E MAIN STREET</v>
      </c>
      <c r="C247" t="s">
        <v>157</v>
      </c>
      <c r="D247" t="s">
        <v>6</v>
      </c>
      <c r="E247" t="str">
        <f>"8607040135"</f>
        <v>8607040135</v>
      </c>
    </row>
    <row r="248" spans="1:5" x14ac:dyDescent="0.3">
      <c r="A248" t="s">
        <v>583</v>
      </c>
      <c r="B248" t="str">
        <f>"633 WASHINGTON STREET"</f>
        <v>633 WASHINGTON STREET</v>
      </c>
      <c r="C248" t="s">
        <v>157</v>
      </c>
      <c r="D248" t="s">
        <v>6</v>
      </c>
      <c r="E248" t="str">
        <f>"8603467628"</f>
        <v>8603467628</v>
      </c>
    </row>
    <row r="249" spans="1:5" x14ac:dyDescent="0.3">
      <c r="A249" t="s">
        <v>19</v>
      </c>
      <c r="B249" t="str">
        <f>"1391 NEW HAVEN AVE"</f>
        <v>1391 NEW HAVEN AVE</v>
      </c>
      <c r="C249" t="s">
        <v>20</v>
      </c>
      <c r="D249" t="s">
        <v>6</v>
      </c>
      <c r="E249" t="str">
        <f>"2038787363"</f>
        <v>2038787363</v>
      </c>
    </row>
    <row r="250" spans="1:5" x14ac:dyDescent="0.3">
      <c r="A250" t="s">
        <v>49</v>
      </c>
      <c r="B250" t="str">
        <f>"150 BOSTON POST RD"</f>
        <v>150 BOSTON POST RD</v>
      </c>
      <c r="C250" t="s">
        <v>20</v>
      </c>
      <c r="D250" t="s">
        <v>6</v>
      </c>
      <c r="E250" t="str">
        <f>"2037015013"</f>
        <v>2037015013</v>
      </c>
    </row>
    <row r="251" spans="1:5" x14ac:dyDescent="0.3">
      <c r="A251" t="s">
        <v>134</v>
      </c>
      <c r="B251" t="str">
        <f>"989 BOSTON POST RD"</f>
        <v>989 BOSTON POST RD</v>
      </c>
      <c r="C251" t="s">
        <v>20</v>
      </c>
      <c r="D251" t="s">
        <v>6</v>
      </c>
      <c r="E251" t="str">
        <f>"8607839058"</f>
        <v>8607839058</v>
      </c>
    </row>
    <row r="252" spans="1:5" x14ac:dyDescent="0.3">
      <c r="A252" t="s">
        <v>236</v>
      </c>
      <c r="B252" t="str">
        <f>"734 BRIDGEPORT AVE"</f>
        <v>734 BRIDGEPORT AVE</v>
      </c>
      <c r="C252" t="s">
        <v>20</v>
      </c>
      <c r="D252" t="s">
        <v>6</v>
      </c>
      <c r="E252" t="str">
        <f>"2038778127"</f>
        <v>2038778127</v>
      </c>
    </row>
    <row r="253" spans="1:5" x14ac:dyDescent="0.3">
      <c r="A253" t="s">
        <v>397</v>
      </c>
      <c r="B253" t="str">
        <f>"935 BOSTON POST ROAD"</f>
        <v>935 BOSTON POST ROAD</v>
      </c>
      <c r="C253" t="s">
        <v>20</v>
      </c>
      <c r="D253" t="s">
        <v>6</v>
      </c>
      <c r="E253" t="str">
        <f>"2038767868"</f>
        <v>2038767868</v>
      </c>
    </row>
    <row r="254" spans="1:5" x14ac:dyDescent="0.3">
      <c r="A254" t="s">
        <v>460</v>
      </c>
      <c r="B254" t="str">
        <f>"855 BRIDGEPORT AVE"</f>
        <v>855 BRIDGEPORT AVE</v>
      </c>
      <c r="C254" t="s">
        <v>20</v>
      </c>
      <c r="D254" t="s">
        <v>6</v>
      </c>
      <c r="E254" t="str">
        <f>"2038760467"</f>
        <v>2038760467</v>
      </c>
    </row>
    <row r="255" spans="1:5" x14ac:dyDescent="0.3">
      <c r="A255" t="s">
        <v>473</v>
      </c>
      <c r="B255" t="str">
        <f>"1360 EAST TOWN RD"</f>
        <v>1360 EAST TOWN RD</v>
      </c>
      <c r="C255" t="s">
        <v>20</v>
      </c>
      <c r="D255" t="s">
        <v>6</v>
      </c>
      <c r="E255" t="str">
        <f>"2038771841"</f>
        <v>2038771841</v>
      </c>
    </row>
    <row r="256" spans="1:5" x14ac:dyDescent="0.3">
      <c r="A256" t="s">
        <v>515</v>
      </c>
      <c r="B256" t="str">
        <f>"1191 BOSTON POST RD"</f>
        <v>1191 BOSTON POST RD</v>
      </c>
      <c r="C256" t="s">
        <v>20</v>
      </c>
      <c r="D256" t="s">
        <v>6</v>
      </c>
      <c r="E256" t="str">
        <f>"2033065063"</f>
        <v>2033065063</v>
      </c>
    </row>
    <row r="257" spans="1:5" x14ac:dyDescent="0.3">
      <c r="A257" t="s">
        <v>550</v>
      </c>
      <c r="B257" t="str">
        <f>"1083 BOSTON POST RD"</f>
        <v>1083 BOSTON POST RD</v>
      </c>
      <c r="C257" t="s">
        <v>20</v>
      </c>
      <c r="D257" t="s">
        <v>6</v>
      </c>
      <c r="E257" t="str">
        <f>"2038787265"</f>
        <v>2038787265</v>
      </c>
    </row>
    <row r="258" spans="1:5" x14ac:dyDescent="0.3">
      <c r="A258" t="s">
        <v>600</v>
      </c>
      <c r="B258" t="str">
        <f>"541 BRIDGEPORT AVE"</f>
        <v>541 BRIDGEPORT AVE</v>
      </c>
      <c r="C258" t="s">
        <v>20</v>
      </c>
      <c r="D258" t="s">
        <v>6</v>
      </c>
      <c r="E258" t="str">
        <f>"2038767643"</f>
        <v>2038767643</v>
      </c>
    </row>
    <row r="259" spans="1:5" x14ac:dyDescent="0.3">
      <c r="A259" t="s">
        <v>71</v>
      </c>
      <c r="B259" t="str">
        <f>"535 MONROE TPKE"</f>
        <v>535 MONROE TPKE</v>
      </c>
      <c r="C259" t="s">
        <v>72</v>
      </c>
      <c r="D259" t="s">
        <v>6</v>
      </c>
      <c r="E259" t="str">
        <f>"2034529002"</f>
        <v>2034529002</v>
      </c>
    </row>
    <row r="260" spans="1:5" x14ac:dyDescent="0.3">
      <c r="A260" t="s">
        <v>249</v>
      </c>
      <c r="B260" t="str">
        <f>"511 MONROE TPKE"</f>
        <v>511 MONROE TPKE</v>
      </c>
      <c r="C260" t="s">
        <v>72</v>
      </c>
      <c r="D260" t="s">
        <v>6</v>
      </c>
      <c r="E260" t="str">
        <f>"2032611185"</f>
        <v>2032611185</v>
      </c>
    </row>
    <row r="261" spans="1:5" x14ac:dyDescent="0.3">
      <c r="A261" t="s">
        <v>488</v>
      </c>
      <c r="B261" t="str">
        <f>"470 MONROE TPKE"</f>
        <v>470 MONROE TPKE</v>
      </c>
      <c r="C261" t="s">
        <v>72</v>
      </c>
      <c r="D261" t="s">
        <v>6</v>
      </c>
      <c r="E261" t="str">
        <f>"2032680589"</f>
        <v>2032680589</v>
      </c>
    </row>
    <row r="262" spans="1:5" x14ac:dyDescent="0.3">
      <c r="A262" t="s">
        <v>616</v>
      </c>
      <c r="B262" t="str">
        <f>"275 MONROE TPKE"</f>
        <v>275 MONROE TPKE</v>
      </c>
      <c r="C262" t="s">
        <v>72</v>
      </c>
      <c r="D262" t="s">
        <v>6</v>
      </c>
      <c r="E262" t="str">
        <f>"2032681216"</f>
        <v>2032681216</v>
      </c>
    </row>
    <row r="263" spans="1:5" x14ac:dyDescent="0.3">
      <c r="A263" t="s">
        <v>564</v>
      </c>
      <c r="B263" t="str">
        <f>"20 PROSPECT STREET"</f>
        <v>20 PROSPECT STREET</v>
      </c>
      <c r="C263" t="s">
        <v>565</v>
      </c>
      <c r="D263" t="s">
        <v>6</v>
      </c>
      <c r="E263" t="str">
        <f>"8605645871"</f>
        <v>8605645871</v>
      </c>
    </row>
    <row r="264" spans="1:5" x14ac:dyDescent="0.3">
      <c r="A264" t="s">
        <v>50</v>
      </c>
      <c r="B264" t="str">
        <f>"79 STONINGTON RD"</f>
        <v>79 STONINGTON RD</v>
      </c>
      <c r="C264" t="s">
        <v>51</v>
      </c>
      <c r="D264" t="s">
        <v>6</v>
      </c>
      <c r="E264" t="str">
        <f>"8605365813"</f>
        <v>8605365813</v>
      </c>
    </row>
    <row r="265" spans="1:5" x14ac:dyDescent="0.3">
      <c r="A265" t="s">
        <v>257</v>
      </c>
      <c r="B265" t="str">
        <f>"25 BROADWAY AVENUE"</f>
        <v>25 BROADWAY AVENUE</v>
      </c>
      <c r="C265" t="s">
        <v>51</v>
      </c>
      <c r="D265" t="s">
        <v>6</v>
      </c>
      <c r="E265" t="str">
        <f>"8605365628"</f>
        <v>8605365628</v>
      </c>
    </row>
    <row r="266" spans="1:5" x14ac:dyDescent="0.3">
      <c r="A266" t="s">
        <v>65</v>
      </c>
      <c r="B266" t="str">
        <f>"85 BRIDGE ST"</f>
        <v>85 BRIDGE ST</v>
      </c>
      <c r="C266" t="s">
        <v>66</v>
      </c>
      <c r="D266" t="s">
        <v>6</v>
      </c>
      <c r="E266" t="str">
        <f>"2037294124"</f>
        <v>2037294124</v>
      </c>
    </row>
    <row r="267" spans="1:5" x14ac:dyDescent="0.3">
      <c r="A267" t="s">
        <v>136</v>
      </c>
      <c r="B267" t="str">
        <f>"98 BRIDGE ST"</f>
        <v>98 BRIDGE ST</v>
      </c>
      <c r="C267" t="s">
        <v>66</v>
      </c>
      <c r="D267" t="s">
        <v>6</v>
      </c>
      <c r="E267" t="str">
        <f>"2037231911"</f>
        <v>2037231911</v>
      </c>
    </row>
    <row r="268" spans="1:5" x14ac:dyDescent="0.3">
      <c r="A268" t="s">
        <v>424</v>
      </c>
      <c r="B268" t="str">
        <f>"727 RUBBER AVE"</f>
        <v>727 RUBBER AVE</v>
      </c>
      <c r="C268" t="s">
        <v>66</v>
      </c>
      <c r="D268" t="s">
        <v>6</v>
      </c>
      <c r="E268" t="str">
        <f>"2037294182"</f>
        <v>2037294182</v>
      </c>
    </row>
    <row r="269" spans="1:5" x14ac:dyDescent="0.3">
      <c r="A269" t="s">
        <v>642</v>
      </c>
      <c r="B269" t="str">
        <f>"1100 NEW HAVEN RD"</f>
        <v>1100 NEW HAVEN RD</v>
      </c>
      <c r="C269" t="s">
        <v>66</v>
      </c>
      <c r="D269" t="s">
        <v>6</v>
      </c>
      <c r="E269" t="str">
        <f>"2037299100"</f>
        <v>2037299100</v>
      </c>
    </row>
    <row r="270" spans="1:5" x14ac:dyDescent="0.3">
      <c r="A270" t="s">
        <v>111</v>
      </c>
      <c r="B270" t="str">
        <f>"250 ALLEN STREET"</f>
        <v>250 ALLEN STREET</v>
      </c>
      <c r="C270" t="s">
        <v>112</v>
      </c>
      <c r="D270" t="s">
        <v>6</v>
      </c>
      <c r="E270" t="str">
        <f>"8605058130"</f>
        <v>8605058130</v>
      </c>
    </row>
    <row r="271" spans="1:5" x14ac:dyDescent="0.3">
      <c r="A271" t="s">
        <v>113</v>
      </c>
      <c r="B271" t="str">
        <f>"47 MAIN ST"</f>
        <v>47 MAIN ST</v>
      </c>
      <c r="C271" t="s">
        <v>112</v>
      </c>
      <c r="D271" t="s">
        <v>6</v>
      </c>
      <c r="E271" t="str">
        <f>"8602233800"</f>
        <v>8602233800</v>
      </c>
    </row>
    <row r="272" spans="1:5" x14ac:dyDescent="0.3">
      <c r="A272" t="s">
        <v>124</v>
      </c>
      <c r="B272" t="str">
        <f>"72 BROAD ST"</f>
        <v>72 BROAD ST</v>
      </c>
      <c r="C272" t="s">
        <v>112</v>
      </c>
      <c r="D272" t="s">
        <v>6</v>
      </c>
      <c r="E272" t="str">
        <f>"8608271764"</f>
        <v>8608271764</v>
      </c>
    </row>
    <row r="273" spans="1:5" x14ac:dyDescent="0.3">
      <c r="A273" t="s">
        <v>150</v>
      </c>
      <c r="B273" t="str">
        <f>"177 COLUMBUS BLVD"</f>
        <v>177 COLUMBUS BLVD</v>
      </c>
      <c r="C273" t="s">
        <v>112</v>
      </c>
      <c r="D273" t="s">
        <v>6</v>
      </c>
      <c r="E273" t="str">
        <f>"8602231437"</f>
        <v>8602231437</v>
      </c>
    </row>
    <row r="274" spans="1:5" x14ac:dyDescent="0.3">
      <c r="A274" t="s">
        <v>332</v>
      </c>
      <c r="B274" t="str">
        <f>"564 EAST ST"</f>
        <v>564 EAST ST</v>
      </c>
      <c r="C274" t="s">
        <v>112</v>
      </c>
      <c r="D274" t="s">
        <v>6</v>
      </c>
      <c r="E274" t="str">
        <f>"8608270246"</f>
        <v>8608270246</v>
      </c>
    </row>
    <row r="275" spans="1:5" x14ac:dyDescent="0.3">
      <c r="A275" t="s">
        <v>333</v>
      </c>
      <c r="B275" t="str">
        <f>"60 E MAIN STREET"</f>
        <v>60 E MAIN STREET</v>
      </c>
      <c r="C275" t="s">
        <v>112</v>
      </c>
      <c r="D275" t="s">
        <v>6</v>
      </c>
      <c r="E275" t="str">
        <f>"8605050718"</f>
        <v>8605050718</v>
      </c>
    </row>
    <row r="276" spans="1:5" x14ac:dyDescent="0.3">
      <c r="A276" t="s">
        <v>341</v>
      </c>
      <c r="B276" t="str">
        <f>"362 CHESTNUT ST"</f>
        <v>362 CHESTNUT ST</v>
      </c>
      <c r="C276" t="s">
        <v>112</v>
      </c>
      <c r="D276" t="s">
        <v>6</v>
      </c>
      <c r="E276" t="str">
        <f>"8602298374"</f>
        <v>8602298374</v>
      </c>
    </row>
    <row r="277" spans="1:5" x14ac:dyDescent="0.3">
      <c r="A277" t="s">
        <v>356</v>
      </c>
      <c r="B277" t="str">
        <f>"314 BROAD STREET"</f>
        <v>314 BROAD STREET</v>
      </c>
      <c r="C277" t="s">
        <v>112</v>
      </c>
      <c r="D277" t="s">
        <v>6</v>
      </c>
      <c r="E277" t="str">
        <f>"8602248125"</f>
        <v>8602248125</v>
      </c>
    </row>
    <row r="278" spans="1:5" x14ac:dyDescent="0.3">
      <c r="A278" t="s">
        <v>375</v>
      </c>
      <c r="B278" t="str">
        <f>"150 COLUMBUS BLVD"</f>
        <v>150 COLUMBUS BLVD</v>
      </c>
      <c r="C278" t="s">
        <v>112</v>
      </c>
      <c r="D278" t="s">
        <v>6</v>
      </c>
      <c r="E278" t="str">
        <f>"8608260588"</f>
        <v>8608260588</v>
      </c>
    </row>
    <row r="279" spans="1:5" x14ac:dyDescent="0.3">
      <c r="A279" t="s">
        <v>458</v>
      </c>
      <c r="B279" t="str">
        <f>"1309 CORBIN AVE"</f>
        <v>1309 CORBIN AVE</v>
      </c>
      <c r="C279" t="s">
        <v>112</v>
      </c>
      <c r="D279" t="s">
        <v>6</v>
      </c>
      <c r="E279" t="str">
        <f>"8603489856"</f>
        <v>8603489856</v>
      </c>
    </row>
    <row r="280" spans="1:5" x14ac:dyDescent="0.3">
      <c r="A280" t="s">
        <v>508</v>
      </c>
      <c r="B280" t="str">
        <f>"475 HARTFORD RD"</f>
        <v>475 HARTFORD RD</v>
      </c>
      <c r="C280" t="s">
        <v>112</v>
      </c>
      <c r="D280" t="s">
        <v>6</v>
      </c>
      <c r="E280" t="str">
        <f>"8603489100"</f>
        <v>8603489100</v>
      </c>
    </row>
    <row r="281" spans="1:5" x14ac:dyDescent="0.3">
      <c r="A281" t="s">
        <v>567</v>
      </c>
      <c r="B281" t="str">
        <f>"1350 STANLEY STREET"</f>
        <v>1350 STANLEY STREET</v>
      </c>
      <c r="C281" t="s">
        <v>112</v>
      </c>
      <c r="D281" t="s">
        <v>6</v>
      </c>
      <c r="E281" t="str">
        <f>"8602247798"</f>
        <v>8602247798</v>
      </c>
    </row>
    <row r="282" spans="1:5" x14ac:dyDescent="0.3">
      <c r="A282" t="s">
        <v>615</v>
      </c>
      <c r="B282" t="str">
        <f>"102 WASHINGTON ST"</f>
        <v>102 WASHINGTON ST</v>
      </c>
      <c r="C282" t="s">
        <v>112</v>
      </c>
      <c r="D282" t="s">
        <v>6</v>
      </c>
      <c r="E282" t="str">
        <f>"8608267272"</f>
        <v>8608267272</v>
      </c>
    </row>
    <row r="283" spans="1:5" x14ac:dyDescent="0.3">
      <c r="A283" t="s">
        <v>13</v>
      </c>
      <c r="B283" t="str">
        <f>"288 ELM ST"</f>
        <v>288 ELM ST</v>
      </c>
      <c r="C283" t="s">
        <v>14</v>
      </c>
      <c r="D283" t="s">
        <v>6</v>
      </c>
      <c r="E283" t="str">
        <f>"2039660017"</f>
        <v>2039660017</v>
      </c>
    </row>
    <row r="284" spans="1:5" x14ac:dyDescent="0.3">
      <c r="A284" t="s">
        <v>630</v>
      </c>
      <c r="B284" t="str">
        <f>"36 PINE STREET  #100"</f>
        <v>36 PINE STREET  #100</v>
      </c>
      <c r="C284" t="s">
        <v>14</v>
      </c>
      <c r="D284" t="s">
        <v>6</v>
      </c>
      <c r="E284" t="str">
        <f>"2038010121"</f>
        <v>2038010121</v>
      </c>
    </row>
    <row r="285" spans="1:5" x14ac:dyDescent="0.3">
      <c r="A285" t="s">
        <v>416</v>
      </c>
      <c r="B285" t="str">
        <f>"25 ROUTE 39"</f>
        <v>25 ROUTE 39</v>
      </c>
      <c r="C285" t="s">
        <v>417</v>
      </c>
      <c r="D285" t="s">
        <v>6</v>
      </c>
      <c r="E285" t="str">
        <f>"2033120482"</f>
        <v>2033120482</v>
      </c>
    </row>
    <row r="286" spans="1:5" x14ac:dyDescent="0.3">
      <c r="A286" t="s">
        <v>126</v>
      </c>
      <c r="B286" t="str">
        <f>"620 CONGRESS AVE"</f>
        <v>620 CONGRESS AVE</v>
      </c>
      <c r="C286" t="s">
        <v>127</v>
      </c>
      <c r="D286" t="s">
        <v>6</v>
      </c>
      <c r="E286" t="str">
        <f>"2035625320"</f>
        <v>2035625320</v>
      </c>
    </row>
    <row r="287" spans="1:5" x14ac:dyDescent="0.3">
      <c r="A287" t="s">
        <v>128</v>
      </c>
      <c r="B287" t="str">
        <f>"177 FERRY STREET"</f>
        <v>177 FERRY STREET</v>
      </c>
      <c r="C287" t="s">
        <v>127</v>
      </c>
      <c r="D287" t="s">
        <v>6</v>
      </c>
      <c r="E287" t="str">
        <f>"2036918692"</f>
        <v>2036918692</v>
      </c>
    </row>
    <row r="288" spans="1:5" x14ac:dyDescent="0.3">
      <c r="A288" t="s">
        <v>180</v>
      </c>
      <c r="B288" t="str">
        <f>"1150 WHALLEY AVE"</f>
        <v>1150 WHALLEY AVE</v>
      </c>
      <c r="C288" t="s">
        <v>127</v>
      </c>
      <c r="D288" t="s">
        <v>6</v>
      </c>
      <c r="E288" t="str">
        <f>"2033894714"</f>
        <v>2033894714</v>
      </c>
    </row>
    <row r="289" spans="1:5" x14ac:dyDescent="0.3">
      <c r="A289" t="s">
        <v>307</v>
      </c>
      <c r="B289" t="str">
        <f>"276 HOWARD AVE"</f>
        <v>276 HOWARD AVE</v>
      </c>
      <c r="C289" t="s">
        <v>127</v>
      </c>
      <c r="D289" t="s">
        <v>6</v>
      </c>
      <c r="E289" t="str">
        <f>"2037872339"</f>
        <v>2037872339</v>
      </c>
    </row>
    <row r="290" spans="1:5" x14ac:dyDescent="0.3">
      <c r="A290" t="s">
        <v>334</v>
      </c>
      <c r="B290" t="str">
        <f>"325 FERRY ST"</f>
        <v>325 FERRY ST</v>
      </c>
      <c r="C290" t="s">
        <v>127</v>
      </c>
      <c r="D290" t="s">
        <v>6</v>
      </c>
      <c r="E290" t="str">
        <f>"2037773998"</f>
        <v>2037773998</v>
      </c>
    </row>
    <row r="291" spans="1:5" x14ac:dyDescent="0.3">
      <c r="A291" t="s">
        <v>334</v>
      </c>
      <c r="B291" t="str">
        <f>"482 GREENWICH AVE"</f>
        <v>482 GREENWICH AVE</v>
      </c>
      <c r="C291" t="s">
        <v>127</v>
      </c>
      <c r="D291" t="s">
        <v>6</v>
      </c>
      <c r="E291" t="str">
        <f>"2037738998"</f>
        <v>2037738998</v>
      </c>
    </row>
    <row r="292" spans="1:5" x14ac:dyDescent="0.3">
      <c r="A292" t="s">
        <v>340</v>
      </c>
      <c r="B292" t="str">
        <f>"270 GRAND AVENUE"</f>
        <v>270 GRAND AVENUE</v>
      </c>
      <c r="C292" t="s">
        <v>127</v>
      </c>
      <c r="D292" t="s">
        <v>6</v>
      </c>
      <c r="E292" t="str">
        <f>"2038657936"</f>
        <v>2038657936</v>
      </c>
    </row>
    <row r="293" spans="1:5" x14ac:dyDescent="0.3">
      <c r="A293" t="s">
        <v>343</v>
      </c>
      <c r="B293" t="str">
        <f>"297 LOMBARD ST"</f>
        <v>297 LOMBARD ST</v>
      </c>
      <c r="C293" t="s">
        <v>127</v>
      </c>
      <c r="D293" t="s">
        <v>6</v>
      </c>
      <c r="E293" t="str">
        <f>"2036244455"</f>
        <v>2036244455</v>
      </c>
    </row>
    <row r="294" spans="1:5" x14ac:dyDescent="0.3">
      <c r="A294" t="s">
        <v>352</v>
      </c>
      <c r="B294" t="str">
        <f>"507 DIXWELL AVE"</f>
        <v>507 DIXWELL AVE</v>
      </c>
      <c r="C294" t="s">
        <v>127</v>
      </c>
      <c r="D294" t="s">
        <v>6</v>
      </c>
      <c r="E294" t="str">
        <f>"2037775506"</f>
        <v>2037775506</v>
      </c>
    </row>
    <row r="295" spans="1:5" x14ac:dyDescent="0.3">
      <c r="A295" t="s">
        <v>354</v>
      </c>
      <c r="B295" t="str">
        <f>"72 GRAND AVENUE"</f>
        <v>72 GRAND AVENUE</v>
      </c>
      <c r="C295" t="s">
        <v>127</v>
      </c>
      <c r="D295" t="s">
        <v>6</v>
      </c>
      <c r="E295" t="str">
        <f>"2034983479"</f>
        <v>2034983479</v>
      </c>
    </row>
    <row r="296" spans="1:5" x14ac:dyDescent="0.3">
      <c r="A296" t="s">
        <v>380</v>
      </c>
      <c r="B296" t="str">
        <f>"39 CASTLE ST"</f>
        <v>39 CASTLE ST</v>
      </c>
      <c r="C296" t="s">
        <v>127</v>
      </c>
      <c r="D296" t="s">
        <v>6</v>
      </c>
      <c r="E296" t="str">
        <f>"2035622384"</f>
        <v>2035622384</v>
      </c>
    </row>
    <row r="297" spans="1:5" x14ac:dyDescent="0.3">
      <c r="A297" t="s">
        <v>384</v>
      </c>
      <c r="B297" t="str">
        <f>"253 DAVENPORT AVE"</f>
        <v>253 DAVENPORT AVE</v>
      </c>
      <c r="C297" t="s">
        <v>127</v>
      </c>
      <c r="D297" t="s">
        <v>6</v>
      </c>
      <c r="E297" t="str">
        <f>"2037451768"</f>
        <v>2037451768</v>
      </c>
    </row>
    <row r="298" spans="1:5" x14ac:dyDescent="0.3">
      <c r="A298" t="s">
        <v>421</v>
      </c>
      <c r="B298" t="str">
        <f>"150 WHALLEY AVE"</f>
        <v>150 WHALLEY AVE</v>
      </c>
      <c r="C298" t="s">
        <v>127</v>
      </c>
      <c r="D298" t="s">
        <v>6</v>
      </c>
      <c r="E298" t="str">
        <f>"2035030105"</f>
        <v>2035030105</v>
      </c>
    </row>
    <row r="299" spans="1:5" x14ac:dyDescent="0.3">
      <c r="A299" t="s">
        <v>461</v>
      </c>
      <c r="B299" t="str">
        <f>"112 AMITY RD"</f>
        <v>112 AMITY RD</v>
      </c>
      <c r="C299" t="s">
        <v>127</v>
      </c>
      <c r="D299" t="s">
        <v>6</v>
      </c>
      <c r="E299" t="str">
        <f>"2033898600"</f>
        <v>2033898600</v>
      </c>
    </row>
    <row r="300" spans="1:5" x14ac:dyDescent="0.3">
      <c r="A300" t="s">
        <v>523</v>
      </c>
      <c r="B300" t="str">
        <f>"664 GRAND AVENUE"</f>
        <v>664 GRAND AVENUE</v>
      </c>
      <c r="C300" t="s">
        <v>127</v>
      </c>
      <c r="D300" t="s">
        <v>6</v>
      </c>
      <c r="E300" t="str">
        <f>"2035536328"</f>
        <v>2035536328</v>
      </c>
    </row>
    <row r="301" spans="1:5" x14ac:dyDescent="0.3">
      <c r="A301" t="s">
        <v>527</v>
      </c>
      <c r="B301" t="str">
        <f>"714 DIXWELL AVE"</f>
        <v>714 DIXWELL AVE</v>
      </c>
      <c r="C301" t="s">
        <v>127</v>
      </c>
      <c r="D301" t="s">
        <v>6</v>
      </c>
      <c r="E301" t="str">
        <f>"2035626878"</f>
        <v>2035626878</v>
      </c>
    </row>
    <row r="302" spans="1:5" x14ac:dyDescent="0.3">
      <c r="A302" t="s">
        <v>588</v>
      </c>
      <c r="B302" t="str">
        <f>"1471 WHALLEY AVE"</f>
        <v>1471 WHALLEY AVE</v>
      </c>
      <c r="C302" t="s">
        <v>127</v>
      </c>
      <c r="D302" t="s">
        <v>6</v>
      </c>
      <c r="E302" t="str">
        <f>"2033892143"</f>
        <v>2033892143</v>
      </c>
    </row>
    <row r="303" spans="1:5" x14ac:dyDescent="0.3">
      <c r="A303" t="s">
        <v>599</v>
      </c>
      <c r="B303" t="str">
        <f>"88 YORK STREET"</f>
        <v>88 YORK STREET</v>
      </c>
      <c r="C303" t="s">
        <v>127</v>
      </c>
      <c r="D303" t="s">
        <v>6</v>
      </c>
      <c r="E303" t="str">
        <f>"2037529893"</f>
        <v>2037529893</v>
      </c>
    </row>
    <row r="304" spans="1:5" x14ac:dyDescent="0.3">
      <c r="A304" t="s">
        <v>603</v>
      </c>
      <c r="B304" t="str">
        <f>"87 FOXON STREET"</f>
        <v>87 FOXON STREET</v>
      </c>
      <c r="C304" t="s">
        <v>127</v>
      </c>
      <c r="D304" t="s">
        <v>6</v>
      </c>
      <c r="E304" t="str">
        <f>"2034693016"</f>
        <v>2034693016</v>
      </c>
    </row>
    <row r="305" spans="1:5" x14ac:dyDescent="0.3">
      <c r="A305" t="s">
        <v>627</v>
      </c>
      <c r="B305" t="str">
        <f>"436 WHALLEY AVE"</f>
        <v>436 WHALLEY AVE</v>
      </c>
      <c r="C305" t="s">
        <v>127</v>
      </c>
      <c r="D305" t="s">
        <v>6</v>
      </c>
      <c r="E305" t="str">
        <f>"2037778001"</f>
        <v>2037778001</v>
      </c>
    </row>
    <row r="306" spans="1:5" x14ac:dyDescent="0.3">
      <c r="A306" t="s">
        <v>648</v>
      </c>
      <c r="B306" t="str">
        <f>"315 FOXON BLVD"</f>
        <v>315 FOXON BLVD</v>
      </c>
      <c r="C306" t="s">
        <v>127</v>
      </c>
      <c r="D306" t="s">
        <v>6</v>
      </c>
      <c r="E306" t="str">
        <f>"2034677509"</f>
        <v>2034677509</v>
      </c>
    </row>
    <row r="307" spans="1:5" x14ac:dyDescent="0.3">
      <c r="A307" t="s">
        <v>653</v>
      </c>
      <c r="B307" t="str">
        <f>"538 WHALLEY AVE"</f>
        <v>538 WHALLEY AVE</v>
      </c>
      <c r="C307" t="s">
        <v>127</v>
      </c>
      <c r="D307" t="s">
        <v>6</v>
      </c>
      <c r="E307" t="str">
        <f>"2033971485"</f>
        <v>2033971485</v>
      </c>
    </row>
    <row r="308" spans="1:5" x14ac:dyDescent="0.3">
      <c r="A308" t="s">
        <v>215</v>
      </c>
      <c r="B308" t="str">
        <f>"817 BANK ST"</f>
        <v>817 BANK ST</v>
      </c>
      <c r="C308" t="s">
        <v>216</v>
      </c>
      <c r="D308" t="s">
        <v>6</v>
      </c>
      <c r="E308" t="str">
        <f>"8604435359"</f>
        <v>8604435359</v>
      </c>
    </row>
    <row r="309" spans="1:5" x14ac:dyDescent="0.3">
      <c r="A309" t="s">
        <v>357</v>
      </c>
      <c r="B309" t="str">
        <f>"332 S FRONTAGE RD"</f>
        <v>332 S FRONTAGE RD</v>
      </c>
      <c r="C309" t="s">
        <v>216</v>
      </c>
      <c r="D309" t="s">
        <v>6</v>
      </c>
      <c r="E309" t="str">
        <f>"8604377100"</f>
        <v>8604377100</v>
      </c>
    </row>
    <row r="310" spans="1:5" x14ac:dyDescent="0.3">
      <c r="A310" t="s">
        <v>398</v>
      </c>
      <c r="B310" t="str">
        <f>"351 N FRONTAGE RD"</f>
        <v>351 N FRONTAGE RD</v>
      </c>
      <c r="C310" t="s">
        <v>216</v>
      </c>
      <c r="D310" t="s">
        <v>6</v>
      </c>
      <c r="E310" t="str">
        <f>"8604471424"</f>
        <v>8604471424</v>
      </c>
    </row>
    <row r="311" spans="1:5" x14ac:dyDescent="0.3">
      <c r="A311" t="s">
        <v>537</v>
      </c>
      <c r="B311" t="str">
        <f>"698 BANK STREET"</f>
        <v>698 BANK STREET</v>
      </c>
      <c r="C311" t="s">
        <v>216</v>
      </c>
      <c r="D311" t="s">
        <v>6</v>
      </c>
      <c r="E311" t="str">
        <f>"8604403566"</f>
        <v>8604403566</v>
      </c>
    </row>
    <row r="312" spans="1:5" x14ac:dyDescent="0.3">
      <c r="A312" t="s">
        <v>87</v>
      </c>
      <c r="B312" t="str">
        <f>"1 KENT RD"</f>
        <v>1 KENT RD</v>
      </c>
      <c r="C312" t="s">
        <v>88</v>
      </c>
      <c r="D312" t="s">
        <v>6</v>
      </c>
      <c r="E312" t="str">
        <f>"8603552628"</f>
        <v>8603552628</v>
      </c>
    </row>
    <row r="313" spans="1:5" x14ac:dyDescent="0.3">
      <c r="A313" t="s">
        <v>181</v>
      </c>
      <c r="B313" t="str">
        <f>"40 EAST ST"</f>
        <v>40 EAST ST</v>
      </c>
      <c r="C313" t="s">
        <v>88</v>
      </c>
      <c r="D313" t="s">
        <v>6</v>
      </c>
      <c r="E313" t="str">
        <f>"4017703941"</f>
        <v>4017703941</v>
      </c>
    </row>
    <row r="314" spans="1:5" x14ac:dyDescent="0.3">
      <c r="A314" t="s">
        <v>486</v>
      </c>
      <c r="B314" t="str">
        <f>"180 DANBURY RD"</f>
        <v>180 DANBURY RD</v>
      </c>
      <c r="C314" t="s">
        <v>88</v>
      </c>
      <c r="D314" t="s">
        <v>6</v>
      </c>
      <c r="E314" t="str">
        <f>"8603553234"</f>
        <v>8603553234</v>
      </c>
    </row>
    <row r="315" spans="1:5" x14ac:dyDescent="0.3">
      <c r="A315" t="s">
        <v>575</v>
      </c>
      <c r="B315" t="str">
        <f>"173 DANBURY RD"</f>
        <v>173 DANBURY RD</v>
      </c>
      <c r="C315" t="s">
        <v>88</v>
      </c>
      <c r="D315" t="s">
        <v>6</v>
      </c>
      <c r="E315" t="str">
        <f>"8603546313"</f>
        <v>8603546313</v>
      </c>
    </row>
    <row r="316" spans="1:5" x14ac:dyDescent="0.3">
      <c r="A316" t="s">
        <v>167</v>
      </c>
      <c r="B316" t="str">
        <f>"1181 MAIN ST"</f>
        <v>1181 MAIN ST</v>
      </c>
      <c r="C316" t="s">
        <v>168</v>
      </c>
      <c r="D316" t="s">
        <v>6</v>
      </c>
      <c r="E316" t="str">
        <f>"8606668735"</f>
        <v>8606668735</v>
      </c>
    </row>
    <row r="317" spans="1:5" x14ac:dyDescent="0.3">
      <c r="A317" t="s">
        <v>366</v>
      </c>
      <c r="B317" t="str">
        <f>"2985 BERLIN TPKE"</f>
        <v>2985 BERLIN TPKE</v>
      </c>
      <c r="C317" t="s">
        <v>168</v>
      </c>
      <c r="D317" t="s">
        <v>6</v>
      </c>
      <c r="E317" t="str">
        <f>"8606658342"</f>
        <v>8606658342</v>
      </c>
    </row>
    <row r="318" spans="1:5" x14ac:dyDescent="0.3">
      <c r="A318" t="s">
        <v>418</v>
      </c>
      <c r="B318" t="str">
        <f>"206 KITTS LN"</f>
        <v>206 KITTS LN</v>
      </c>
      <c r="C318" t="s">
        <v>168</v>
      </c>
      <c r="D318" t="s">
        <v>6</v>
      </c>
      <c r="E318" t="str">
        <f>"8606658166"</f>
        <v>8606658166</v>
      </c>
    </row>
    <row r="319" spans="1:5" x14ac:dyDescent="0.3">
      <c r="A319" t="s">
        <v>446</v>
      </c>
      <c r="B319" t="str">
        <f>"44 FENN RD"</f>
        <v>44 FENN RD</v>
      </c>
      <c r="C319" t="s">
        <v>168</v>
      </c>
      <c r="D319" t="s">
        <v>6</v>
      </c>
      <c r="E319" t="str">
        <f>"8606678380"</f>
        <v>8606678380</v>
      </c>
    </row>
    <row r="320" spans="1:5" x14ac:dyDescent="0.3">
      <c r="A320" t="s">
        <v>512</v>
      </c>
      <c r="B320" t="str">
        <f>"3265 BERLIN TPKE"</f>
        <v>3265 BERLIN TPKE</v>
      </c>
      <c r="C320" t="s">
        <v>168</v>
      </c>
      <c r="D320" t="s">
        <v>6</v>
      </c>
      <c r="E320" t="str">
        <f>"8606160022"</f>
        <v>8606160022</v>
      </c>
    </row>
    <row r="321" spans="1:5" x14ac:dyDescent="0.3">
      <c r="A321" t="s">
        <v>607</v>
      </c>
      <c r="B321" t="str">
        <f>"2920 BERLIN TPKE"</f>
        <v>2920 BERLIN TPKE</v>
      </c>
      <c r="C321" t="s">
        <v>168</v>
      </c>
      <c r="D321" t="s">
        <v>6</v>
      </c>
      <c r="E321" t="str">
        <f>"8606670461"</f>
        <v>8606670461</v>
      </c>
    </row>
    <row r="322" spans="1:5" x14ac:dyDescent="0.3">
      <c r="A322" t="s">
        <v>81</v>
      </c>
      <c r="B322" t="str">
        <f>"6 QUEEN ST"</f>
        <v>6 QUEEN ST</v>
      </c>
      <c r="C322" t="s">
        <v>82</v>
      </c>
      <c r="D322" t="s">
        <v>6</v>
      </c>
      <c r="E322" t="str">
        <f>"2032707838"</f>
        <v>2032707838</v>
      </c>
    </row>
    <row r="323" spans="1:5" x14ac:dyDescent="0.3">
      <c r="A323" t="s">
        <v>246</v>
      </c>
      <c r="B323" t="str">
        <f>"6 QUEEN ST"</f>
        <v>6 QUEEN ST</v>
      </c>
      <c r="C323" t="s">
        <v>82</v>
      </c>
      <c r="D323" t="s">
        <v>6</v>
      </c>
      <c r="E323" t="str">
        <f>"2034268362"</f>
        <v>2034268362</v>
      </c>
    </row>
    <row r="324" spans="1:5" x14ac:dyDescent="0.3">
      <c r="A324" t="s">
        <v>451</v>
      </c>
      <c r="B324" t="str">
        <f>"228 SOUTH MAIN ST"</f>
        <v>228 SOUTH MAIN ST</v>
      </c>
      <c r="C324" t="s">
        <v>82</v>
      </c>
      <c r="D324" t="s">
        <v>6</v>
      </c>
      <c r="E324" t="str">
        <f>"2032700177"</f>
        <v>2032700177</v>
      </c>
    </row>
    <row r="325" spans="1:5" x14ac:dyDescent="0.3">
      <c r="A325" t="s">
        <v>548</v>
      </c>
      <c r="B325" t="str">
        <f>"49 S. MAIN STREET"</f>
        <v>49 S. MAIN STREET</v>
      </c>
      <c r="C325" t="s">
        <v>82</v>
      </c>
      <c r="D325" t="s">
        <v>6</v>
      </c>
      <c r="E325" t="str">
        <f>"2032704658"</f>
        <v>2032704658</v>
      </c>
    </row>
    <row r="326" spans="1:5" x14ac:dyDescent="0.3">
      <c r="A326" t="s">
        <v>227</v>
      </c>
      <c r="B326" t="str">
        <f>"58 PENNSYLVANIA AVE"</f>
        <v>58 PENNSYLVANIA AVE</v>
      </c>
      <c r="C326" t="s">
        <v>228</v>
      </c>
      <c r="D326" t="s">
        <v>6</v>
      </c>
      <c r="E326" t="str">
        <f>"8606910380"</f>
        <v>8606910380</v>
      </c>
    </row>
    <row r="327" spans="1:5" x14ac:dyDescent="0.3">
      <c r="A327" t="s">
        <v>107</v>
      </c>
      <c r="B327" t="str">
        <f>"1289 FOXON RD"</f>
        <v>1289 FOXON RD</v>
      </c>
      <c r="C327" t="s">
        <v>108</v>
      </c>
      <c r="D327" t="s">
        <v>6</v>
      </c>
      <c r="E327" t="str">
        <f>"2034849530"</f>
        <v>2034849530</v>
      </c>
    </row>
    <row r="328" spans="1:5" x14ac:dyDescent="0.3">
      <c r="A328" t="s">
        <v>99</v>
      </c>
      <c r="B328" t="str">
        <f>"345 WASHINGTON AVE"</f>
        <v>345 WASHINGTON AVE</v>
      </c>
      <c r="C328" t="s">
        <v>100</v>
      </c>
      <c r="D328" t="s">
        <v>6</v>
      </c>
      <c r="E328" t="str">
        <f>"2032342103"</f>
        <v>2032342103</v>
      </c>
    </row>
    <row r="329" spans="1:5" x14ac:dyDescent="0.3">
      <c r="A329" t="s">
        <v>169</v>
      </c>
      <c r="B329" t="str">
        <f>"162 WASHINGTON AVE"</f>
        <v>162 WASHINGTON AVE</v>
      </c>
      <c r="C329" t="s">
        <v>100</v>
      </c>
      <c r="D329" t="s">
        <v>6</v>
      </c>
      <c r="E329" t="str">
        <f>"2032395914"</f>
        <v>2032395914</v>
      </c>
    </row>
    <row r="330" spans="1:5" x14ac:dyDescent="0.3">
      <c r="A330" t="s">
        <v>494</v>
      </c>
      <c r="B330" t="str">
        <f>"79 WASHINGTON AVE"</f>
        <v>79 WASHINGTON AVE</v>
      </c>
      <c r="C330" t="s">
        <v>100</v>
      </c>
      <c r="D330" t="s">
        <v>6</v>
      </c>
      <c r="E330" t="str">
        <f>"2032341795"</f>
        <v>2032341795</v>
      </c>
    </row>
    <row r="331" spans="1:5" x14ac:dyDescent="0.3">
      <c r="A331" t="s">
        <v>620</v>
      </c>
      <c r="B331" t="str">
        <f>"49 WASHINGTON AVE"</f>
        <v>49 WASHINGTON AVE</v>
      </c>
      <c r="C331" t="s">
        <v>100</v>
      </c>
      <c r="D331" t="s">
        <v>6</v>
      </c>
      <c r="E331" t="str">
        <f>"2032394428"</f>
        <v>2032394428</v>
      </c>
    </row>
    <row r="332" spans="1:5" x14ac:dyDescent="0.3">
      <c r="A332" t="s">
        <v>639</v>
      </c>
      <c r="B332" t="str">
        <f>"474 BOSTON POST RD"</f>
        <v>474 BOSTON POST RD</v>
      </c>
      <c r="C332" t="s">
        <v>640</v>
      </c>
      <c r="D332" t="s">
        <v>6</v>
      </c>
      <c r="E332" t="str">
        <f>"8604564399"</f>
        <v>8604564399</v>
      </c>
    </row>
    <row r="333" spans="1:5" x14ac:dyDescent="0.3">
      <c r="A333" t="s">
        <v>113</v>
      </c>
      <c r="B333" t="str">
        <f>"5 WASHINGTON ST"</f>
        <v>5 WASHINGTON ST</v>
      </c>
      <c r="C333" t="s">
        <v>114</v>
      </c>
      <c r="D333" t="s">
        <v>6</v>
      </c>
      <c r="E333" t="str">
        <f>"2038380888"</f>
        <v>2038380888</v>
      </c>
    </row>
    <row r="334" spans="1:5" x14ac:dyDescent="0.3">
      <c r="A334" t="s">
        <v>131</v>
      </c>
      <c r="B334" t="str">
        <f>"81 WOODWARD AVE"</f>
        <v>81 WOODWARD AVE</v>
      </c>
      <c r="C334" t="s">
        <v>114</v>
      </c>
      <c r="D334" t="s">
        <v>6</v>
      </c>
      <c r="E334" t="str">
        <f>"2038386198"</f>
        <v>2038386198</v>
      </c>
    </row>
    <row r="335" spans="1:5" x14ac:dyDescent="0.3">
      <c r="A335" t="s">
        <v>184</v>
      </c>
      <c r="B335" t="str">
        <f>"327 MAIN AVE"</f>
        <v>327 MAIN AVE</v>
      </c>
      <c r="C335" t="s">
        <v>114</v>
      </c>
      <c r="D335" t="s">
        <v>6</v>
      </c>
      <c r="E335" t="str">
        <f>"2038476057"</f>
        <v>2038476057</v>
      </c>
    </row>
    <row r="336" spans="1:5" x14ac:dyDescent="0.3">
      <c r="A336" t="s">
        <v>225</v>
      </c>
      <c r="B336" t="str">
        <f>"696 WEST AVE"</f>
        <v>696 WEST AVE</v>
      </c>
      <c r="C336" t="s">
        <v>114</v>
      </c>
      <c r="D336" t="s">
        <v>6</v>
      </c>
      <c r="E336" t="str">
        <f>"2038669447"</f>
        <v>2038669447</v>
      </c>
    </row>
    <row r="337" spans="1:5" x14ac:dyDescent="0.3">
      <c r="A337" t="s">
        <v>305</v>
      </c>
      <c r="B337" t="str">
        <f>"115 ELY AVE"</f>
        <v>115 ELY AVE</v>
      </c>
      <c r="C337" t="s">
        <v>114</v>
      </c>
      <c r="D337" t="s">
        <v>6</v>
      </c>
      <c r="E337" t="str">
        <f>"2038662590"</f>
        <v>2038662590</v>
      </c>
    </row>
    <row r="338" spans="1:5" x14ac:dyDescent="0.3">
      <c r="A338" t="s">
        <v>308</v>
      </c>
      <c r="B338" t="str">
        <f>"33 BOUTON ST"</f>
        <v>33 BOUTON ST</v>
      </c>
      <c r="C338" t="s">
        <v>114</v>
      </c>
      <c r="D338" t="s">
        <v>6</v>
      </c>
      <c r="E338" t="str">
        <f>"2036041244"</f>
        <v>2036041244</v>
      </c>
    </row>
    <row r="339" spans="1:5" x14ac:dyDescent="0.3">
      <c r="A339" t="s">
        <v>320</v>
      </c>
      <c r="B339" t="str">
        <f>"360 CONNECTICUT AVE"</f>
        <v>360 CONNECTICUT AVE</v>
      </c>
      <c r="C339" t="s">
        <v>114</v>
      </c>
      <c r="D339" t="s">
        <v>6</v>
      </c>
      <c r="E339" t="str">
        <f>"2038380504"</f>
        <v>2038380504</v>
      </c>
    </row>
    <row r="340" spans="1:5" x14ac:dyDescent="0.3">
      <c r="A340" t="s">
        <v>333</v>
      </c>
      <c r="B340" t="str">
        <f>"717 WEST AVE"</f>
        <v>717 WEST AVE</v>
      </c>
      <c r="C340" t="s">
        <v>114</v>
      </c>
      <c r="D340" t="s">
        <v>6</v>
      </c>
      <c r="E340" t="str">
        <f>"2039560241"</f>
        <v>2039560241</v>
      </c>
    </row>
    <row r="341" spans="1:5" x14ac:dyDescent="0.3">
      <c r="A341" t="s">
        <v>405</v>
      </c>
      <c r="B341" t="str">
        <f>"23 WEST AVENUE"</f>
        <v>23 WEST AVENUE</v>
      </c>
      <c r="C341" t="s">
        <v>114</v>
      </c>
      <c r="D341" t="s">
        <v>6</v>
      </c>
      <c r="E341" t="str">
        <f>"2039565500"</f>
        <v>2039565500</v>
      </c>
    </row>
    <row r="342" spans="1:5" x14ac:dyDescent="0.3">
      <c r="A342" t="s">
        <v>455</v>
      </c>
      <c r="B342" t="str">
        <f>"385 CONNECTICUT AVE"</f>
        <v>385 CONNECTICUT AVE</v>
      </c>
      <c r="C342" t="s">
        <v>114</v>
      </c>
      <c r="D342" t="s">
        <v>6</v>
      </c>
      <c r="E342" t="str">
        <f>"2032991715"</f>
        <v>2032991715</v>
      </c>
    </row>
    <row r="343" spans="1:5" x14ac:dyDescent="0.3">
      <c r="A343" t="s">
        <v>472</v>
      </c>
      <c r="B343" t="str">
        <f>"380 MAIN AVE"</f>
        <v>380 MAIN AVE</v>
      </c>
      <c r="C343" t="s">
        <v>114</v>
      </c>
      <c r="D343" t="s">
        <v>6</v>
      </c>
      <c r="E343" t="str">
        <f>"2038401001"</f>
        <v>2038401001</v>
      </c>
    </row>
    <row r="344" spans="1:5" x14ac:dyDescent="0.3">
      <c r="A344" t="s">
        <v>528</v>
      </c>
      <c r="B344" t="str">
        <f>"235 MAIN STREET"</f>
        <v>235 MAIN STREET</v>
      </c>
      <c r="C344" t="s">
        <v>114</v>
      </c>
      <c r="D344" t="s">
        <v>6</v>
      </c>
      <c r="E344" t="str">
        <f>"2038458767"</f>
        <v>2038458767</v>
      </c>
    </row>
    <row r="345" spans="1:5" x14ac:dyDescent="0.3">
      <c r="A345" t="s">
        <v>531</v>
      </c>
      <c r="B345" t="str">
        <f>"54 WEST AVE"</f>
        <v>54 WEST AVE</v>
      </c>
      <c r="C345" t="s">
        <v>114</v>
      </c>
      <c r="D345" t="s">
        <v>6</v>
      </c>
      <c r="E345" t="str">
        <f>"2032991215"</f>
        <v>2032991215</v>
      </c>
    </row>
    <row r="346" spans="1:5" x14ac:dyDescent="0.3">
      <c r="A346" t="s">
        <v>598</v>
      </c>
      <c r="B346" t="str">
        <f>"55 WESTPORT AVE"</f>
        <v>55 WESTPORT AVE</v>
      </c>
      <c r="C346" t="s">
        <v>114</v>
      </c>
      <c r="D346" t="s">
        <v>6</v>
      </c>
      <c r="E346" t="str">
        <f>"2038450457"</f>
        <v>2038450457</v>
      </c>
    </row>
    <row r="347" spans="1:5" x14ac:dyDescent="0.3">
      <c r="A347" t="s">
        <v>61</v>
      </c>
      <c r="B347" t="str">
        <f>"224 SALEM TPKE"</f>
        <v>224 SALEM TPKE</v>
      </c>
      <c r="C347" t="s">
        <v>62</v>
      </c>
      <c r="D347" t="s">
        <v>6</v>
      </c>
      <c r="E347" t="str">
        <f>"8608869996"</f>
        <v>8608869996</v>
      </c>
    </row>
    <row r="348" spans="1:5" x14ac:dyDescent="0.3">
      <c r="A348" t="s">
        <v>203</v>
      </c>
      <c r="B348" t="str">
        <f>"372 W MAIN ST"</f>
        <v>372 W MAIN ST</v>
      </c>
      <c r="C348" t="s">
        <v>62</v>
      </c>
      <c r="D348" t="s">
        <v>6</v>
      </c>
      <c r="E348" t="str">
        <f>"8608877887"</f>
        <v>8608877887</v>
      </c>
    </row>
    <row r="349" spans="1:5" x14ac:dyDescent="0.3">
      <c r="A349" t="s">
        <v>399</v>
      </c>
      <c r="B349" t="str">
        <f>"634 W MAIN ST"</f>
        <v>634 W MAIN ST</v>
      </c>
      <c r="C349" t="s">
        <v>62</v>
      </c>
      <c r="D349" t="s">
        <v>6</v>
      </c>
      <c r="E349" t="str">
        <f>"8608870409"</f>
        <v>8608870409</v>
      </c>
    </row>
    <row r="350" spans="1:5" x14ac:dyDescent="0.3">
      <c r="A350" t="s">
        <v>434</v>
      </c>
      <c r="B350" t="str">
        <f>"42 TOWN ST"</f>
        <v>42 TOWN ST</v>
      </c>
      <c r="C350" t="s">
        <v>62</v>
      </c>
      <c r="D350" t="s">
        <v>6</v>
      </c>
      <c r="E350" t="str">
        <f>"8608871611"</f>
        <v>8608871611</v>
      </c>
    </row>
    <row r="351" spans="1:5" x14ac:dyDescent="0.3">
      <c r="A351" t="s">
        <v>503</v>
      </c>
      <c r="B351" t="str">
        <f>"219-231 CENTRAL AVE"</f>
        <v>219-231 CENTRAL AVE</v>
      </c>
      <c r="C351" t="s">
        <v>62</v>
      </c>
      <c r="D351" t="s">
        <v>6</v>
      </c>
      <c r="E351" t="str">
        <f>"8602223435"</f>
        <v>8602223435</v>
      </c>
    </row>
    <row r="352" spans="1:5" x14ac:dyDescent="0.3">
      <c r="A352" t="s">
        <v>584</v>
      </c>
      <c r="B352" t="str">
        <f>"399 W MAIN STREET"</f>
        <v>399 W MAIN STREET</v>
      </c>
      <c r="C352" t="s">
        <v>62</v>
      </c>
      <c r="D352" t="s">
        <v>6</v>
      </c>
      <c r="E352" t="str">
        <f>"8608850389"</f>
        <v>8608850389</v>
      </c>
    </row>
    <row r="353" spans="1:5" x14ac:dyDescent="0.3">
      <c r="A353" t="s">
        <v>633</v>
      </c>
      <c r="B353" t="str">
        <f>"220 SALEM TPKE"</f>
        <v>220 SALEM TPKE</v>
      </c>
      <c r="C353" t="s">
        <v>62</v>
      </c>
      <c r="D353" t="s">
        <v>6</v>
      </c>
      <c r="E353" t="str">
        <f>"8608897745"</f>
        <v>8608897745</v>
      </c>
    </row>
    <row r="354" spans="1:5" x14ac:dyDescent="0.3">
      <c r="A354" t="s">
        <v>188</v>
      </c>
      <c r="B354" t="str">
        <f>"26 DAVIS ST"</f>
        <v>26 DAVIS ST</v>
      </c>
      <c r="C354" t="s">
        <v>189</v>
      </c>
      <c r="D354" t="s">
        <v>6</v>
      </c>
      <c r="E354" t="str">
        <f>"8609453390"</f>
        <v>8609453390</v>
      </c>
    </row>
    <row r="355" spans="1:5" x14ac:dyDescent="0.3">
      <c r="A355" t="s">
        <v>52</v>
      </c>
      <c r="B355" t="str">
        <f>"90 HALLS RD"</f>
        <v>90 HALLS RD</v>
      </c>
      <c r="C355" t="s">
        <v>53</v>
      </c>
      <c r="D355" t="s">
        <v>6</v>
      </c>
      <c r="E355" t="str">
        <f>"8604341433"</f>
        <v>8604341433</v>
      </c>
    </row>
    <row r="356" spans="1:5" x14ac:dyDescent="0.3">
      <c r="A356" t="s">
        <v>573</v>
      </c>
      <c r="B356" t="str">
        <f>"90 HALLS RD"</f>
        <v>90 HALLS RD</v>
      </c>
      <c r="C356" t="s">
        <v>53</v>
      </c>
      <c r="D356" t="s">
        <v>6</v>
      </c>
      <c r="E356" t="str">
        <f>"8604348111"</f>
        <v>8604348111</v>
      </c>
    </row>
    <row r="357" spans="1:5" x14ac:dyDescent="0.3">
      <c r="A357" t="s">
        <v>89</v>
      </c>
      <c r="B357" t="str">
        <f>"22 SPENCER PLAIN RD"</f>
        <v>22 SPENCER PLAIN RD</v>
      </c>
      <c r="C357" t="s">
        <v>90</v>
      </c>
      <c r="D357" t="s">
        <v>6</v>
      </c>
      <c r="E357" t="str">
        <f>"8603950511"</f>
        <v>8603950511</v>
      </c>
    </row>
    <row r="358" spans="1:5" x14ac:dyDescent="0.3">
      <c r="A358" t="s">
        <v>135</v>
      </c>
      <c r="B358" t="str">
        <f>"519 BOSTON POST RD"</f>
        <v>519 BOSTON POST RD</v>
      </c>
      <c r="C358" t="s">
        <v>90</v>
      </c>
      <c r="D358" t="s">
        <v>6</v>
      </c>
      <c r="E358" t="str">
        <f>"8603881145"</f>
        <v>8603881145</v>
      </c>
    </row>
    <row r="359" spans="1:5" x14ac:dyDescent="0.3">
      <c r="A359" t="s">
        <v>491</v>
      </c>
      <c r="B359" t="str">
        <f>"665 BOSTON POST RD"</f>
        <v>665 BOSTON POST RD</v>
      </c>
      <c r="C359" t="s">
        <v>90</v>
      </c>
      <c r="D359" t="s">
        <v>6</v>
      </c>
      <c r="E359" t="str">
        <f>"8603880850"</f>
        <v>8603880850</v>
      </c>
    </row>
    <row r="360" spans="1:5" x14ac:dyDescent="0.3">
      <c r="A360" t="s">
        <v>258</v>
      </c>
      <c r="B360" t="str">
        <f>"279 BOSTON POST RD"</f>
        <v>279 BOSTON POST RD</v>
      </c>
      <c r="C360" t="s">
        <v>259</v>
      </c>
      <c r="D360" t="s">
        <v>6</v>
      </c>
      <c r="E360" t="str">
        <f>"2037990177"</f>
        <v>2037990177</v>
      </c>
    </row>
    <row r="361" spans="1:5" x14ac:dyDescent="0.3">
      <c r="A361" t="s">
        <v>400</v>
      </c>
      <c r="B361" t="str">
        <f>"259 BULL HILL LANE"</f>
        <v>259 BULL HILL LANE</v>
      </c>
      <c r="C361" t="s">
        <v>259</v>
      </c>
      <c r="D361" t="s">
        <v>6</v>
      </c>
      <c r="E361" t="str">
        <f>"2037950628"</f>
        <v>2037950628</v>
      </c>
    </row>
    <row r="362" spans="1:5" x14ac:dyDescent="0.3">
      <c r="A362" t="s">
        <v>513</v>
      </c>
      <c r="B362" t="str">
        <f>"25 BOSTON POST RD"</f>
        <v>25 BOSTON POST RD</v>
      </c>
      <c r="C362" t="s">
        <v>259</v>
      </c>
      <c r="D362" t="s">
        <v>6</v>
      </c>
      <c r="E362" t="str">
        <f>"2038593694"</f>
        <v>2038593694</v>
      </c>
    </row>
    <row r="363" spans="1:5" x14ac:dyDescent="0.3">
      <c r="A363" t="s">
        <v>347</v>
      </c>
      <c r="B363" t="str">
        <f>"300 OXFORD ROAD"</f>
        <v>300 OXFORD ROAD</v>
      </c>
      <c r="C363" t="s">
        <v>348</v>
      </c>
      <c r="D363" t="s">
        <v>6</v>
      </c>
      <c r="E363" t="str">
        <f>"2034637990"</f>
        <v>2034637990</v>
      </c>
    </row>
    <row r="364" spans="1:5" x14ac:dyDescent="0.3">
      <c r="A364" t="s">
        <v>411</v>
      </c>
      <c r="B364" t="str">
        <f>"91 VOLUNTOWN RD"</f>
        <v>91 VOLUNTOWN RD</v>
      </c>
      <c r="C364" t="s">
        <v>412</v>
      </c>
      <c r="D364" t="s">
        <v>6</v>
      </c>
      <c r="E364" t="str">
        <f>"8605992433"</f>
        <v>8605992433</v>
      </c>
    </row>
    <row r="365" spans="1:5" x14ac:dyDescent="0.3">
      <c r="A365" t="s">
        <v>559</v>
      </c>
      <c r="B365" t="str">
        <f>"37 S. BROAD ST.  #5"</f>
        <v>37 S. BROAD ST.  #5</v>
      </c>
      <c r="C365" t="s">
        <v>412</v>
      </c>
      <c r="D365" t="s">
        <v>6</v>
      </c>
      <c r="E365" t="str">
        <f>"8605994030"</f>
        <v>8605994030</v>
      </c>
    </row>
    <row r="366" spans="1:5" x14ac:dyDescent="0.3">
      <c r="A366" t="s">
        <v>67</v>
      </c>
      <c r="B366" t="str">
        <f>"83 LATHROP RD"</f>
        <v>83 LATHROP RD</v>
      </c>
      <c r="C366" t="s">
        <v>68</v>
      </c>
      <c r="D366" t="s">
        <v>6</v>
      </c>
      <c r="E366" t="str">
        <f>"8605641888"</f>
        <v>8605641888</v>
      </c>
    </row>
    <row r="367" spans="1:5" x14ac:dyDescent="0.3">
      <c r="A367" t="s">
        <v>224</v>
      </c>
      <c r="B367" t="str">
        <f>"10 LATHROP RD"</f>
        <v>10 LATHROP RD</v>
      </c>
      <c r="C367" t="s">
        <v>68</v>
      </c>
      <c r="D367" t="s">
        <v>6</v>
      </c>
      <c r="E367" t="str">
        <f>"8605640082"</f>
        <v>8605640082</v>
      </c>
    </row>
    <row r="368" spans="1:5" x14ac:dyDescent="0.3">
      <c r="A368" t="s">
        <v>73</v>
      </c>
      <c r="B368" t="str">
        <f>"275 NEW BRITAIN AVE"</f>
        <v>275 NEW BRITAIN AVE</v>
      </c>
      <c r="C368" t="s">
        <v>74</v>
      </c>
      <c r="D368" t="s">
        <v>6</v>
      </c>
      <c r="E368" t="str">
        <f>"8607475724"</f>
        <v>8607475724</v>
      </c>
    </row>
    <row r="369" spans="1:5" x14ac:dyDescent="0.3">
      <c r="A369" t="s">
        <v>182</v>
      </c>
      <c r="B369" t="str">
        <f>"14 FARMINGTON AVE"</f>
        <v>14 FARMINGTON AVE</v>
      </c>
      <c r="C369" t="s">
        <v>74</v>
      </c>
      <c r="D369" t="s">
        <v>6</v>
      </c>
      <c r="E369" t="str">
        <f>"8607930613"</f>
        <v>8607930613</v>
      </c>
    </row>
    <row r="370" spans="1:5" x14ac:dyDescent="0.3">
      <c r="A370" t="s">
        <v>608</v>
      </c>
      <c r="B370" t="str">
        <f>"5 FARMINGTON AVE"</f>
        <v>5 FARMINGTON AVE</v>
      </c>
      <c r="C370" t="s">
        <v>74</v>
      </c>
      <c r="D370" t="s">
        <v>6</v>
      </c>
      <c r="E370" t="str">
        <f>"8607939356"</f>
        <v>8607939356</v>
      </c>
    </row>
    <row r="371" spans="1:5" x14ac:dyDescent="0.3">
      <c r="A371" t="s">
        <v>524</v>
      </c>
      <c r="B371" t="str">
        <f>"887 MERIDEN WATERBURY TPKE"</f>
        <v>887 MERIDEN WATERBURY TPKE</v>
      </c>
      <c r="C371" t="s">
        <v>525</v>
      </c>
      <c r="D371" t="s">
        <v>6</v>
      </c>
      <c r="E371" t="str">
        <f>"8606215837"</f>
        <v>8606215837</v>
      </c>
    </row>
    <row r="372" spans="1:5" x14ac:dyDescent="0.3">
      <c r="A372" t="s">
        <v>17</v>
      </c>
      <c r="B372" t="str">
        <f>"316 MARLBOROUGH STREET"</f>
        <v>316 MARLBOROUGH STREET</v>
      </c>
      <c r="C372" t="s">
        <v>18</v>
      </c>
      <c r="D372" t="s">
        <v>6</v>
      </c>
      <c r="E372" t="str">
        <f>"8603420672"</f>
        <v>8603420672</v>
      </c>
    </row>
    <row r="373" spans="1:5" x14ac:dyDescent="0.3">
      <c r="A373" t="s">
        <v>574</v>
      </c>
      <c r="B373" t="str">
        <f>"227 MAIN STREET"</f>
        <v>227 MAIN STREET</v>
      </c>
      <c r="C373" t="s">
        <v>18</v>
      </c>
      <c r="D373" t="s">
        <v>6</v>
      </c>
      <c r="E373" t="str">
        <f>"8603422121"</f>
        <v>8603422121</v>
      </c>
    </row>
    <row r="374" spans="1:5" x14ac:dyDescent="0.3">
      <c r="A374" t="s">
        <v>238</v>
      </c>
      <c r="B374" t="str">
        <f>"26 WATERBURY RD"</f>
        <v>26 WATERBURY RD</v>
      </c>
      <c r="C374" t="s">
        <v>239</v>
      </c>
      <c r="D374" t="s">
        <v>6</v>
      </c>
      <c r="E374" t="str">
        <f>"2037583378"</f>
        <v>2037583378</v>
      </c>
    </row>
    <row r="375" spans="1:5" x14ac:dyDescent="0.3">
      <c r="A375" t="s">
        <v>302</v>
      </c>
      <c r="B375" t="str">
        <f>"57 PROVIDENCE PIKE"</f>
        <v>57 PROVIDENCE PIKE</v>
      </c>
      <c r="C375" t="s">
        <v>303</v>
      </c>
      <c r="D375" t="s">
        <v>6</v>
      </c>
      <c r="E375" t="str">
        <f>"8609632548"</f>
        <v>8609632548</v>
      </c>
    </row>
    <row r="376" spans="1:5" x14ac:dyDescent="0.3">
      <c r="A376" t="s">
        <v>363</v>
      </c>
      <c r="B376" t="str">
        <f>"251 KENNEDY DR"</f>
        <v>251 KENNEDY DR</v>
      </c>
      <c r="C376" t="s">
        <v>303</v>
      </c>
      <c r="D376" t="s">
        <v>6</v>
      </c>
      <c r="E376" t="str">
        <f>"8609283030"</f>
        <v>8609283030</v>
      </c>
    </row>
    <row r="377" spans="1:5" x14ac:dyDescent="0.3">
      <c r="A377" t="s">
        <v>501</v>
      </c>
      <c r="B377" t="str">
        <f>"60 PROVIDENCE PIKE"</f>
        <v>60 PROVIDENCE PIKE</v>
      </c>
      <c r="C377" t="s">
        <v>303</v>
      </c>
      <c r="D377" t="s">
        <v>6</v>
      </c>
      <c r="E377" t="str">
        <f>"8609632640"</f>
        <v>8609632640</v>
      </c>
    </row>
    <row r="378" spans="1:5" x14ac:dyDescent="0.3">
      <c r="A378" t="s">
        <v>558</v>
      </c>
      <c r="B378" t="str">
        <f>"203 KENNEDY DR"</f>
        <v>203 KENNEDY DR</v>
      </c>
      <c r="C378" t="s">
        <v>303</v>
      </c>
      <c r="D378" t="s">
        <v>6</v>
      </c>
      <c r="E378" t="str">
        <f>"8609637230"</f>
        <v>8609637230</v>
      </c>
    </row>
    <row r="379" spans="1:5" x14ac:dyDescent="0.3">
      <c r="A379" t="s">
        <v>638</v>
      </c>
      <c r="B379" t="str">
        <f>"625 SCHOOL ST"</f>
        <v>625 SCHOOL ST</v>
      </c>
      <c r="C379" t="s">
        <v>303</v>
      </c>
      <c r="D379" t="s">
        <v>6</v>
      </c>
      <c r="E379" t="str">
        <f>"8609283999"</f>
        <v>8609283999</v>
      </c>
    </row>
    <row r="380" spans="1:5" x14ac:dyDescent="0.3">
      <c r="A380" t="s">
        <v>173</v>
      </c>
      <c r="B380" t="str">
        <f>"467 MAIN ST"</f>
        <v>467 MAIN ST</v>
      </c>
      <c r="C380" t="s">
        <v>174</v>
      </c>
      <c r="D380" t="s">
        <v>6</v>
      </c>
      <c r="E380" t="str">
        <f>"2034318481"</f>
        <v>2034318481</v>
      </c>
    </row>
    <row r="381" spans="1:5" x14ac:dyDescent="0.3">
      <c r="A381" t="s">
        <v>209</v>
      </c>
      <c r="B381" t="str">
        <f>"720 BRANCHVILLE ROAD"</f>
        <v>720 BRANCHVILLE ROAD</v>
      </c>
      <c r="C381" t="s">
        <v>174</v>
      </c>
      <c r="D381" t="s">
        <v>6</v>
      </c>
      <c r="E381" t="str">
        <f>"2035447094"</f>
        <v>2035447094</v>
      </c>
    </row>
    <row r="382" spans="1:5" x14ac:dyDescent="0.3">
      <c r="A382" t="s">
        <v>467</v>
      </c>
      <c r="B382" t="str">
        <f>"125 DANBURY RD"</f>
        <v>125 DANBURY RD</v>
      </c>
      <c r="C382" t="s">
        <v>174</v>
      </c>
      <c r="D382" t="s">
        <v>6</v>
      </c>
      <c r="E382" t="str">
        <f>"2034387317"</f>
        <v>2034387317</v>
      </c>
    </row>
    <row r="383" spans="1:5" x14ac:dyDescent="0.3">
      <c r="A383" t="s">
        <v>539</v>
      </c>
      <c r="B383" t="str">
        <f>"46A DANBURY RD."</f>
        <v>46A DANBURY RD.</v>
      </c>
      <c r="C383" t="s">
        <v>174</v>
      </c>
      <c r="D383" t="s">
        <v>6</v>
      </c>
      <c r="E383" t="str">
        <f>"2038948744"</f>
        <v>2038948744</v>
      </c>
    </row>
    <row r="384" spans="1:5" x14ac:dyDescent="0.3">
      <c r="A384" t="s">
        <v>11</v>
      </c>
      <c r="B384" t="str">
        <f>"1261 E PUTNAM AVE"</f>
        <v>1261 E PUTNAM AVE</v>
      </c>
      <c r="C384" t="s">
        <v>12</v>
      </c>
      <c r="D384" t="s">
        <v>6</v>
      </c>
      <c r="E384" t="str">
        <f>"2036370188"</f>
        <v>2036370188</v>
      </c>
    </row>
    <row r="385" spans="1:5" x14ac:dyDescent="0.3">
      <c r="A385" t="s">
        <v>269</v>
      </c>
      <c r="B385" t="str">
        <f>"1239 E PUTNAM AVE"</f>
        <v>1239 E PUTNAM AVE</v>
      </c>
      <c r="C385" t="s">
        <v>12</v>
      </c>
      <c r="D385" t="s">
        <v>6</v>
      </c>
      <c r="E385" t="str">
        <f>"2036984005"</f>
        <v>2036984005</v>
      </c>
    </row>
    <row r="386" spans="1:5" x14ac:dyDescent="0.3">
      <c r="A386" t="s">
        <v>602</v>
      </c>
      <c r="B386" t="str">
        <f>"1333 E. PUTNAM AVE"</f>
        <v>1333 E. PUTNAM AVE</v>
      </c>
      <c r="C386" t="s">
        <v>12</v>
      </c>
      <c r="D386" t="s">
        <v>6</v>
      </c>
      <c r="E386" t="str">
        <f>"2036371496"</f>
        <v>2036371496</v>
      </c>
    </row>
    <row r="387" spans="1:5" x14ac:dyDescent="0.3">
      <c r="A387" t="s">
        <v>75</v>
      </c>
      <c r="B387" t="str">
        <f>"1040 ELM ST"</f>
        <v>1040 ELM ST</v>
      </c>
      <c r="C387" t="s">
        <v>76</v>
      </c>
      <c r="D387" t="s">
        <v>6</v>
      </c>
      <c r="E387" t="str">
        <f>"8607210692"</f>
        <v>8607210692</v>
      </c>
    </row>
    <row r="388" spans="1:5" x14ac:dyDescent="0.3">
      <c r="A388" t="s">
        <v>270</v>
      </c>
      <c r="B388" t="str">
        <f>"2427 MAIN ST"</f>
        <v>2427 MAIN ST</v>
      </c>
      <c r="C388" t="s">
        <v>76</v>
      </c>
      <c r="D388" t="s">
        <v>6</v>
      </c>
      <c r="E388" t="str">
        <f>"8602584962"</f>
        <v>8602584962</v>
      </c>
    </row>
    <row r="389" spans="1:5" x14ac:dyDescent="0.3">
      <c r="A389" t="s">
        <v>277</v>
      </c>
      <c r="B389" t="str">
        <f>"323 CROMWELL AVE"</f>
        <v>323 CROMWELL AVE</v>
      </c>
      <c r="C389" t="s">
        <v>76</v>
      </c>
      <c r="D389" t="s">
        <v>6</v>
      </c>
      <c r="E389" t="str">
        <f>"8605639393"</f>
        <v>8605639393</v>
      </c>
    </row>
    <row r="390" spans="1:5" x14ac:dyDescent="0.3">
      <c r="A390" t="s">
        <v>448</v>
      </c>
      <c r="B390" t="str">
        <f>"80 TOWN LINE RD"</f>
        <v>80 TOWN LINE RD</v>
      </c>
      <c r="C390" t="s">
        <v>76</v>
      </c>
      <c r="D390" t="s">
        <v>6</v>
      </c>
      <c r="E390" t="str">
        <f>"8605631169"</f>
        <v>8605631169</v>
      </c>
    </row>
    <row r="391" spans="1:5" x14ac:dyDescent="0.3">
      <c r="A391" t="s">
        <v>635</v>
      </c>
      <c r="B391" t="str">
        <f>"80 TOWN LINE RD"</f>
        <v>80 TOWN LINE RD</v>
      </c>
      <c r="C391" t="s">
        <v>76</v>
      </c>
      <c r="D391" t="s">
        <v>6</v>
      </c>
      <c r="E391" t="str">
        <f>"8605634355"</f>
        <v>8605634355</v>
      </c>
    </row>
    <row r="392" spans="1:5" x14ac:dyDescent="0.3">
      <c r="A392" t="s">
        <v>144</v>
      </c>
      <c r="B392" t="str">
        <f>"215 WEST ST"</f>
        <v>215 WEST ST</v>
      </c>
      <c r="C392" t="s">
        <v>145</v>
      </c>
      <c r="D392" t="s">
        <v>6</v>
      </c>
      <c r="E392" t="str">
        <f>"2038889068"</f>
        <v>2038889068</v>
      </c>
    </row>
    <row r="393" spans="1:5" x14ac:dyDescent="0.3">
      <c r="A393" t="s">
        <v>423</v>
      </c>
      <c r="B393" t="str">
        <f>"15 FRANKLIN ST"</f>
        <v>15 FRANKLIN ST</v>
      </c>
      <c r="C393" t="s">
        <v>145</v>
      </c>
      <c r="D393" t="s">
        <v>6</v>
      </c>
      <c r="E393" t="str">
        <f>"2038812641"</f>
        <v>2038812641</v>
      </c>
    </row>
    <row r="394" spans="1:5" x14ac:dyDescent="0.3">
      <c r="A394" t="s">
        <v>541</v>
      </c>
      <c r="B394" t="str">
        <f>"144 BANK STREET"</f>
        <v>144 BANK STREET</v>
      </c>
      <c r="C394" t="s">
        <v>145</v>
      </c>
      <c r="D394" t="s">
        <v>6</v>
      </c>
      <c r="E394" t="str">
        <f>"2038819999"</f>
        <v>2038819999</v>
      </c>
    </row>
    <row r="395" spans="1:5" x14ac:dyDescent="0.3">
      <c r="A395" t="s">
        <v>24</v>
      </c>
      <c r="B395" t="str">
        <f>"200 LEAVENWORTH RD"</f>
        <v>200 LEAVENWORTH RD</v>
      </c>
      <c r="C395" t="s">
        <v>25</v>
      </c>
      <c r="D395" t="s">
        <v>6</v>
      </c>
      <c r="E395" t="str">
        <f>"2039297982"</f>
        <v>2039297982</v>
      </c>
    </row>
    <row r="396" spans="1:5" x14ac:dyDescent="0.3">
      <c r="A396" t="s">
        <v>54</v>
      </c>
      <c r="B396" t="str">
        <f>"401 BRIDGEPORT AVE"</f>
        <v>401 BRIDGEPORT AVE</v>
      </c>
      <c r="C396" t="s">
        <v>25</v>
      </c>
      <c r="D396" t="s">
        <v>6</v>
      </c>
      <c r="E396" t="str">
        <f>"2034473003"</f>
        <v>2034473003</v>
      </c>
    </row>
    <row r="397" spans="1:5" x14ac:dyDescent="0.3">
      <c r="A397" t="s">
        <v>323</v>
      </c>
      <c r="B397" t="str">
        <f>"875 BRIDGEPORT AVE"</f>
        <v>875 BRIDGEPORT AVE</v>
      </c>
      <c r="C397" t="s">
        <v>25</v>
      </c>
      <c r="D397" t="s">
        <v>6</v>
      </c>
      <c r="E397" t="str">
        <f>"2032259224"</f>
        <v>2032259224</v>
      </c>
    </row>
    <row r="398" spans="1:5" x14ac:dyDescent="0.3">
      <c r="A398" t="s">
        <v>445</v>
      </c>
      <c r="B398" t="str">
        <f>"898 BRIDGEPORT AVE"</f>
        <v>898 BRIDGEPORT AVE</v>
      </c>
      <c r="C398" t="s">
        <v>25</v>
      </c>
      <c r="D398" t="s">
        <v>6</v>
      </c>
      <c r="E398" t="str">
        <f>"2039297516"</f>
        <v>2039297516</v>
      </c>
    </row>
    <row r="399" spans="1:5" x14ac:dyDescent="0.3">
      <c r="A399" t="s">
        <v>624</v>
      </c>
      <c r="B399" t="str">
        <f>"700 BRIDGEPORT AVE  #101"</f>
        <v>700 BRIDGEPORT AVE  #101</v>
      </c>
      <c r="C399" t="s">
        <v>25</v>
      </c>
      <c r="D399" t="s">
        <v>6</v>
      </c>
      <c r="E399" t="str">
        <f>"2032250296"</f>
        <v>2032250296</v>
      </c>
    </row>
    <row r="400" spans="1:5" x14ac:dyDescent="0.3">
      <c r="A400" t="s">
        <v>55</v>
      </c>
      <c r="B400" t="str">
        <f>"1313 HOPMEADOW ST"</f>
        <v>1313 HOPMEADOW ST</v>
      </c>
      <c r="C400" t="s">
        <v>56</v>
      </c>
      <c r="D400" t="s">
        <v>6</v>
      </c>
      <c r="E400" t="str">
        <f>"8603923961"</f>
        <v>8603923961</v>
      </c>
    </row>
    <row r="401" spans="1:5" x14ac:dyDescent="0.3">
      <c r="A401" t="s">
        <v>237</v>
      </c>
      <c r="B401" t="str">
        <f>"714 HOPMEADOW ST"</f>
        <v>714 HOPMEADOW ST</v>
      </c>
      <c r="C401" t="s">
        <v>56</v>
      </c>
      <c r="D401" t="s">
        <v>6</v>
      </c>
      <c r="E401" t="str">
        <f>"8606511438"</f>
        <v>8606511438</v>
      </c>
    </row>
    <row r="402" spans="1:5" x14ac:dyDescent="0.3">
      <c r="A402" t="s">
        <v>427</v>
      </c>
      <c r="B402" t="str">
        <f>"498 BUSHY HILL RD"</f>
        <v>498 BUSHY HILL RD</v>
      </c>
      <c r="C402" t="s">
        <v>56</v>
      </c>
      <c r="D402" t="s">
        <v>6</v>
      </c>
      <c r="E402" t="str">
        <f>"8606514787"</f>
        <v>8606514787</v>
      </c>
    </row>
    <row r="403" spans="1:5" x14ac:dyDescent="0.3">
      <c r="A403" t="s">
        <v>592</v>
      </c>
      <c r="B403" t="str">
        <f>"540 BUSHY HILL RD"</f>
        <v>540 BUSHY HILL RD</v>
      </c>
      <c r="C403" t="s">
        <v>56</v>
      </c>
      <c r="D403" t="s">
        <v>6</v>
      </c>
      <c r="E403" t="str">
        <f>"8606580479"</f>
        <v>8606580479</v>
      </c>
    </row>
    <row r="404" spans="1:5" x14ac:dyDescent="0.3">
      <c r="A404" t="s">
        <v>314</v>
      </c>
      <c r="B404" t="str">
        <f>"95 SOUTH RD"</f>
        <v>95 SOUTH RD</v>
      </c>
      <c r="C404" t="s">
        <v>315</v>
      </c>
      <c r="D404" t="s">
        <v>6</v>
      </c>
      <c r="E404" t="str">
        <f>"8607497339"</f>
        <v>8607497339</v>
      </c>
    </row>
    <row r="405" spans="1:5" x14ac:dyDescent="0.3">
      <c r="A405" t="s">
        <v>206</v>
      </c>
      <c r="B405" t="str">
        <f>"525 BUCKLAND RD"</f>
        <v>525 BUCKLAND RD</v>
      </c>
      <c r="C405" t="s">
        <v>207</v>
      </c>
      <c r="D405" t="s">
        <v>6</v>
      </c>
      <c r="E405" t="str">
        <f>"8606445950"</f>
        <v>8606445950</v>
      </c>
    </row>
    <row r="406" spans="1:5" x14ac:dyDescent="0.3">
      <c r="A406" t="s">
        <v>314</v>
      </c>
      <c r="B406" t="str">
        <f>"965 SULLIVAN AVE"</f>
        <v>965 SULLIVAN AVE</v>
      </c>
      <c r="C406" t="s">
        <v>207</v>
      </c>
      <c r="D406" t="s">
        <v>6</v>
      </c>
      <c r="E406" t="str">
        <f>"8606443007"</f>
        <v>8606443007</v>
      </c>
    </row>
    <row r="407" spans="1:5" x14ac:dyDescent="0.3">
      <c r="A407" t="s">
        <v>500</v>
      </c>
      <c r="B407" t="str">
        <f>"1739 ELLINGTON RD"</f>
        <v>1739 ELLINGTON RD</v>
      </c>
      <c r="C407" t="s">
        <v>207</v>
      </c>
      <c r="D407" t="s">
        <v>6</v>
      </c>
      <c r="E407" t="str">
        <f>"8606484026"</f>
        <v>8606484026</v>
      </c>
    </row>
    <row r="408" spans="1:5" x14ac:dyDescent="0.3">
      <c r="A408" t="s">
        <v>222</v>
      </c>
      <c r="B408" t="str">
        <f>"22 DEPOT HILL RD"</f>
        <v>22 DEPOT HILL RD</v>
      </c>
      <c r="C408" t="s">
        <v>223</v>
      </c>
      <c r="D408" t="s">
        <v>6</v>
      </c>
      <c r="E408" t="str">
        <f>"2032621833"</f>
        <v>2032621833</v>
      </c>
    </row>
    <row r="409" spans="1:5" x14ac:dyDescent="0.3">
      <c r="A409" t="s">
        <v>326</v>
      </c>
      <c r="B409" t="str">
        <f>"775 MAIN ST S"</f>
        <v>775 MAIN ST S</v>
      </c>
      <c r="C409" t="s">
        <v>223</v>
      </c>
      <c r="D409" t="s">
        <v>6</v>
      </c>
      <c r="E409" t="str">
        <f>"2032621477"</f>
        <v>2032621477</v>
      </c>
    </row>
    <row r="410" spans="1:5" x14ac:dyDescent="0.3">
      <c r="A410" t="s">
        <v>439</v>
      </c>
      <c r="B410" t="str">
        <f>"100 MAIN ST NORTH"</f>
        <v>100 MAIN ST NORTH</v>
      </c>
      <c r="C410" t="s">
        <v>223</v>
      </c>
      <c r="D410" t="s">
        <v>6</v>
      </c>
      <c r="E410" t="str">
        <f>"2032624555"</f>
        <v>2032624555</v>
      </c>
    </row>
    <row r="411" spans="1:5" x14ac:dyDescent="0.3">
      <c r="A411" t="s">
        <v>610</v>
      </c>
      <c r="B411" t="str">
        <f>"370 MAIN ST. S."</f>
        <v>370 MAIN ST. S.</v>
      </c>
      <c r="C411" t="s">
        <v>223</v>
      </c>
      <c r="D411" t="s">
        <v>6</v>
      </c>
      <c r="E411" t="str">
        <f>"2032676718"</f>
        <v>2032676718</v>
      </c>
    </row>
    <row r="412" spans="1:5" x14ac:dyDescent="0.3">
      <c r="A412" t="s">
        <v>211</v>
      </c>
      <c r="B412" t="str">
        <f>"326 MAIN ST"</f>
        <v>326 MAIN ST</v>
      </c>
      <c r="C412" t="s">
        <v>212</v>
      </c>
      <c r="D412" t="s">
        <v>6</v>
      </c>
      <c r="E412" t="str">
        <f>"8606211992"</f>
        <v>8606211992</v>
      </c>
    </row>
    <row r="413" spans="1:5" x14ac:dyDescent="0.3">
      <c r="A413" t="s">
        <v>364</v>
      </c>
      <c r="B413" t="str">
        <f>"410 QUEEN ST"</f>
        <v>410 QUEEN ST</v>
      </c>
      <c r="C413" t="s">
        <v>212</v>
      </c>
      <c r="D413" t="s">
        <v>6</v>
      </c>
      <c r="E413" t="str">
        <f>"8606212128"</f>
        <v>8606212128</v>
      </c>
    </row>
    <row r="414" spans="1:5" x14ac:dyDescent="0.3">
      <c r="A414" t="s">
        <v>401</v>
      </c>
      <c r="B414" t="str">
        <f>"750 QUEEN ST"</f>
        <v>750 QUEEN ST</v>
      </c>
      <c r="C414" t="s">
        <v>212</v>
      </c>
      <c r="D414" t="s">
        <v>6</v>
      </c>
      <c r="E414" t="str">
        <f>"8607360044"</f>
        <v>8607360044</v>
      </c>
    </row>
    <row r="415" spans="1:5" x14ac:dyDescent="0.3">
      <c r="A415" t="s">
        <v>487</v>
      </c>
      <c r="B415" t="str">
        <f>"505 N MAIN ST"</f>
        <v>505 N MAIN ST</v>
      </c>
      <c r="C415" t="s">
        <v>212</v>
      </c>
      <c r="D415" t="s">
        <v>6</v>
      </c>
      <c r="E415" t="str">
        <f>"8606209161"</f>
        <v>8606209161</v>
      </c>
    </row>
    <row r="416" spans="1:5" x14ac:dyDescent="0.3">
      <c r="A416" t="s">
        <v>521</v>
      </c>
      <c r="B416" t="str">
        <f>"600 EXECUTIVE BLVD"</f>
        <v>600 EXECUTIVE BLVD</v>
      </c>
      <c r="C416" t="s">
        <v>212</v>
      </c>
      <c r="D416" t="s">
        <v>6</v>
      </c>
      <c r="E416" t="str">
        <f>"8604066754"</f>
        <v>8604066754</v>
      </c>
    </row>
    <row r="417" spans="1:5" x14ac:dyDescent="0.3">
      <c r="A417" t="s">
        <v>617</v>
      </c>
      <c r="B417" t="str">
        <f>"359 MAIN STREET"</f>
        <v>359 MAIN STREET</v>
      </c>
      <c r="C417" t="s">
        <v>212</v>
      </c>
      <c r="D417" t="s">
        <v>6</v>
      </c>
      <c r="E417" t="str">
        <f>"8606213729"</f>
        <v>8606213729</v>
      </c>
    </row>
    <row r="418" spans="1:5" x14ac:dyDescent="0.3">
      <c r="A418" t="s">
        <v>57</v>
      </c>
      <c r="B418" t="str">
        <f>"87 W STAFFORD RD"</f>
        <v>87 W STAFFORD RD</v>
      </c>
      <c r="C418" t="s">
        <v>58</v>
      </c>
      <c r="D418" t="s">
        <v>6</v>
      </c>
      <c r="E418" t="str">
        <f>"8606845029"</f>
        <v>8606845029</v>
      </c>
    </row>
    <row r="419" spans="1:5" x14ac:dyDescent="0.3">
      <c r="A419" t="s">
        <v>7</v>
      </c>
      <c r="B419" t="str">
        <f>"1201 HIGH RIDGE RD"</f>
        <v>1201 HIGH RIDGE RD</v>
      </c>
      <c r="C419" t="s">
        <v>8</v>
      </c>
      <c r="D419" t="s">
        <v>6</v>
      </c>
      <c r="E419" t="str">
        <f>"2033210429"</f>
        <v>2033210429</v>
      </c>
    </row>
    <row r="420" spans="1:5" x14ac:dyDescent="0.3">
      <c r="A420" t="s">
        <v>151</v>
      </c>
      <c r="B420" t="str">
        <f>"66 HIGH RIDGE RD"</f>
        <v>66 HIGH RIDGE RD</v>
      </c>
      <c r="C420" t="s">
        <v>8</v>
      </c>
      <c r="D420" t="s">
        <v>6</v>
      </c>
      <c r="E420" t="str">
        <f>"2035413972"</f>
        <v>2035413972</v>
      </c>
    </row>
    <row r="421" spans="1:5" x14ac:dyDescent="0.3">
      <c r="A421" t="s">
        <v>210</v>
      </c>
      <c r="B421" t="str">
        <f>"593 NEWFIELD AVE"</f>
        <v>593 NEWFIELD AVE</v>
      </c>
      <c r="C421" t="s">
        <v>8</v>
      </c>
      <c r="D421" t="s">
        <v>6</v>
      </c>
      <c r="E421" t="str">
        <f>"2039674600"</f>
        <v>2039674600</v>
      </c>
    </row>
    <row r="422" spans="1:5" x14ac:dyDescent="0.3">
      <c r="A422" t="s">
        <v>245</v>
      </c>
      <c r="B422" t="str">
        <f>"1058 HOPE ST"</f>
        <v>1058 HOPE ST</v>
      </c>
      <c r="C422" t="s">
        <v>8</v>
      </c>
      <c r="D422" t="s">
        <v>6</v>
      </c>
      <c r="E422" t="str">
        <f>"2033255172"</f>
        <v>2033255172</v>
      </c>
    </row>
    <row r="423" spans="1:5" x14ac:dyDescent="0.3">
      <c r="A423" t="s">
        <v>288</v>
      </c>
      <c r="B423" t="str">
        <f>"11 FOREST ST"</f>
        <v>11 FOREST ST</v>
      </c>
      <c r="C423" t="s">
        <v>8</v>
      </c>
      <c r="D423" t="s">
        <v>6</v>
      </c>
      <c r="E423" t="str">
        <f>"2033630627"</f>
        <v>2033630627</v>
      </c>
    </row>
    <row r="424" spans="1:5" x14ac:dyDescent="0.3">
      <c r="A424" t="s">
        <v>316</v>
      </c>
      <c r="B424" t="str">
        <f>"563 NEWFIELD AVE"</f>
        <v>563 NEWFIELD AVE</v>
      </c>
      <c r="C424" t="s">
        <v>8</v>
      </c>
      <c r="D424" t="s">
        <v>6</v>
      </c>
      <c r="E424" t="str">
        <f>"2033561662"</f>
        <v>2033561662</v>
      </c>
    </row>
    <row r="425" spans="1:5" x14ac:dyDescent="0.3">
      <c r="A425" t="s">
        <v>317</v>
      </c>
      <c r="B425" t="str">
        <f>"495 HOPE ST"</f>
        <v>495 HOPE ST</v>
      </c>
      <c r="C425" t="s">
        <v>8</v>
      </c>
      <c r="D425" t="s">
        <v>6</v>
      </c>
      <c r="E425" t="str">
        <f>"2033259991"</f>
        <v>2033259991</v>
      </c>
    </row>
    <row r="426" spans="1:5" x14ac:dyDescent="0.3">
      <c r="A426" t="s">
        <v>318</v>
      </c>
      <c r="B426" t="str">
        <f>"200 SHIPPAN AVE"</f>
        <v>200 SHIPPAN AVE</v>
      </c>
      <c r="C426" t="s">
        <v>8</v>
      </c>
      <c r="D426" t="s">
        <v>6</v>
      </c>
      <c r="E426" t="str">
        <f>"2039649500"</f>
        <v>2039649500</v>
      </c>
    </row>
    <row r="427" spans="1:5" x14ac:dyDescent="0.3">
      <c r="A427" t="s">
        <v>322</v>
      </c>
      <c r="B427" t="str">
        <f>"1990 W MAIN ST"</f>
        <v>1990 W MAIN ST</v>
      </c>
      <c r="C427" t="s">
        <v>8</v>
      </c>
      <c r="D427" t="s">
        <v>6</v>
      </c>
      <c r="E427" t="str">
        <f>"2039780464"</f>
        <v>2039780464</v>
      </c>
    </row>
    <row r="428" spans="1:5" x14ac:dyDescent="0.3">
      <c r="A428" t="s">
        <v>336</v>
      </c>
      <c r="B428" t="str">
        <f>"54  MYRTLE AVENUE"</f>
        <v>54  MYRTLE AVENUE</v>
      </c>
      <c r="C428" t="s">
        <v>8</v>
      </c>
      <c r="D428" t="s">
        <v>6</v>
      </c>
      <c r="E428" t="str">
        <f>"2032980595"</f>
        <v>2032980595</v>
      </c>
    </row>
    <row r="429" spans="1:5" x14ac:dyDescent="0.3">
      <c r="A429" t="s">
        <v>336</v>
      </c>
      <c r="B429" t="str">
        <f>"432 W MAIN ST"</f>
        <v>432 W MAIN ST</v>
      </c>
      <c r="C429" t="s">
        <v>8</v>
      </c>
      <c r="D429" t="s">
        <v>6</v>
      </c>
      <c r="E429" t="str">
        <f>"2035042426"</f>
        <v>2035042426</v>
      </c>
    </row>
    <row r="430" spans="1:5" x14ac:dyDescent="0.3">
      <c r="A430" t="s">
        <v>337</v>
      </c>
      <c r="B430" t="str">
        <f>"118 STILLWATER AVE"</f>
        <v>118 STILLWATER AVE</v>
      </c>
      <c r="C430" t="s">
        <v>8</v>
      </c>
      <c r="D430" t="s">
        <v>6</v>
      </c>
      <c r="E430" t="str">
        <f>"3479610344"</f>
        <v>3479610344</v>
      </c>
    </row>
    <row r="431" spans="1:5" x14ac:dyDescent="0.3">
      <c r="A431" t="s">
        <v>349</v>
      </c>
      <c r="B431" t="str">
        <f>"111 STILLWATER AVE"</f>
        <v>111 STILLWATER AVE</v>
      </c>
      <c r="C431" t="s">
        <v>8</v>
      </c>
      <c r="D431" t="s">
        <v>6</v>
      </c>
      <c r="E431" t="str">
        <f>"2036148558"</f>
        <v>2036148558</v>
      </c>
    </row>
    <row r="432" spans="1:5" x14ac:dyDescent="0.3">
      <c r="A432" t="s">
        <v>382</v>
      </c>
      <c r="B432" t="str">
        <f>"101 RICHMOND HILL AVENUE"</f>
        <v>101 RICHMOND HILL AVENUE</v>
      </c>
      <c r="C432" t="s">
        <v>8</v>
      </c>
      <c r="D432" t="s">
        <v>6</v>
      </c>
      <c r="E432" t="str">
        <f>"2035434407"</f>
        <v>2035434407</v>
      </c>
    </row>
    <row r="433" spans="1:5" x14ac:dyDescent="0.3">
      <c r="A433" t="s">
        <v>406</v>
      </c>
      <c r="B433" t="str">
        <f>"181 STILLWATER AVENUE"</f>
        <v>181 STILLWATER AVENUE</v>
      </c>
      <c r="C433" t="s">
        <v>8</v>
      </c>
      <c r="D433" t="s">
        <v>6</v>
      </c>
      <c r="E433" t="str">
        <f>"2033160661"</f>
        <v>2033160661</v>
      </c>
    </row>
    <row r="434" spans="1:5" x14ac:dyDescent="0.3">
      <c r="A434" t="s">
        <v>452</v>
      </c>
      <c r="B434" t="str">
        <f>"2200 BEDFORD ST"</f>
        <v>2200 BEDFORD ST</v>
      </c>
      <c r="C434" t="s">
        <v>8</v>
      </c>
      <c r="D434" t="s">
        <v>6</v>
      </c>
      <c r="E434" t="str">
        <f>"2033560109"</f>
        <v>2033560109</v>
      </c>
    </row>
    <row r="435" spans="1:5" x14ac:dyDescent="0.3">
      <c r="A435" t="s">
        <v>459</v>
      </c>
      <c r="B435" t="str">
        <f>"1937 W MAIN ST"</f>
        <v>1937 W MAIN ST</v>
      </c>
      <c r="C435" t="s">
        <v>8</v>
      </c>
      <c r="D435" t="s">
        <v>6</v>
      </c>
      <c r="E435" t="str">
        <f>"2033231458"</f>
        <v>2033231458</v>
      </c>
    </row>
    <row r="436" spans="1:5" x14ac:dyDescent="0.3">
      <c r="A436" t="s">
        <v>511</v>
      </c>
      <c r="B436" t="str">
        <f>"21 BROAD ST"</f>
        <v>21 BROAD ST</v>
      </c>
      <c r="C436" t="s">
        <v>8</v>
      </c>
      <c r="D436" t="s">
        <v>6</v>
      </c>
      <c r="E436" t="str">
        <f>"2033880006"</f>
        <v>2033880006</v>
      </c>
    </row>
    <row r="437" spans="1:5" x14ac:dyDescent="0.3">
      <c r="A437" t="s">
        <v>526</v>
      </c>
      <c r="B437" t="str">
        <f>"60 SELLECK ST"</f>
        <v>60 SELLECK ST</v>
      </c>
      <c r="C437" t="s">
        <v>8</v>
      </c>
      <c r="D437" t="s">
        <v>6</v>
      </c>
      <c r="E437" t="str">
        <f>"2033571821"</f>
        <v>2033571821</v>
      </c>
    </row>
    <row r="438" spans="1:5" x14ac:dyDescent="0.3">
      <c r="A438" t="s">
        <v>536</v>
      </c>
      <c r="B438" t="str">
        <f>"780 E. MAIN STREET"</f>
        <v>780 E. MAIN STREET</v>
      </c>
      <c r="C438" t="s">
        <v>8</v>
      </c>
      <c r="D438" t="s">
        <v>6</v>
      </c>
      <c r="E438" t="str">
        <f>"2033539117"</f>
        <v>2033539117</v>
      </c>
    </row>
    <row r="439" spans="1:5" x14ac:dyDescent="0.3">
      <c r="A439" t="s">
        <v>542</v>
      </c>
      <c r="B439" t="str">
        <f>"1203 HIGH RIDGE RD"</f>
        <v>1203 HIGH RIDGE RD</v>
      </c>
      <c r="C439" t="s">
        <v>8</v>
      </c>
      <c r="D439" t="s">
        <v>6</v>
      </c>
      <c r="E439" t="str">
        <f>"2033227669"</f>
        <v>2033227669</v>
      </c>
    </row>
    <row r="440" spans="1:5" x14ac:dyDescent="0.3">
      <c r="A440" t="s">
        <v>369</v>
      </c>
      <c r="B440" t="str">
        <f>"1220 STORRS RD"</f>
        <v>1220 STORRS RD</v>
      </c>
      <c r="C440" t="s">
        <v>370</v>
      </c>
      <c r="D440" t="s">
        <v>6</v>
      </c>
      <c r="E440" t="str">
        <f>"8605536555"</f>
        <v>8605536555</v>
      </c>
    </row>
    <row r="441" spans="1:5" x14ac:dyDescent="0.3">
      <c r="A441" t="s">
        <v>178</v>
      </c>
      <c r="B441" t="str">
        <f>"632 MIDDLE TPKE"</f>
        <v>632 MIDDLE TPKE</v>
      </c>
      <c r="C441" t="s">
        <v>179</v>
      </c>
      <c r="D441" t="s">
        <v>6</v>
      </c>
      <c r="E441" t="str">
        <f>"8604870223"</f>
        <v>8604870223</v>
      </c>
    </row>
    <row r="442" spans="1:5" x14ac:dyDescent="0.3">
      <c r="A442" t="s">
        <v>105</v>
      </c>
      <c r="B442" t="str">
        <f>"355 HAWLEY LN"</f>
        <v>355 HAWLEY LN</v>
      </c>
      <c r="C442" t="s">
        <v>106</v>
      </c>
      <c r="D442" t="s">
        <v>6</v>
      </c>
      <c r="E442" t="str">
        <f>"2033860576"</f>
        <v>2033860576</v>
      </c>
    </row>
    <row r="443" spans="1:5" x14ac:dyDescent="0.3">
      <c r="A443" t="s">
        <v>113</v>
      </c>
      <c r="B443" t="str">
        <f>"360 BOSTON AVE"</f>
        <v>360 BOSTON AVE</v>
      </c>
      <c r="C443" t="s">
        <v>106</v>
      </c>
      <c r="D443" t="s">
        <v>6</v>
      </c>
      <c r="E443" t="str">
        <f>"2033758987"</f>
        <v>2033758987</v>
      </c>
    </row>
    <row r="444" spans="1:5" x14ac:dyDescent="0.3">
      <c r="A444" t="s">
        <v>279</v>
      </c>
      <c r="B444" t="str">
        <f>"1 HAWLEY LN"</f>
        <v>1 HAWLEY LN</v>
      </c>
      <c r="C444" t="s">
        <v>106</v>
      </c>
      <c r="D444" t="s">
        <v>6</v>
      </c>
      <c r="E444" t="str">
        <f>"2033837735"</f>
        <v>2033837735</v>
      </c>
    </row>
    <row r="445" spans="1:5" x14ac:dyDescent="0.3">
      <c r="A445" t="s">
        <v>280</v>
      </c>
      <c r="B445" t="str">
        <f>"1425 BARNUM AVE"</f>
        <v>1425 BARNUM AVE</v>
      </c>
      <c r="C445" t="s">
        <v>106</v>
      </c>
      <c r="D445" t="s">
        <v>6</v>
      </c>
      <c r="E445" t="str">
        <f>"2033837741"</f>
        <v>2033837741</v>
      </c>
    </row>
    <row r="446" spans="1:5" x14ac:dyDescent="0.3">
      <c r="A446" t="s">
        <v>402</v>
      </c>
      <c r="B446" t="str">
        <f>"250 BARNUM AVE CUT OFF"</f>
        <v>250 BARNUM AVE CUT OFF</v>
      </c>
      <c r="C446" t="s">
        <v>106</v>
      </c>
      <c r="D446" t="s">
        <v>6</v>
      </c>
      <c r="E446" t="str">
        <f>"2033784296"</f>
        <v>2033784296</v>
      </c>
    </row>
    <row r="447" spans="1:5" x14ac:dyDescent="0.3">
      <c r="A447" t="s">
        <v>454</v>
      </c>
      <c r="B447" t="str">
        <f>"200 E MAIN ST"</f>
        <v>200 E MAIN ST</v>
      </c>
      <c r="C447" t="s">
        <v>106</v>
      </c>
      <c r="D447" t="s">
        <v>6</v>
      </c>
      <c r="E447" t="str">
        <f>"2033758787"</f>
        <v>2033758787</v>
      </c>
    </row>
    <row r="448" spans="1:5" x14ac:dyDescent="0.3">
      <c r="A448" t="s">
        <v>586</v>
      </c>
      <c r="B448" t="str">
        <f>"1606 BARNUM AVE"</f>
        <v>1606 BARNUM AVE</v>
      </c>
      <c r="C448" t="s">
        <v>106</v>
      </c>
      <c r="D448" t="s">
        <v>6</v>
      </c>
      <c r="E448" t="str">
        <f>"2033772851"</f>
        <v>2033772851</v>
      </c>
    </row>
    <row r="449" spans="1:5" x14ac:dyDescent="0.3">
      <c r="A449" t="s">
        <v>255</v>
      </c>
      <c r="B449" t="str">
        <f>"163 MOUNTAIN RD"</f>
        <v>163 MOUNTAIN RD</v>
      </c>
      <c r="C449" t="s">
        <v>256</v>
      </c>
      <c r="D449" t="s">
        <v>6</v>
      </c>
      <c r="E449" t="str">
        <f>"8606685115"</f>
        <v>8606685115</v>
      </c>
    </row>
    <row r="450" spans="1:5" x14ac:dyDescent="0.3">
      <c r="A450" t="s">
        <v>502</v>
      </c>
      <c r="B450" t="str">
        <f>"68 BRIDGE ST"</f>
        <v>68 BRIDGE ST</v>
      </c>
      <c r="C450" t="s">
        <v>256</v>
      </c>
      <c r="D450" t="s">
        <v>6</v>
      </c>
      <c r="E450" t="str">
        <f>"8606689660"</f>
        <v>8606689660</v>
      </c>
    </row>
    <row r="451" spans="1:5" x14ac:dyDescent="0.3">
      <c r="A451" t="s">
        <v>24</v>
      </c>
      <c r="B451" t="str">
        <f>"311 MAIN ST"</f>
        <v>311 MAIN ST</v>
      </c>
      <c r="C451" t="s">
        <v>26</v>
      </c>
      <c r="D451" t="s">
        <v>6</v>
      </c>
      <c r="E451" t="str">
        <f>"8605839177"</f>
        <v>8605839177</v>
      </c>
    </row>
    <row r="452" spans="1:5" x14ac:dyDescent="0.3">
      <c r="A452" t="s">
        <v>200</v>
      </c>
      <c r="B452" t="str">
        <f>"311 MAIN ST"</f>
        <v>311 MAIN ST</v>
      </c>
      <c r="C452" t="s">
        <v>26</v>
      </c>
      <c r="D452" t="s">
        <v>6</v>
      </c>
      <c r="E452" t="str">
        <f>"8603142890"</f>
        <v>8603142890</v>
      </c>
    </row>
    <row r="453" spans="1:5" x14ac:dyDescent="0.3">
      <c r="A453" t="s">
        <v>15</v>
      </c>
      <c r="B453" t="str">
        <f>"92 MAIN ST"</f>
        <v>92 MAIN ST</v>
      </c>
      <c r="C453" t="s">
        <v>16</v>
      </c>
      <c r="D453" t="s">
        <v>6</v>
      </c>
      <c r="E453" t="str">
        <f>"8602835645"</f>
        <v>8602835645</v>
      </c>
    </row>
    <row r="454" spans="1:5" x14ac:dyDescent="0.3">
      <c r="A454" t="s">
        <v>563</v>
      </c>
      <c r="B454" t="str">
        <f>"455 S. MAIN STREET"</f>
        <v>455 S. MAIN STREET</v>
      </c>
      <c r="C454" t="s">
        <v>16</v>
      </c>
      <c r="D454" t="s">
        <v>6</v>
      </c>
      <c r="E454" t="str">
        <f>"8602838541"</f>
        <v>8602838541</v>
      </c>
    </row>
    <row r="455" spans="1:5" x14ac:dyDescent="0.3">
      <c r="A455" t="s">
        <v>101</v>
      </c>
      <c r="B455" t="str">
        <f>"33 FIELDSTONE CMNS"</f>
        <v>33 FIELDSTONE CMNS</v>
      </c>
      <c r="C455" t="s">
        <v>102</v>
      </c>
      <c r="D455" t="s">
        <v>6</v>
      </c>
      <c r="E455" t="str">
        <f>"8608720304"</f>
        <v>8608720304</v>
      </c>
    </row>
    <row r="456" spans="1:5" x14ac:dyDescent="0.3">
      <c r="A456" t="s">
        <v>91</v>
      </c>
      <c r="B456" t="str">
        <f>"504 WINSTED RD"</f>
        <v>504 WINSTED RD</v>
      </c>
      <c r="C456" t="s">
        <v>92</v>
      </c>
      <c r="D456" t="s">
        <v>6</v>
      </c>
      <c r="E456" t="str">
        <f>"8604890246"</f>
        <v>8604890246</v>
      </c>
    </row>
    <row r="457" spans="1:5" x14ac:dyDescent="0.3">
      <c r="A457" t="s">
        <v>217</v>
      </c>
      <c r="B457" t="str">
        <f>"661 MAIN ST"</f>
        <v>661 MAIN ST</v>
      </c>
      <c r="C457" t="s">
        <v>92</v>
      </c>
      <c r="D457" t="s">
        <v>6</v>
      </c>
      <c r="E457" t="str">
        <f>"8604822415"</f>
        <v>8604822415</v>
      </c>
    </row>
    <row r="458" spans="1:5" x14ac:dyDescent="0.3">
      <c r="A458" t="s">
        <v>346</v>
      </c>
      <c r="B458" t="str">
        <f>"990 TORRINGFORD ST"</f>
        <v>990 TORRINGFORD ST</v>
      </c>
      <c r="C458" t="s">
        <v>92</v>
      </c>
      <c r="D458" t="s">
        <v>6</v>
      </c>
      <c r="E458" t="str">
        <f>"8604965051"</f>
        <v>8604965051</v>
      </c>
    </row>
    <row r="459" spans="1:5" x14ac:dyDescent="0.3">
      <c r="A459" t="s">
        <v>376</v>
      </c>
      <c r="B459" t="str">
        <f>"695 MAIN ST"</f>
        <v>695 MAIN ST</v>
      </c>
      <c r="C459" t="s">
        <v>92</v>
      </c>
      <c r="D459" t="s">
        <v>6</v>
      </c>
      <c r="E459" t="str">
        <f>"8604893864"</f>
        <v>8604893864</v>
      </c>
    </row>
    <row r="460" spans="1:5" x14ac:dyDescent="0.3">
      <c r="A460" t="s">
        <v>408</v>
      </c>
      <c r="B460" t="str">
        <f>"931 TORRINGFORD ST"</f>
        <v>931 TORRINGFORD ST</v>
      </c>
      <c r="C460" t="s">
        <v>92</v>
      </c>
      <c r="D460" t="s">
        <v>6</v>
      </c>
      <c r="E460" t="str">
        <f>"8604825125"</f>
        <v>8604825125</v>
      </c>
    </row>
    <row r="461" spans="1:5" x14ac:dyDescent="0.3">
      <c r="A461" t="s">
        <v>440</v>
      </c>
      <c r="B461" t="str">
        <f>"211 HIGH ST"</f>
        <v>211 HIGH ST</v>
      </c>
      <c r="C461" t="s">
        <v>92</v>
      </c>
      <c r="D461" t="s">
        <v>6</v>
      </c>
      <c r="E461" t="str">
        <f>"8604824460"</f>
        <v>8604824460</v>
      </c>
    </row>
    <row r="462" spans="1:5" x14ac:dyDescent="0.3">
      <c r="A462" t="s">
        <v>517</v>
      </c>
      <c r="B462" t="str">
        <f>"1922 E MAIN ST"</f>
        <v>1922 E MAIN ST</v>
      </c>
      <c r="C462" t="s">
        <v>92</v>
      </c>
      <c r="D462" t="s">
        <v>6</v>
      </c>
      <c r="E462" t="str">
        <f>"8606184007"</f>
        <v>8606184007</v>
      </c>
    </row>
    <row r="463" spans="1:5" x14ac:dyDescent="0.3">
      <c r="A463" t="s">
        <v>530</v>
      </c>
      <c r="B463" t="str">
        <f>"1745 E MAIN STREET"</f>
        <v>1745 E MAIN STREET</v>
      </c>
      <c r="C463" t="s">
        <v>92</v>
      </c>
      <c r="D463" t="s">
        <v>6</v>
      </c>
      <c r="E463" t="str">
        <f>"8604828837"</f>
        <v>8604828837</v>
      </c>
    </row>
    <row r="464" spans="1:5" x14ac:dyDescent="0.3">
      <c r="A464" t="s">
        <v>597</v>
      </c>
      <c r="B464" t="str">
        <f>"28 EAST ELM STREET"</f>
        <v>28 EAST ELM STREET</v>
      </c>
      <c r="C464" t="s">
        <v>92</v>
      </c>
      <c r="D464" t="s">
        <v>6</v>
      </c>
      <c r="E464" t="str">
        <f>"8604825621"</f>
        <v>8604825621</v>
      </c>
    </row>
    <row r="465" spans="1:5" x14ac:dyDescent="0.3">
      <c r="A465" t="s">
        <v>632</v>
      </c>
      <c r="B465" t="str">
        <f>"970 TORRINGFORD ST"</f>
        <v>970 TORRINGFORD ST</v>
      </c>
      <c r="C465" t="s">
        <v>92</v>
      </c>
      <c r="D465" t="s">
        <v>6</v>
      </c>
      <c r="E465" t="str">
        <f>"8604968653"</f>
        <v>8604968653</v>
      </c>
    </row>
    <row r="466" spans="1:5" x14ac:dyDescent="0.3">
      <c r="A466" t="s">
        <v>204</v>
      </c>
      <c r="B466" t="str">
        <f>"965 WHITE PLAINS RD"</f>
        <v>965 WHITE PLAINS RD</v>
      </c>
      <c r="C466" t="s">
        <v>205</v>
      </c>
      <c r="D466" t="s">
        <v>6</v>
      </c>
      <c r="E466" t="str">
        <f>"2032612542"</f>
        <v>2032612542</v>
      </c>
    </row>
    <row r="467" spans="1:5" x14ac:dyDescent="0.3">
      <c r="A467" t="s">
        <v>438</v>
      </c>
      <c r="B467" t="str">
        <f>"100 QUALITY ST"</f>
        <v>100 QUALITY ST</v>
      </c>
      <c r="C467" t="s">
        <v>205</v>
      </c>
      <c r="D467" t="s">
        <v>6</v>
      </c>
      <c r="E467" t="str">
        <f>"2034451006"</f>
        <v>2034451006</v>
      </c>
    </row>
    <row r="468" spans="1:5" x14ac:dyDescent="0.3">
      <c r="A468" t="s">
        <v>514</v>
      </c>
      <c r="B468" t="str">
        <f>"120 HAWLEY LN"</f>
        <v>120 HAWLEY LN</v>
      </c>
      <c r="C468" t="s">
        <v>205</v>
      </c>
      <c r="D468" t="s">
        <v>6</v>
      </c>
      <c r="E468" t="str">
        <f>"2034550102"</f>
        <v>2034550102</v>
      </c>
    </row>
    <row r="469" spans="1:5" x14ac:dyDescent="0.3">
      <c r="A469" t="s">
        <v>518</v>
      </c>
      <c r="B469" t="str">
        <f>"5056 MAIN ST"</f>
        <v>5056 MAIN ST</v>
      </c>
      <c r="C469" t="s">
        <v>205</v>
      </c>
      <c r="D469" t="s">
        <v>6</v>
      </c>
      <c r="E469" t="str">
        <f>"8608732013"</f>
        <v>8608732013</v>
      </c>
    </row>
    <row r="470" spans="1:5" x14ac:dyDescent="0.3">
      <c r="A470" t="s">
        <v>283</v>
      </c>
      <c r="B470" t="str">
        <f>"2005 NORWICH NEW LONDON TPKE"</f>
        <v>2005 NORWICH NEW LONDON TPKE</v>
      </c>
      <c r="C470" t="s">
        <v>284</v>
      </c>
      <c r="D470" t="s">
        <v>6</v>
      </c>
      <c r="E470" t="str">
        <f>"8608483202"</f>
        <v>8608483202</v>
      </c>
    </row>
    <row r="471" spans="1:5" x14ac:dyDescent="0.3">
      <c r="A471" t="s">
        <v>482</v>
      </c>
      <c r="B471" t="str">
        <f>"2020 NORWICH NEW LONDON TPKE"</f>
        <v>2020 NORWICH NEW LONDON TPKE</v>
      </c>
      <c r="C471" t="s">
        <v>284</v>
      </c>
      <c r="D471" t="s">
        <v>6</v>
      </c>
      <c r="E471" t="str">
        <f>"8608486960"</f>
        <v>8608486960</v>
      </c>
    </row>
    <row r="472" spans="1:5" x14ac:dyDescent="0.3">
      <c r="A472" t="s">
        <v>578</v>
      </c>
      <c r="B472" t="str">
        <f>"601 ROUTE 32  #F"</f>
        <v>601 ROUTE 32  #F</v>
      </c>
      <c r="C472" t="s">
        <v>284</v>
      </c>
      <c r="D472" t="s">
        <v>6</v>
      </c>
      <c r="E472" t="str">
        <f>"8608487979"</f>
        <v>8608487979</v>
      </c>
    </row>
    <row r="473" spans="1:5" x14ac:dyDescent="0.3">
      <c r="A473" t="s">
        <v>198</v>
      </c>
      <c r="B473" t="str">
        <f>"45 S MAIN ST"</f>
        <v>45 S MAIN ST</v>
      </c>
      <c r="C473" t="s">
        <v>199</v>
      </c>
      <c r="D473" t="s">
        <v>6</v>
      </c>
      <c r="E473" t="str">
        <f>"8606759212"</f>
        <v>8606759212</v>
      </c>
    </row>
    <row r="474" spans="1:5" x14ac:dyDescent="0.3">
      <c r="A474" t="s">
        <v>489</v>
      </c>
      <c r="B474" t="str">
        <f>"1799 FARMINGTON AVE"</f>
        <v>1799 FARMINGTON AVE</v>
      </c>
      <c r="C474" t="s">
        <v>199</v>
      </c>
      <c r="D474" t="s">
        <v>6</v>
      </c>
      <c r="E474" t="str">
        <f>"8604040341"</f>
        <v>8604040341</v>
      </c>
    </row>
    <row r="475" spans="1:5" x14ac:dyDescent="0.3">
      <c r="A475" t="s">
        <v>146</v>
      </c>
      <c r="B475" t="str">
        <f>"142 TALCOTTVILLE RD"</f>
        <v>142 TALCOTTVILLE RD</v>
      </c>
      <c r="C475" t="s">
        <v>147</v>
      </c>
      <c r="D475" t="s">
        <v>6</v>
      </c>
      <c r="E475" t="str">
        <f>"8608721329"</f>
        <v>8608721329</v>
      </c>
    </row>
    <row r="476" spans="1:5" x14ac:dyDescent="0.3">
      <c r="A476" t="s">
        <v>403</v>
      </c>
      <c r="B476" t="str">
        <f>"35 TALCOTTVILLE RD"</f>
        <v>35 TALCOTTVILLE RD</v>
      </c>
      <c r="C476" t="s">
        <v>147</v>
      </c>
      <c r="D476" t="s">
        <v>6</v>
      </c>
      <c r="E476" t="str">
        <f>"8604542264"</f>
        <v>8604542264</v>
      </c>
    </row>
    <row r="477" spans="1:5" x14ac:dyDescent="0.3">
      <c r="A477" t="s">
        <v>419</v>
      </c>
      <c r="B477" t="str">
        <f>"50 WINDSORVILLE RD"</f>
        <v>50 WINDSORVILLE RD</v>
      </c>
      <c r="C477" t="s">
        <v>147</v>
      </c>
      <c r="D477" t="s">
        <v>6</v>
      </c>
      <c r="E477" t="str">
        <f>"8608710498"</f>
        <v>8608710498</v>
      </c>
    </row>
    <row r="478" spans="1:5" x14ac:dyDescent="0.3">
      <c r="A478" t="s">
        <v>431</v>
      </c>
      <c r="B478" t="str">
        <f>"10 PITKIN RD"</f>
        <v>10 PITKIN RD</v>
      </c>
      <c r="C478" t="s">
        <v>147</v>
      </c>
      <c r="D478" t="s">
        <v>6</v>
      </c>
      <c r="E478" t="str">
        <f>"8608711051"</f>
        <v>8608711051</v>
      </c>
    </row>
    <row r="479" spans="1:5" x14ac:dyDescent="0.3">
      <c r="A479" t="s">
        <v>261</v>
      </c>
      <c r="B479" t="str">
        <f>"22 WINDSOR AVE"</f>
        <v>22 WINDSOR AVE</v>
      </c>
      <c r="C479" t="s">
        <v>262</v>
      </c>
      <c r="D479" t="s">
        <v>6</v>
      </c>
      <c r="E479" t="str">
        <f>"8608706764"</f>
        <v>8608706764</v>
      </c>
    </row>
    <row r="480" spans="1:5" x14ac:dyDescent="0.3">
      <c r="A480" t="s">
        <v>576</v>
      </c>
      <c r="B480" t="str">
        <f>"188 UNION STREET"</f>
        <v>188 UNION STREET</v>
      </c>
      <c r="C480" t="s">
        <v>262</v>
      </c>
      <c r="D480" t="s">
        <v>6</v>
      </c>
      <c r="E480" t="str">
        <f>"8608961485"</f>
        <v>8608961485</v>
      </c>
    </row>
    <row r="481" spans="1:5" x14ac:dyDescent="0.3">
      <c r="A481" t="s">
        <v>606</v>
      </c>
      <c r="B481" t="str">
        <f>"529 TALCOTTVILLE RD"</f>
        <v>529 TALCOTTVILLE RD</v>
      </c>
      <c r="C481" t="s">
        <v>262</v>
      </c>
      <c r="D481" t="s">
        <v>6</v>
      </c>
      <c r="E481" t="str">
        <f>"8608716068"</f>
        <v>8608716068</v>
      </c>
    </row>
    <row r="482" spans="1:5" x14ac:dyDescent="0.3">
      <c r="A482" t="s">
        <v>128</v>
      </c>
      <c r="B482" t="str">
        <f>"156 CENTER STREET"</f>
        <v>156 CENTER STREET</v>
      </c>
      <c r="C482" t="s">
        <v>129</v>
      </c>
      <c r="D482" t="s">
        <v>6</v>
      </c>
      <c r="E482" t="str">
        <f>"2036269053"</f>
        <v>2036269053</v>
      </c>
    </row>
    <row r="483" spans="1:5" x14ac:dyDescent="0.3">
      <c r="A483" t="s">
        <v>192</v>
      </c>
      <c r="B483" t="str">
        <f>"891 N COLONY RD"</f>
        <v>891 N COLONY RD</v>
      </c>
      <c r="C483" t="s">
        <v>129</v>
      </c>
      <c r="D483" t="s">
        <v>6</v>
      </c>
      <c r="E483" t="str">
        <f>"2032948890"</f>
        <v>2032948890</v>
      </c>
    </row>
    <row r="484" spans="1:5" x14ac:dyDescent="0.3">
      <c r="A484" t="s">
        <v>404</v>
      </c>
      <c r="B484" t="str">
        <f>"848 N COLONY RD"</f>
        <v>848 N COLONY RD</v>
      </c>
      <c r="C484" t="s">
        <v>129</v>
      </c>
      <c r="D484" t="s">
        <v>6</v>
      </c>
      <c r="E484" t="str">
        <f>"2036267760"</f>
        <v>2036267760</v>
      </c>
    </row>
    <row r="485" spans="1:5" x14ac:dyDescent="0.3">
      <c r="A485" t="s">
        <v>453</v>
      </c>
      <c r="B485" t="str">
        <f>"930 NORTH COLONY RD"</f>
        <v>930 NORTH COLONY RD</v>
      </c>
      <c r="C485" t="s">
        <v>129</v>
      </c>
      <c r="D485" t="s">
        <v>6</v>
      </c>
      <c r="E485" t="str">
        <f>"2032656972"</f>
        <v>2032656972</v>
      </c>
    </row>
    <row r="486" spans="1:5" x14ac:dyDescent="0.3">
      <c r="A486" t="s">
        <v>538</v>
      </c>
      <c r="B486" t="str">
        <f>"284 S COLONY RD"</f>
        <v>284 S COLONY RD</v>
      </c>
      <c r="C486" t="s">
        <v>129</v>
      </c>
      <c r="D486" t="s">
        <v>6</v>
      </c>
      <c r="E486" t="str">
        <f>"2032656336"</f>
        <v>2032656336</v>
      </c>
    </row>
    <row r="487" spans="1:5" x14ac:dyDescent="0.3">
      <c r="A487" t="s">
        <v>645</v>
      </c>
      <c r="B487" t="str">
        <f>"844 N COLONY RD"</f>
        <v>844 N COLONY RD</v>
      </c>
      <c r="C487" t="s">
        <v>129</v>
      </c>
      <c r="D487" t="s">
        <v>6</v>
      </c>
      <c r="E487" t="str">
        <f>"2032696622"</f>
        <v>2032696622</v>
      </c>
    </row>
    <row r="488" spans="1:5" x14ac:dyDescent="0.3">
      <c r="A488" t="s">
        <v>120</v>
      </c>
      <c r="B488" t="str">
        <f>"155 THOMASTON AVE"</f>
        <v>155 THOMASTON AVE</v>
      </c>
      <c r="C488" t="s">
        <v>121</v>
      </c>
      <c r="D488" t="s">
        <v>6</v>
      </c>
      <c r="E488" t="str">
        <f>"2037545700"</f>
        <v>2037545700</v>
      </c>
    </row>
    <row r="489" spans="1:5" x14ac:dyDescent="0.3">
      <c r="A489" t="s">
        <v>125</v>
      </c>
      <c r="B489" t="str">
        <f>"1954 BALDWIN ST"</f>
        <v>1954 BALDWIN ST</v>
      </c>
      <c r="C489" t="s">
        <v>121</v>
      </c>
      <c r="D489" t="s">
        <v>6</v>
      </c>
      <c r="E489" t="str">
        <f>"2037534931"</f>
        <v>2037534931</v>
      </c>
    </row>
    <row r="490" spans="1:5" x14ac:dyDescent="0.3">
      <c r="A490" t="s">
        <v>226</v>
      </c>
      <c r="B490" t="str">
        <f>"464 REIDVILLE DR"</f>
        <v>464 REIDVILLE DR</v>
      </c>
      <c r="C490" t="s">
        <v>121</v>
      </c>
      <c r="D490" t="s">
        <v>6</v>
      </c>
      <c r="E490" t="str">
        <f>"2035960905"</f>
        <v>2035960905</v>
      </c>
    </row>
    <row r="491" spans="1:5" x14ac:dyDescent="0.3">
      <c r="A491" t="s">
        <v>251</v>
      </c>
      <c r="B491" t="str">
        <f>"1279 W MAIN ST"</f>
        <v>1279 W MAIN ST</v>
      </c>
      <c r="C491" t="s">
        <v>121</v>
      </c>
      <c r="D491" t="s">
        <v>6</v>
      </c>
      <c r="E491" t="str">
        <f>"2037555490"</f>
        <v>2037555490</v>
      </c>
    </row>
    <row r="492" spans="1:5" x14ac:dyDescent="0.3">
      <c r="A492" t="s">
        <v>265</v>
      </c>
      <c r="B492" t="str">
        <f>"526 MERIDEN RD"</f>
        <v>526 MERIDEN RD</v>
      </c>
      <c r="C492" t="s">
        <v>121</v>
      </c>
      <c r="D492" t="s">
        <v>6</v>
      </c>
      <c r="E492" t="str">
        <f>"2034657054"</f>
        <v>2034657054</v>
      </c>
    </row>
    <row r="493" spans="1:5" x14ac:dyDescent="0.3">
      <c r="A493" t="s">
        <v>273</v>
      </c>
      <c r="B493" t="str">
        <f>"2000 N MAIN ST"</f>
        <v>2000 N MAIN ST</v>
      </c>
      <c r="C493" t="s">
        <v>121</v>
      </c>
      <c r="D493" t="s">
        <v>6</v>
      </c>
      <c r="E493" t="str">
        <f>"2035913080"</f>
        <v>2035913080</v>
      </c>
    </row>
    <row r="494" spans="1:5" x14ac:dyDescent="0.3">
      <c r="A494" t="s">
        <v>306</v>
      </c>
      <c r="B494" t="str">
        <f>"284 COLONIAL AVE"</f>
        <v>284 COLONIAL AVE</v>
      </c>
      <c r="C494" t="s">
        <v>121</v>
      </c>
      <c r="D494" t="s">
        <v>6</v>
      </c>
      <c r="E494" t="str">
        <f>"2037540884"</f>
        <v>2037540884</v>
      </c>
    </row>
    <row r="495" spans="1:5" x14ac:dyDescent="0.3">
      <c r="A495" t="s">
        <v>327</v>
      </c>
      <c r="B495" t="str">
        <f>"156 BANK STREET"</f>
        <v>156 BANK STREET</v>
      </c>
      <c r="C495" t="s">
        <v>121</v>
      </c>
      <c r="D495" t="s">
        <v>6</v>
      </c>
      <c r="E495" t="str">
        <f>"2035759868"</f>
        <v>2035759868</v>
      </c>
    </row>
    <row r="496" spans="1:5" x14ac:dyDescent="0.3">
      <c r="A496" t="s">
        <v>344</v>
      </c>
      <c r="B496" t="str">
        <f>"317 E MAIN ST"</f>
        <v>317 E MAIN ST</v>
      </c>
      <c r="C496" t="s">
        <v>121</v>
      </c>
      <c r="D496" t="s">
        <v>6</v>
      </c>
      <c r="E496" t="str">
        <f>"2037570657"</f>
        <v>2037570657</v>
      </c>
    </row>
    <row r="497" spans="1:5" x14ac:dyDescent="0.3">
      <c r="A497" t="s">
        <v>353</v>
      </c>
      <c r="B497" t="str">
        <f>"229 WHITEWOOD RD"</f>
        <v>229 WHITEWOOD RD</v>
      </c>
      <c r="C497" t="s">
        <v>121</v>
      </c>
      <c r="D497" t="s">
        <v>6</v>
      </c>
      <c r="E497" t="str">
        <f>"2035738887"</f>
        <v>2035738887</v>
      </c>
    </row>
    <row r="498" spans="1:5" x14ac:dyDescent="0.3">
      <c r="A498" t="s">
        <v>361</v>
      </c>
      <c r="B498" t="str">
        <f>"323 WILLOW ST"</f>
        <v>323 WILLOW ST</v>
      </c>
      <c r="C498" t="s">
        <v>121</v>
      </c>
      <c r="D498" t="s">
        <v>6</v>
      </c>
      <c r="E498" t="str">
        <f>"2037538374"</f>
        <v>2037538374</v>
      </c>
    </row>
    <row r="499" spans="1:5" x14ac:dyDescent="0.3">
      <c r="A499" t="s">
        <v>383</v>
      </c>
      <c r="B499" t="str">
        <f>"153 HIGHLAND AVE"</f>
        <v>153 HIGHLAND AVE</v>
      </c>
      <c r="C499" t="s">
        <v>121</v>
      </c>
      <c r="D499" t="s">
        <v>6</v>
      </c>
      <c r="E499" t="str">
        <f>"2035919397"</f>
        <v>2035919397</v>
      </c>
    </row>
    <row r="500" spans="1:5" x14ac:dyDescent="0.3">
      <c r="A500" t="s">
        <v>386</v>
      </c>
      <c r="B500" t="str">
        <f>"205 UNION STREET"</f>
        <v>205 UNION STREET</v>
      </c>
      <c r="C500" t="s">
        <v>121</v>
      </c>
      <c r="D500" t="s">
        <v>6</v>
      </c>
      <c r="E500" t="str">
        <f>"2037540573"</f>
        <v>2037540573</v>
      </c>
    </row>
    <row r="501" spans="1:5" x14ac:dyDescent="0.3">
      <c r="A501" t="s">
        <v>436</v>
      </c>
      <c r="B501" t="str">
        <f>"410 REIDVILLE DR"</f>
        <v>410 REIDVILLE DR</v>
      </c>
      <c r="C501" t="s">
        <v>121</v>
      </c>
      <c r="D501" t="s">
        <v>6</v>
      </c>
      <c r="E501" t="str">
        <f>"2037558605"</f>
        <v>2037558605</v>
      </c>
    </row>
    <row r="502" spans="1:5" x14ac:dyDescent="0.3">
      <c r="A502" t="s">
        <v>479</v>
      </c>
      <c r="B502" t="str">
        <f>"920 WOLCOTT ST"</f>
        <v>920 WOLCOTT ST</v>
      </c>
      <c r="C502" t="s">
        <v>121</v>
      </c>
      <c r="D502" t="s">
        <v>6</v>
      </c>
      <c r="E502" t="str">
        <f>"2037559489"</f>
        <v>2037559489</v>
      </c>
    </row>
    <row r="503" spans="1:5" x14ac:dyDescent="0.3">
      <c r="A503" t="s">
        <v>483</v>
      </c>
      <c r="B503" t="str">
        <f>"240 CHASE AVE"</f>
        <v>240 CHASE AVE</v>
      </c>
      <c r="C503" t="s">
        <v>121</v>
      </c>
      <c r="D503" t="s">
        <v>6</v>
      </c>
      <c r="E503" t="str">
        <f>"2037564670"</f>
        <v>2037564670</v>
      </c>
    </row>
    <row r="504" spans="1:5" x14ac:dyDescent="0.3">
      <c r="A504" t="s">
        <v>585</v>
      </c>
      <c r="B504" t="str">
        <f>"649 W MAIN ST #2"</f>
        <v>649 W MAIN ST #2</v>
      </c>
      <c r="C504" t="s">
        <v>121</v>
      </c>
      <c r="D504" t="s">
        <v>6</v>
      </c>
      <c r="E504" t="str">
        <f>"2037576010"</f>
        <v>2037576010</v>
      </c>
    </row>
    <row r="505" spans="1:5" x14ac:dyDescent="0.3">
      <c r="A505" t="s">
        <v>604</v>
      </c>
      <c r="B505" t="str">
        <f>"11 MERIDEN RD"</f>
        <v>11 MERIDEN RD</v>
      </c>
      <c r="C505" t="s">
        <v>121</v>
      </c>
      <c r="D505" t="s">
        <v>6</v>
      </c>
      <c r="E505" t="str">
        <f>"2037571998"</f>
        <v>2037571998</v>
      </c>
    </row>
    <row r="506" spans="1:5" x14ac:dyDescent="0.3">
      <c r="A506" t="s">
        <v>652</v>
      </c>
      <c r="B506" t="str">
        <f>"701 COOKE ST"</f>
        <v>701 COOKE ST</v>
      </c>
      <c r="C506" t="s">
        <v>121</v>
      </c>
      <c r="D506" t="s">
        <v>6</v>
      </c>
      <c r="E506" t="str">
        <f>"2037574992"</f>
        <v>2037574992</v>
      </c>
    </row>
    <row r="507" spans="1:5" x14ac:dyDescent="0.3">
      <c r="A507" t="s">
        <v>240</v>
      </c>
      <c r="B507" t="str">
        <f>"106 BOSTON POST RD"</f>
        <v>106 BOSTON POST RD</v>
      </c>
      <c r="C507" t="s">
        <v>241</v>
      </c>
      <c r="D507" t="s">
        <v>6</v>
      </c>
      <c r="E507" t="str">
        <f>"8604432326"</f>
        <v>8604432326</v>
      </c>
    </row>
    <row r="508" spans="1:5" x14ac:dyDescent="0.3">
      <c r="A508" t="s">
        <v>475</v>
      </c>
      <c r="B508" t="str">
        <f>"117 BOSTON POST RD"</f>
        <v>117 BOSTON POST RD</v>
      </c>
      <c r="C508" t="s">
        <v>241</v>
      </c>
      <c r="D508" t="s">
        <v>6</v>
      </c>
      <c r="E508" t="str">
        <f>"8604442051"</f>
        <v>8604442051</v>
      </c>
    </row>
    <row r="509" spans="1:5" x14ac:dyDescent="0.3">
      <c r="A509" t="s">
        <v>507</v>
      </c>
      <c r="B509" t="str">
        <f>"900 HARTFORD TPKE"</f>
        <v>900 HARTFORD TPKE</v>
      </c>
      <c r="C509" t="s">
        <v>241</v>
      </c>
      <c r="D509" t="s">
        <v>6</v>
      </c>
      <c r="E509" t="str">
        <f>"8604423300"</f>
        <v>8604423300</v>
      </c>
    </row>
    <row r="510" spans="1:5" x14ac:dyDescent="0.3">
      <c r="A510" t="s">
        <v>644</v>
      </c>
      <c r="B510" t="str">
        <f>"155 WATERFORD PKWY N"</f>
        <v>155 WATERFORD PKWY N</v>
      </c>
      <c r="C510" t="s">
        <v>241</v>
      </c>
      <c r="D510" t="s">
        <v>6</v>
      </c>
      <c r="E510" t="str">
        <f>"8604473646"</f>
        <v>8604473646</v>
      </c>
    </row>
    <row r="511" spans="1:5" x14ac:dyDescent="0.3">
      <c r="A511" t="s">
        <v>21</v>
      </c>
      <c r="B511" t="str">
        <f>"1167 MAIN ST"</f>
        <v>1167 MAIN ST</v>
      </c>
      <c r="C511" t="s">
        <v>22</v>
      </c>
      <c r="D511" t="s">
        <v>6</v>
      </c>
      <c r="E511" t="str">
        <f>"8602742672"</f>
        <v>8602742672</v>
      </c>
    </row>
    <row r="512" spans="1:5" x14ac:dyDescent="0.3">
      <c r="A512" t="s">
        <v>468</v>
      </c>
      <c r="B512" t="str">
        <f>"763 STRAITS TPKE"</f>
        <v>763 STRAITS TPKE</v>
      </c>
      <c r="C512" t="s">
        <v>22</v>
      </c>
      <c r="D512" t="s">
        <v>6</v>
      </c>
      <c r="E512" t="str">
        <f>"8602747459"</f>
        <v>8602747459</v>
      </c>
    </row>
    <row r="513" spans="1:5" x14ac:dyDescent="0.3">
      <c r="A513" t="s">
        <v>566</v>
      </c>
      <c r="B513" t="str">
        <f>"620 MAIN STREET"</f>
        <v>620 MAIN STREET</v>
      </c>
      <c r="C513" t="s">
        <v>22</v>
      </c>
      <c r="D513" t="s">
        <v>6</v>
      </c>
      <c r="E513" t="str">
        <f>"8602747559"</f>
        <v>8602747559</v>
      </c>
    </row>
    <row r="514" spans="1:5" x14ac:dyDescent="0.3">
      <c r="A514" t="s">
        <v>570</v>
      </c>
      <c r="B514" t="str">
        <f>"1271 MAIN STREET"</f>
        <v>1271 MAIN STREET</v>
      </c>
      <c r="C514" t="s">
        <v>22</v>
      </c>
      <c r="D514" t="s">
        <v>6</v>
      </c>
      <c r="E514" t="str">
        <f>"8602749191"</f>
        <v>8602749191</v>
      </c>
    </row>
    <row r="515" spans="1:5" x14ac:dyDescent="0.3">
      <c r="A515" t="s">
        <v>59</v>
      </c>
      <c r="B515" t="str">
        <f>"772 N MAIN ST"</f>
        <v>772 N MAIN ST</v>
      </c>
      <c r="C515" t="s">
        <v>60</v>
      </c>
      <c r="D515" t="s">
        <v>6</v>
      </c>
      <c r="E515" t="str">
        <f>"8602361505"</f>
        <v>8602361505</v>
      </c>
    </row>
    <row r="516" spans="1:5" x14ac:dyDescent="0.3">
      <c r="A516" t="s">
        <v>166</v>
      </c>
      <c r="B516" t="str">
        <f>"1099 NEW BRITAIN AVE"</f>
        <v>1099 NEW BRITAIN AVE</v>
      </c>
      <c r="C516" t="s">
        <v>60</v>
      </c>
      <c r="D516" t="s">
        <v>6</v>
      </c>
      <c r="E516" t="str">
        <f>"8605238134"</f>
        <v>8605238134</v>
      </c>
    </row>
    <row r="517" spans="1:5" x14ac:dyDescent="0.3">
      <c r="A517" t="s">
        <v>230</v>
      </c>
      <c r="B517" t="str">
        <f>"1240 FARMINGTON AVE"</f>
        <v>1240 FARMINGTON AVE</v>
      </c>
      <c r="C517" t="s">
        <v>60</v>
      </c>
      <c r="D517" t="s">
        <v>6</v>
      </c>
      <c r="E517" t="str">
        <f>"8605219877"</f>
        <v>8605219877</v>
      </c>
    </row>
    <row r="518" spans="1:5" x14ac:dyDescent="0.3">
      <c r="A518" t="s">
        <v>268</v>
      </c>
      <c r="B518" t="str">
        <f>"150 S MAIN ST"</f>
        <v>150 S MAIN ST</v>
      </c>
      <c r="C518" t="s">
        <v>60</v>
      </c>
      <c r="D518" t="s">
        <v>6</v>
      </c>
      <c r="E518" t="str">
        <f>"8605616162"</f>
        <v>8605616162</v>
      </c>
    </row>
    <row r="519" spans="1:5" x14ac:dyDescent="0.3">
      <c r="A519" t="s">
        <v>377</v>
      </c>
      <c r="B519" t="str">
        <f>"983 NEW BRITAIN AVE"</f>
        <v>983 NEW BRITAIN AVE</v>
      </c>
      <c r="C519" t="s">
        <v>60</v>
      </c>
      <c r="D519" t="s">
        <v>6</v>
      </c>
      <c r="E519" t="str">
        <f>"8609535816"</f>
        <v>8609535816</v>
      </c>
    </row>
    <row r="520" spans="1:5" x14ac:dyDescent="0.3">
      <c r="A520" t="s">
        <v>410</v>
      </c>
      <c r="B520" t="str">
        <f>"176 NEWINGTON RD"</f>
        <v>176 NEWINGTON RD</v>
      </c>
      <c r="C520" t="s">
        <v>60</v>
      </c>
      <c r="D520" t="s">
        <v>6</v>
      </c>
      <c r="E520" t="str">
        <f>"8602318082"</f>
        <v>8602318082</v>
      </c>
    </row>
    <row r="521" spans="1:5" x14ac:dyDescent="0.3">
      <c r="A521" t="s">
        <v>484</v>
      </c>
      <c r="B521" t="str">
        <f>"1235 FARMINGTON AVE"</f>
        <v>1235 FARMINGTON AVE</v>
      </c>
      <c r="C521" t="s">
        <v>60</v>
      </c>
      <c r="D521" t="s">
        <v>6</v>
      </c>
      <c r="E521" t="str">
        <f>"8605215010"</f>
        <v>8605215010</v>
      </c>
    </row>
    <row r="522" spans="1:5" x14ac:dyDescent="0.3">
      <c r="A522" t="s">
        <v>552</v>
      </c>
      <c r="B522" t="str">
        <f>"668 FARMINGTON AVE"</f>
        <v>668 FARMINGTON AVE</v>
      </c>
      <c r="C522" t="s">
        <v>60</v>
      </c>
      <c r="D522" t="s">
        <v>6</v>
      </c>
      <c r="E522" t="str">
        <f>"8605235849"</f>
        <v>8605235849</v>
      </c>
    </row>
    <row r="523" spans="1:5" x14ac:dyDescent="0.3">
      <c r="A523" t="s">
        <v>568</v>
      </c>
      <c r="B523" t="str">
        <f>"324 N MAIN STREET"</f>
        <v>324 N MAIN STREET</v>
      </c>
      <c r="C523" t="s">
        <v>60</v>
      </c>
      <c r="D523" t="s">
        <v>6</v>
      </c>
      <c r="E523" t="str">
        <f>"8602361988"</f>
        <v>8602361988</v>
      </c>
    </row>
    <row r="524" spans="1:5" x14ac:dyDescent="0.3">
      <c r="A524" t="s">
        <v>193</v>
      </c>
      <c r="B524" t="str">
        <f>"844 JONES HILL RD"</f>
        <v>844 JONES HILL RD</v>
      </c>
      <c r="C524" t="s">
        <v>194</v>
      </c>
      <c r="D524" t="s">
        <v>6</v>
      </c>
      <c r="E524" t="str">
        <f>"2039335499"</f>
        <v>2039335499</v>
      </c>
    </row>
    <row r="525" spans="1:5" x14ac:dyDescent="0.3">
      <c r="A525" t="s">
        <v>287</v>
      </c>
      <c r="B525" t="str">
        <f>"355 CAMPBELL AVE"</f>
        <v>355 CAMPBELL AVE</v>
      </c>
      <c r="C525" t="s">
        <v>194</v>
      </c>
      <c r="D525" t="s">
        <v>6</v>
      </c>
      <c r="E525" t="str">
        <f>"2039311190"</f>
        <v>2039311190</v>
      </c>
    </row>
    <row r="526" spans="1:5" x14ac:dyDescent="0.3">
      <c r="A526" t="s">
        <v>335</v>
      </c>
      <c r="B526" t="str">
        <f>"911 CAMPBELL AVE"</f>
        <v>911 CAMPBELL AVE</v>
      </c>
      <c r="C526" t="s">
        <v>194</v>
      </c>
      <c r="D526" t="s">
        <v>6</v>
      </c>
      <c r="E526" t="str">
        <f>"2039321416"</f>
        <v>2039321416</v>
      </c>
    </row>
    <row r="527" spans="1:5" x14ac:dyDescent="0.3">
      <c r="A527" t="s">
        <v>496</v>
      </c>
      <c r="B527" t="str">
        <f>"460 ELM ST"</f>
        <v>460 ELM ST</v>
      </c>
      <c r="C527" t="s">
        <v>194</v>
      </c>
      <c r="D527" t="s">
        <v>6</v>
      </c>
      <c r="E527" t="str">
        <f>"2039318843"</f>
        <v>2039318843</v>
      </c>
    </row>
    <row r="528" spans="1:5" x14ac:dyDescent="0.3">
      <c r="A528" t="s">
        <v>614</v>
      </c>
      <c r="B528" t="str">
        <f>"394 CAMPBELL AVE"</f>
        <v>394 CAMPBELL AVE</v>
      </c>
      <c r="C528" t="s">
        <v>194</v>
      </c>
      <c r="D528" t="s">
        <v>6</v>
      </c>
      <c r="E528" t="str">
        <f>"2039329311"</f>
        <v>2039329311</v>
      </c>
    </row>
    <row r="529" spans="1:5" x14ac:dyDescent="0.3">
      <c r="A529" t="s">
        <v>637</v>
      </c>
      <c r="B529" t="str">
        <f>"515 SAWMILL RD"</f>
        <v>515 SAWMILL RD</v>
      </c>
      <c r="C529" t="s">
        <v>194</v>
      </c>
      <c r="D529" t="s">
        <v>6</v>
      </c>
      <c r="E529" t="str">
        <f>"2039312081"</f>
        <v>2039312081</v>
      </c>
    </row>
    <row r="530" spans="1:5" x14ac:dyDescent="0.3">
      <c r="A530" t="s">
        <v>532</v>
      </c>
      <c r="B530" t="str">
        <f>"1211 BOSTON POST RD"</f>
        <v>1211 BOSTON POST RD</v>
      </c>
      <c r="C530" t="s">
        <v>533</v>
      </c>
      <c r="D530" t="s">
        <v>6</v>
      </c>
      <c r="E530" t="str">
        <f>"8603996899"</f>
        <v>8603996899</v>
      </c>
    </row>
    <row r="531" spans="1:5" x14ac:dyDescent="0.3">
      <c r="A531" t="s">
        <v>163</v>
      </c>
      <c r="B531" t="str">
        <f>"397 POST RD E"</f>
        <v>397 POST RD E</v>
      </c>
      <c r="C531" t="s">
        <v>164</v>
      </c>
      <c r="D531" t="s">
        <v>6</v>
      </c>
      <c r="E531" t="str">
        <f>"2032277343"</f>
        <v>2032277343</v>
      </c>
    </row>
    <row r="532" spans="1:5" x14ac:dyDescent="0.3">
      <c r="A532" t="s">
        <v>465</v>
      </c>
      <c r="B532" t="str">
        <f>"1790 POST RD E"</f>
        <v>1790 POST RD E</v>
      </c>
      <c r="C532" t="s">
        <v>164</v>
      </c>
      <c r="D532" t="s">
        <v>6</v>
      </c>
      <c r="E532" t="str">
        <f>"2032548484"</f>
        <v>2032548484</v>
      </c>
    </row>
    <row r="533" spans="1:5" x14ac:dyDescent="0.3">
      <c r="A533" t="s">
        <v>609</v>
      </c>
      <c r="B533" t="str">
        <f>"880 POST RD. E."</f>
        <v>880 POST RD. E.</v>
      </c>
      <c r="C533" t="s">
        <v>164</v>
      </c>
      <c r="D533" t="s">
        <v>6</v>
      </c>
      <c r="E533" t="str">
        <f>"2032268452"</f>
        <v>2032268452</v>
      </c>
    </row>
    <row r="534" spans="1:5" x14ac:dyDescent="0.3">
      <c r="A534" t="s">
        <v>152</v>
      </c>
      <c r="B534" t="str">
        <f>"1078 SILAS DEANE HWY"</f>
        <v>1078 SILAS DEANE HWY</v>
      </c>
      <c r="C534" t="s">
        <v>153</v>
      </c>
      <c r="D534" t="s">
        <v>6</v>
      </c>
      <c r="E534" t="str">
        <f>"8605297387"</f>
        <v>8605297387</v>
      </c>
    </row>
    <row r="535" spans="1:5" x14ac:dyDescent="0.3">
      <c r="A535" t="s">
        <v>378</v>
      </c>
      <c r="B535" t="str">
        <f>"160 SILAS DEANE HWY"</f>
        <v>160 SILAS DEANE HWY</v>
      </c>
      <c r="C535" t="s">
        <v>153</v>
      </c>
      <c r="D535" t="s">
        <v>6</v>
      </c>
      <c r="E535" t="str">
        <f>"8605632229"</f>
        <v>8605632229</v>
      </c>
    </row>
    <row r="536" spans="1:5" x14ac:dyDescent="0.3">
      <c r="A536" t="s">
        <v>429</v>
      </c>
      <c r="B536" t="str">
        <f>"1380 BERLIN TPKE"</f>
        <v>1380 BERLIN TPKE</v>
      </c>
      <c r="C536" t="s">
        <v>153</v>
      </c>
      <c r="D536" t="s">
        <v>6</v>
      </c>
      <c r="E536" t="str">
        <f>"8609563800"</f>
        <v>8609563800</v>
      </c>
    </row>
    <row r="537" spans="1:5" x14ac:dyDescent="0.3">
      <c r="A537" t="s">
        <v>591</v>
      </c>
      <c r="B537" t="str">
        <f>"1100 SILAS DEANE HWY"</f>
        <v>1100 SILAS DEANE HWY</v>
      </c>
      <c r="C537" t="s">
        <v>153</v>
      </c>
      <c r="D537" t="s">
        <v>6</v>
      </c>
      <c r="E537" t="str">
        <f>"8607217224"</f>
        <v>8607217224</v>
      </c>
    </row>
    <row r="538" spans="1:5" x14ac:dyDescent="0.3">
      <c r="A538" t="s">
        <v>122</v>
      </c>
      <c r="B538" t="str">
        <f>"79 MAIN ST"</f>
        <v>79 MAIN ST</v>
      </c>
      <c r="C538" t="s">
        <v>123</v>
      </c>
      <c r="D538" t="s">
        <v>6</v>
      </c>
      <c r="E538" t="str">
        <f>"8604568883"</f>
        <v>8604568883</v>
      </c>
    </row>
    <row r="539" spans="1:5" x14ac:dyDescent="0.3">
      <c r="A539" t="s">
        <v>197</v>
      </c>
      <c r="B539" t="str">
        <f>"1200 MAIN ST"</f>
        <v>1200 MAIN ST</v>
      </c>
      <c r="C539" t="s">
        <v>123</v>
      </c>
      <c r="D539" t="s">
        <v>6</v>
      </c>
      <c r="E539" t="str">
        <f>"8604561337"</f>
        <v>8604561337</v>
      </c>
    </row>
    <row r="540" spans="1:5" x14ac:dyDescent="0.3">
      <c r="A540" t="s">
        <v>478</v>
      </c>
      <c r="B540" t="str">
        <f>"1391 MAIN ST"</f>
        <v>1391 MAIN ST</v>
      </c>
      <c r="C540" t="s">
        <v>123</v>
      </c>
      <c r="D540" t="s">
        <v>6</v>
      </c>
      <c r="E540" t="str">
        <f>"8604568768"</f>
        <v>8604568768</v>
      </c>
    </row>
    <row r="541" spans="1:5" x14ac:dyDescent="0.3">
      <c r="A541" t="s">
        <v>611</v>
      </c>
      <c r="B541" t="str">
        <f>"1475 MAIN STREET"</f>
        <v>1475 MAIN STREET</v>
      </c>
      <c r="C541" t="s">
        <v>123</v>
      </c>
      <c r="D541" t="s">
        <v>6</v>
      </c>
      <c r="E541" t="str">
        <f>"8604236304"</f>
        <v>8604236304</v>
      </c>
    </row>
    <row r="542" spans="1:5" x14ac:dyDescent="0.3">
      <c r="A542" t="s">
        <v>654</v>
      </c>
      <c r="B542" t="str">
        <f>"18 BOSTON POST RD"</f>
        <v>18 BOSTON POST RD</v>
      </c>
      <c r="C542" t="s">
        <v>123</v>
      </c>
      <c r="D542" t="s">
        <v>6</v>
      </c>
      <c r="E542" t="str">
        <f>"8604500509"</f>
        <v>8604500509</v>
      </c>
    </row>
    <row r="543" spans="1:5" x14ac:dyDescent="0.3">
      <c r="A543" t="s">
        <v>656</v>
      </c>
      <c r="B543" t="str">
        <f>"422 WINDHAM RD"</f>
        <v>422 WINDHAM RD</v>
      </c>
      <c r="C543" t="s">
        <v>123</v>
      </c>
      <c r="D543" t="s">
        <v>6</v>
      </c>
      <c r="E543" t="str">
        <f>"8604233056"</f>
        <v>8604233056</v>
      </c>
    </row>
    <row r="544" spans="1:5" x14ac:dyDescent="0.3">
      <c r="A544" t="s">
        <v>469</v>
      </c>
      <c r="B544" t="str">
        <f>"5 RIVER RD"</f>
        <v>5 RIVER RD</v>
      </c>
      <c r="C544" t="s">
        <v>470</v>
      </c>
      <c r="D544" t="s">
        <v>6</v>
      </c>
      <c r="E544" t="str">
        <f>"2038340283"</f>
        <v>2038340283</v>
      </c>
    </row>
    <row r="545" spans="1:5" x14ac:dyDescent="0.3">
      <c r="A545" t="s">
        <v>154</v>
      </c>
      <c r="B545" t="str">
        <f>"484 WINDSOR AVE"</f>
        <v>484 WINDSOR AVE</v>
      </c>
      <c r="C545" t="s">
        <v>155</v>
      </c>
      <c r="D545" t="s">
        <v>6</v>
      </c>
      <c r="E545" t="str">
        <f>"8609475076"</f>
        <v>8609475076</v>
      </c>
    </row>
    <row r="546" spans="1:5" x14ac:dyDescent="0.3">
      <c r="A546" t="s">
        <v>231</v>
      </c>
      <c r="B546" t="str">
        <f>"219 BROAD ST"</f>
        <v>219 BROAD ST</v>
      </c>
      <c r="C546" t="s">
        <v>155</v>
      </c>
      <c r="D546" t="s">
        <v>6</v>
      </c>
      <c r="E546" t="str">
        <f>"8602985924"</f>
        <v>8602985924</v>
      </c>
    </row>
    <row r="547" spans="1:5" x14ac:dyDescent="0.3">
      <c r="A547" t="s">
        <v>314</v>
      </c>
      <c r="B547" t="str">
        <f>"318 BROAD ST"</f>
        <v>318 BROAD ST</v>
      </c>
      <c r="C547" t="s">
        <v>155</v>
      </c>
      <c r="D547" t="s">
        <v>6</v>
      </c>
      <c r="E547" t="str">
        <f>"8606888867"</f>
        <v>8606888867</v>
      </c>
    </row>
    <row r="548" spans="1:5" x14ac:dyDescent="0.3">
      <c r="A548" t="s">
        <v>367</v>
      </c>
      <c r="B548" t="str">
        <f>"675 POQUONOCK AVE"</f>
        <v>675 POQUONOCK AVE</v>
      </c>
      <c r="C548" t="s">
        <v>155</v>
      </c>
      <c r="D548" t="s">
        <v>6</v>
      </c>
      <c r="E548" t="str">
        <f>"8606871411"</f>
        <v>8606871411</v>
      </c>
    </row>
    <row r="549" spans="1:5" x14ac:dyDescent="0.3">
      <c r="A549" t="s">
        <v>379</v>
      </c>
      <c r="B549" t="str">
        <f>"590 WINDSOR AVE"</f>
        <v>590 WINDSOR AVE</v>
      </c>
      <c r="C549" t="s">
        <v>155</v>
      </c>
      <c r="D549" t="s">
        <v>6</v>
      </c>
      <c r="E549" t="str">
        <f>"8606838688"</f>
        <v>8606838688</v>
      </c>
    </row>
    <row r="550" spans="1:5" x14ac:dyDescent="0.3">
      <c r="A550" t="s">
        <v>437</v>
      </c>
      <c r="B550" t="str">
        <f>"1095 KENNEDY RD"</f>
        <v>1095 KENNEDY RD</v>
      </c>
      <c r="C550" t="s">
        <v>155</v>
      </c>
      <c r="D550" t="s">
        <v>6</v>
      </c>
      <c r="E550" t="str">
        <f>"8606880860"</f>
        <v>8606880860</v>
      </c>
    </row>
    <row r="551" spans="1:5" x14ac:dyDescent="0.3">
      <c r="A551" t="s">
        <v>213</v>
      </c>
      <c r="B551" t="str">
        <f>"90 MAIN ST"</f>
        <v>90 MAIN ST</v>
      </c>
      <c r="C551" t="s">
        <v>214</v>
      </c>
      <c r="D551" t="s">
        <v>6</v>
      </c>
      <c r="E551" t="str">
        <f>"8606541650"</f>
        <v>8606541650</v>
      </c>
    </row>
    <row r="552" spans="1:5" x14ac:dyDescent="0.3">
      <c r="A552" t="s">
        <v>625</v>
      </c>
      <c r="B552" t="str">
        <f>"1 ELM STREET"</f>
        <v>1 ELM STREET</v>
      </c>
      <c r="C552" t="s">
        <v>214</v>
      </c>
      <c r="D552" t="s">
        <v>6</v>
      </c>
      <c r="E552" t="str">
        <f>"8602921751"</f>
        <v>8602921751</v>
      </c>
    </row>
    <row r="553" spans="1:5" x14ac:dyDescent="0.3">
      <c r="A553" t="s">
        <v>281</v>
      </c>
      <c r="B553" t="str">
        <f>"47 MAIN ST"</f>
        <v>47 MAIN ST</v>
      </c>
      <c r="C553" t="s">
        <v>282</v>
      </c>
      <c r="D553" t="s">
        <v>6</v>
      </c>
      <c r="E553" t="str">
        <f>"8607386250"</f>
        <v>8607386250</v>
      </c>
    </row>
    <row r="554" spans="1:5" x14ac:dyDescent="0.3">
      <c r="A554" t="s">
        <v>443</v>
      </c>
      <c r="B554" t="str">
        <f>"200 NEW HARTFORD RD"</f>
        <v>200 NEW HARTFORD RD</v>
      </c>
      <c r="C554" t="s">
        <v>282</v>
      </c>
      <c r="D554" t="s">
        <v>6</v>
      </c>
      <c r="E554" t="str">
        <f>"8603799995"</f>
        <v>8603799995</v>
      </c>
    </row>
    <row r="555" spans="1:5" x14ac:dyDescent="0.3">
      <c r="A555" t="s">
        <v>650</v>
      </c>
      <c r="B555" t="str">
        <f>"1786 MERIDEN RD"</f>
        <v>1786 MERIDEN RD</v>
      </c>
      <c r="C555" t="s">
        <v>651</v>
      </c>
      <c r="D555" t="s">
        <v>6</v>
      </c>
      <c r="E555" t="str">
        <f>"2038792580"</f>
        <v>2038792580</v>
      </c>
    </row>
  </sheetData>
  <autoFilter ref="A1:E555" xr:uid="{00000000-0009-0000-0000-000000000000}">
    <sortState xmlns:xlrd2="http://schemas.microsoft.com/office/spreadsheetml/2017/richdata2" ref="A2:E555">
      <sortCondition ref="C2:C555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Auth Vendor By Town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Marszalek, Eric</dc:creator>
  <cp:lastModifiedBy>Marszalek, Eric</cp:lastModifiedBy>
  <dcterms:created xsi:type="dcterms:W3CDTF">2024-01-10T16:23:03Z</dcterms:created>
  <dcterms:modified xsi:type="dcterms:W3CDTF">2024-01-10T16:27:27Z</dcterms:modified>
</cp:coreProperties>
</file>