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firstSheet="3" activeTab="8"/>
  </bookViews>
  <sheets>
    <sheet name="Emissionsctual Nox" sheetId="1" r:id="rId1"/>
    <sheet name="Actual SO Trendby Unit" sheetId="2" r:id="rId2"/>
    <sheet name="EmissionsSO2Actual" sheetId="3" r:id="rId3"/>
    <sheet name="ACTSO2" sheetId="4" r:id="rId4"/>
    <sheet name="POTSO2" sheetId="5" r:id="rId5"/>
    <sheet name="POTSO2tpd" sheetId="6" r:id="rId6"/>
    <sheet name="ACTNOx" sheetId="7" r:id="rId7"/>
    <sheet name="POTNOx" sheetId="8" r:id="rId8"/>
    <sheet name="Summary of Alt BART" sheetId="9" r:id="rId9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<sst xmlns="http://schemas.openxmlformats.org/spreadsheetml/2006/main" count="1423" uniqueCount="308">
  <si>
    <t>Post-2002 NOx Budget Program unit/Location</t>
  </si>
  <si>
    <t>2002 SO2 Emissions (tpy)</t>
  </si>
  <si>
    <t>Acid Rain Program unit?</t>
  </si>
  <si>
    <t>AES Thames, Unit A, Montville</t>
  </si>
  <si>
    <t>No</t>
  </si>
  <si>
    <t>AES Thames, Unit B, Montville</t>
  </si>
  <si>
    <t>Algonquin Power Windsor Locks, LLC, Windsor Locks</t>
  </si>
  <si>
    <t>Connecticut Jet Power, Branford</t>
  </si>
  <si>
    <t>Bridgeport Energy 1, Bridgeport</t>
  </si>
  <si>
    <t>Yes</t>
  </si>
  <si>
    <t>Bridgeport Energy 2, Bridgeport</t>
  </si>
  <si>
    <t>PSEG Power Connecticut LLC, Unit 2, Bridgeport</t>
  </si>
  <si>
    <t>PSEG Power Connecticut LLC, Unit 3, Bridgeport</t>
  </si>
  <si>
    <t>PSEG Power Connecticut LLC, Unit 4, Bridgeport</t>
  </si>
  <si>
    <t>Capitol District Energy Center, Hartford</t>
  </si>
  <si>
    <t>Cascades Boxboard Group - Connecticut LLC, Versailles</t>
  </si>
  <si>
    <t>Connecticut Jet Power, Cos Cob 10, Greenwich</t>
  </si>
  <si>
    <t>Connecticut Jet Power, Cos Cob 11, Greenwich</t>
  </si>
  <si>
    <t>Connecticut Jet Power, Cos Cob 12, Greenwich</t>
  </si>
  <si>
    <t>Devon Power LLC, Unit 7, Milford</t>
  </si>
  <si>
    <t>Devon Power LLC, Unit 8, Milford</t>
  </si>
  <si>
    <t>Devon Power LLC, Unit 10, Milford</t>
  </si>
  <si>
    <t>Devon Power LLC, Unit 11, Milford</t>
  </si>
  <si>
    <t>Devon Power LLC, Unit 12, Milford</t>
  </si>
  <si>
    <t>Devon Power LLC, Unit 13, Milford</t>
  </si>
  <si>
    <t>Devon Power LLC, Unit 14, Milford</t>
  </si>
  <si>
    <t>Connecticut Jet Power, Franklin Drive, Torrington</t>
  </si>
  <si>
    <t>Lake Road Generating Company 1, Killingly</t>
  </si>
  <si>
    <t>Lake Road Generating Company 2, Killingly</t>
  </si>
  <si>
    <t>Lake Road Generating Company 3, Killingly</t>
  </si>
  <si>
    <t>Middletown Power LLC, Unit 2, Middletown</t>
  </si>
  <si>
    <t>Middletown Power LLC, Unit 3, Middletown</t>
  </si>
  <si>
    <t>Middletown Power LLC, Unit 4, Middletown</t>
  </si>
  <si>
    <t>Middletown Power LLC, Unit 10, Middletown</t>
  </si>
  <si>
    <t>Milford Power Company LLC 1, Milford</t>
  </si>
  <si>
    <t>Milford Power Company LLC 2, Milford</t>
  </si>
  <si>
    <t>Montville Power LLC, Unit 5, Montville</t>
  </si>
  <si>
    <t>Montville Power LLC, Unit 6, Montville</t>
  </si>
  <si>
    <t>PSEG Power Connecticut LLC, Unit 1, New Haven</t>
  </si>
  <si>
    <t>Norwalk Power LLC, Unit 1, Norwalk</t>
  </si>
  <si>
    <t>Norwalk Power LLC, Unit 2, Norwalk</t>
  </si>
  <si>
    <t>Norwalk Power LLC, Unit 10, Norwalk</t>
  </si>
  <si>
    <t>Norwich DPUC, Norwich</t>
  </si>
  <si>
    <t>Pfizer Inc, Boiler 5, Groton</t>
  </si>
  <si>
    <t>Pfizer Inc, Boiler 8, Groton</t>
  </si>
  <si>
    <t>Pratt &amp; Whitney Cogen, East Hartford</t>
  </si>
  <si>
    <t>CRRA, South Meadow 11A, Hartford</t>
  </si>
  <si>
    <t>CRRA, South Meadow 11B, Hartford</t>
  </si>
  <si>
    <t>CRRA, South Meadow 12A, Hartford</t>
  </si>
  <si>
    <t>CRRA, South Meadow 12B, Hartford</t>
  </si>
  <si>
    <t>CRRA, South Meadow 13A, Hartford</t>
  </si>
  <si>
    <t>CRRA, South Meadow 13B, Hartford</t>
  </si>
  <si>
    <t>CRRA, South Meadow 14A, Hartford</t>
  </si>
  <si>
    <t>CRRA, South Meadow 14B, Hartford</t>
  </si>
  <si>
    <t>Connecticut Jet Power, Torrington Terminal, Torrington</t>
  </si>
  <si>
    <t>FirstLight Power Resources Services, Tunnel, Preston</t>
  </si>
  <si>
    <t>Wallingford Energy 1, Wallingford</t>
  </si>
  <si>
    <t>Wallingford Energy 2, Wallingford</t>
  </si>
  <si>
    <t>Wallingford Energy 3, Wallingford</t>
  </si>
  <si>
    <t>Wallingford Energy 4, Wallingford</t>
  </si>
  <si>
    <t>Wallingford Energy 5, Wallingford</t>
  </si>
  <si>
    <t>Waterside Power 4, Stamford</t>
  </si>
  <si>
    <t>Waterside Power 5, Stamford</t>
  </si>
  <si>
    <t>Waterside Power 7, Stamford</t>
  </si>
  <si>
    <t>TOTALS</t>
  </si>
  <si>
    <t>2002 NOx Emissions (tpy)</t>
  </si>
  <si>
    <t>2006 SO2 Emissions (tpy)</t>
  </si>
  <si>
    <t>2001 SO2 Emissions (tpy)</t>
  </si>
  <si>
    <t>NA</t>
  </si>
  <si>
    <t>1994 NOx Emissions (tpy)</t>
  </si>
  <si>
    <t>2006 NOx Emissions (tpy)</t>
  </si>
  <si>
    <t>2001 SO2 Emissions (tpd)</t>
  </si>
  <si>
    <t>2006 SO2 Emissions (tpd)</t>
  </si>
  <si>
    <t>2002 SO2 Emissions (tpd)</t>
  </si>
  <si>
    <t>2011 NOx Emissions (tpy)</t>
  </si>
  <si>
    <t>Connecticut Jet Power, Cos Cob 13, Greenwich</t>
  </si>
  <si>
    <t>Connecticut Jet Power, Cos Cob 14, Greenwich</t>
  </si>
  <si>
    <t>Devon Power LLC, Unit 15, Milford</t>
  </si>
  <si>
    <t>Devon Power LLC, Unit 16, Milford</t>
  </si>
  <si>
    <t>Devon Power LLC, Unit 17, Milford</t>
  </si>
  <si>
    <t>Devon Power LLC, Unit 18, Milford</t>
  </si>
  <si>
    <t>Kleen Energy, U1, Middletown</t>
  </si>
  <si>
    <t>Kleen Energy, U2, Middletown</t>
  </si>
  <si>
    <t>Middletown Power LLC, Unit 12, Middletown</t>
  </si>
  <si>
    <t>Middletown Power LLC, Unit 13, Middletown</t>
  </si>
  <si>
    <t>Middletown Power LLC, Unit 14, Middletown</t>
  </si>
  <si>
    <t>Fusion Paperboard, PFI Boiler, Versailles</t>
  </si>
  <si>
    <t>Waterbury Generation, Waterbury</t>
  </si>
  <si>
    <t>Alfred A. Pierce, Wallingford</t>
  </si>
  <si>
    <t>NA (Retired 2007)</t>
  </si>
  <si>
    <t>Middletown Power LLC, Unit 15, Middletown</t>
  </si>
  <si>
    <t>NA (Retired 2008)</t>
  </si>
  <si>
    <t>1.9*</t>
  </si>
  <si>
    <t>0.3*</t>
  </si>
  <si>
    <t>2.6*</t>
  </si>
  <si>
    <t>2011 SO2 Emissions (tpy)</t>
  </si>
  <si>
    <t>Devon Power, LLC, Unit 18, Milford</t>
  </si>
  <si>
    <t>0.00001774*</t>
  </si>
  <si>
    <t>0.0000178*</t>
  </si>
  <si>
    <t>0.00001725*</t>
  </si>
  <si>
    <t>New Haven</t>
  </si>
  <si>
    <t>Hartford</t>
  </si>
  <si>
    <t>Branford</t>
  </si>
  <si>
    <t>Middletown</t>
  </si>
  <si>
    <t>Montville</t>
  </si>
  <si>
    <t>Norwich</t>
  </si>
  <si>
    <t>Town</t>
  </si>
  <si>
    <t>Premise</t>
  </si>
  <si>
    <t>Town Name</t>
  </si>
  <si>
    <t>Registration Number</t>
  </si>
  <si>
    <t>Permit Number</t>
  </si>
  <si>
    <t>Facility Type</t>
  </si>
  <si>
    <t>Cogen</t>
  </si>
  <si>
    <t>P0010</t>
  </si>
  <si>
    <t>P0011</t>
  </si>
  <si>
    <t>Retirement Date</t>
  </si>
  <si>
    <t>P0029</t>
  </si>
  <si>
    <t>P0234</t>
  </si>
  <si>
    <t>Controlled Combust Turbine</t>
  </si>
  <si>
    <t>CC</t>
  </si>
  <si>
    <t>P190</t>
  </si>
  <si>
    <t>P191</t>
  </si>
  <si>
    <t>Bridgeport</t>
  </si>
  <si>
    <t>Windsor Locks</t>
  </si>
  <si>
    <t>Wallingford</t>
  </si>
  <si>
    <t>Boiler</t>
  </si>
  <si>
    <t>R0162</t>
  </si>
  <si>
    <t>P0089</t>
  </si>
  <si>
    <t>R0166</t>
  </si>
  <si>
    <t>Uncontrolled Combust Turbine</t>
  </si>
  <si>
    <t>R0008</t>
  </si>
  <si>
    <t>Uncontrolled Combustion Turbine</t>
  </si>
  <si>
    <t>P0064</t>
  </si>
  <si>
    <t>Versailles</t>
  </si>
  <si>
    <t>R0052</t>
  </si>
  <si>
    <t>R0053</t>
  </si>
  <si>
    <t>R0054</t>
  </si>
  <si>
    <t>P0097</t>
  </si>
  <si>
    <t>P0098</t>
  </si>
  <si>
    <t>Greenwich</t>
  </si>
  <si>
    <t>Milford</t>
  </si>
  <si>
    <t>P0040</t>
  </si>
  <si>
    <t>P0041</t>
  </si>
  <si>
    <t>P0042</t>
  </si>
  <si>
    <t>P0043</t>
  </si>
  <si>
    <t>P0099</t>
  </si>
  <si>
    <t>P0100</t>
  </si>
  <si>
    <t>P0101</t>
  </si>
  <si>
    <t>P0026</t>
  </si>
  <si>
    <t>Torrington</t>
  </si>
  <si>
    <t>R0067</t>
  </si>
  <si>
    <t>P0131</t>
  </si>
  <si>
    <t>P0133</t>
  </si>
  <si>
    <t>P0067</t>
  </si>
  <si>
    <t>P0068</t>
  </si>
  <si>
    <t>P0069</t>
  </si>
  <si>
    <t>Killingly</t>
  </si>
  <si>
    <t>P0144</t>
  </si>
  <si>
    <t>P0145</t>
  </si>
  <si>
    <t>P0146</t>
  </si>
  <si>
    <t>P0147</t>
  </si>
  <si>
    <t>R0098</t>
  </si>
  <si>
    <t>R0100</t>
  </si>
  <si>
    <t>P0031</t>
  </si>
  <si>
    <t>Norwalk</t>
  </si>
  <si>
    <t>R0028</t>
  </si>
  <si>
    <t>R0030</t>
  </si>
  <si>
    <t>R0032</t>
  </si>
  <si>
    <t>R0137</t>
  </si>
  <si>
    <t>Groton</t>
  </si>
  <si>
    <t>East Hartford</t>
  </si>
  <si>
    <t>P0049</t>
  </si>
  <si>
    <t>R0260</t>
  </si>
  <si>
    <t>R0261</t>
  </si>
  <si>
    <t>R0262</t>
  </si>
  <si>
    <t>R0263</t>
  </si>
  <si>
    <t>R0264</t>
  </si>
  <si>
    <t>R0265</t>
  </si>
  <si>
    <t>R0266</t>
  </si>
  <si>
    <t>R0267</t>
  </si>
  <si>
    <t>R0068</t>
  </si>
  <si>
    <t>Preston</t>
  </si>
  <si>
    <t>R0001</t>
  </si>
  <si>
    <t>P0194</t>
  </si>
  <si>
    <t>P0195</t>
  </si>
  <si>
    <t>P0196</t>
  </si>
  <si>
    <t>P0197</t>
  </si>
  <si>
    <t>P0198</t>
  </si>
  <si>
    <t>P0300</t>
  </si>
  <si>
    <t>Waterbury</t>
  </si>
  <si>
    <t>Stamford</t>
  </si>
  <si>
    <t>P0228</t>
  </si>
  <si>
    <t>P0229</t>
  </si>
  <si>
    <t>P0230</t>
  </si>
  <si>
    <t>2011 SO2 Emissions (tpd)</t>
  </si>
  <si>
    <t>R0017</t>
  </si>
  <si>
    <t>R0020</t>
  </si>
  <si>
    <t>R0012</t>
  </si>
  <si>
    <t>R0003</t>
  </si>
  <si>
    <t>Alfred A. Pierce, Wallingford (in EMIT as CT MUNICIPAL ELEC ENERGY CO-OP)</t>
  </si>
  <si>
    <t>P0003</t>
  </si>
  <si>
    <t>R102</t>
  </si>
  <si>
    <t>RGGI Unit</t>
  </si>
  <si>
    <t>y</t>
  </si>
  <si>
    <t xml:space="preserve">ATTACHMENT 8     </t>
  </si>
  <si>
    <t>POTENTIAL NOx EMISSIONS @ 8760 hours or permitted levels</t>
  </si>
  <si>
    <t>Post-2002 NOx Budget Program unit, Location</t>
  </si>
  <si>
    <t>Maximum Capacity (MMBtu/hr)</t>
  </si>
  <si>
    <t>Operating Hours</t>
  </si>
  <si>
    <t>1994 NOx Emission Limit (lb/MMBtu)</t>
  </si>
  <si>
    <t>Calc'd 1994 NOx Emissions (tpy)</t>
  </si>
  <si>
    <t>2002 NOx Emission Limit (lb/MMBtu)</t>
  </si>
  <si>
    <t>Calc'd 2002 NOx Emissions (tpy)</t>
  </si>
  <si>
    <t>Calc'd 2006 NOx Emissions (tpy)</t>
  </si>
  <si>
    <t>2011 Nox Emissions (tpy)</t>
  </si>
  <si>
    <t>P10</t>
  </si>
  <si>
    <t>P11</t>
  </si>
  <si>
    <t>P29</t>
  </si>
  <si>
    <t>555/529.5</t>
  </si>
  <si>
    <t>Alfred Peirce</t>
  </si>
  <si>
    <t>1153/1215</t>
  </si>
  <si>
    <t>R8</t>
  </si>
  <si>
    <t>R162</t>
  </si>
  <si>
    <t>P89</t>
  </si>
  <si>
    <t>R166</t>
  </si>
  <si>
    <t>P64</t>
  </si>
  <si>
    <t>R3</t>
  </si>
  <si>
    <t>R52</t>
  </si>
  <si>
    <t>R53</t>
  </si>
  <si>
    <t>R54</t>
  </si>
  <si>
    <t>1748*</t>
  </si>
  <si>
    <t>R55</t>
  </si>
  <si>
    <t>R58</t>
  </si>
  <si>
    <t>P26</t>
  </si>
  <si>
    <t>P40</t>
  </si>
  <si>
    <t>P41</t>
  </si>
  <si>
    <t>P42</t>
  </si>
  <si>
    <t>P43</t>
  </si>
  <si>
    <t>R68</t>
  </si>
  <si>
    <t>P67</t>
  </si>
  <si>
    <t>P68</t>
  </si>
  <si>
    <t>P69</t>
  </si>
  <si>
    <t>R98</t>
  </si>
  <si>
    <t>R100</t>
  </si>
  <si>
    <t>P3</t>
  </si>
  <si>
    <t>R17</t>
  </si>
  <si>
    <t>R20</t>
  </si>
  <si>
    <t>P31</t>
  </si>
  <si>
    <t>R28</t>
  </si>
  <si>
    <t>R30</t>
  </si>
  <si>
    <t>R32</t>
  </si>
  <si>
    <t>R137</t>
  </si>
  <si>
    <t>R12</t>
  </si>
  <si>
    <t>P1</t>
  </si>
  <si>
    <t>P49</t>
  </si>
  <si>
    <t>R260</t>
  </si>
  <si>
    <t>R261</t>
  </si>
  <si>
    <t>R262</t>
  </si>
  <si>
    <t>R263</t>
  </si>
  <si>
    <t>R264</t>
  </si>
  <si>
    <t>R265</t>
  </si>
  <si>
    <t>R266</t>
  </si>
  <si>
    <t>R267</t>
  </si>
  <si>
    <t>R1</t>
  </si>
  <si>
    <t>P194</t>
  </si>
  <si>
    <t>P195</t>
  </si>
  <si>
    <t>P196</t>
  </si>
  <si>
    <t>P197</t>
  </si>
  <si>
    <t>P198</t>
  </si>
  <si>
    <t>P228</t>
  </si>
  <si>
    <t>P229</t>
  </si>
  <si>
    <t>P230</t>
  </si>
  <si>
    <t>NOx</t>
  </si>
  <si>
    <t>SO2</t>
  </si>
  <si>
    <t>alt BART</t>
  </si>
  <si>
    <t>Middletown Power LLC, Unit 11, Middletown</t>
  </si>
  <si>
    <t>2014 SO2 Emissions (tpy)</t>
  </si>
  <si>
    <t xml:space="preserve">Retired </t>
  </si>
  <si>
    <t>Retired</t>
  </si>
  <si>
    <t>2014 NOx Emissions (tpy)</t>
  </si>
  <si>
    <t>CAMD</t>
  </si>
  <si>
    <t>Emissions Data Source</t>
  </si>
  <si>
    <t>EMIT</t>
  </si>
  <si>
    <t>Program Total</t>
  </si>
  <si>
    <t>BART-Only Total</t>
  </si>
  <si>
    <t>% Change from 2002*</t>
  </si>
  <si>
    <t>% Change from 1994*</t>
  </si>
  <si>
    <t>* 1994 was prior to implementing the NOx limitations for any source, 2002 was the base year which was used in the SIP submission making these programs federally enforceable</t>
  </si>
  <si>
    <t>Highlighted units are BART units</t>
  </si>
  <si>
    <t>Total</t>
  </si>
  <si>
    <t>BART Only Total</t>
  </si>
  <si>
    <t>Additional to BART</t>
  </si>
  <si>
    <t>% Change From 2001*</t>
  </si>
  <si>
    <t>* 2001 was prior to implementing the SO2 limitations for any source, 2002 was the base year which was used in the SIP submission making these programs federally enforceable</t>
  </si>
  <si>
    <t>2014 Nox Emissions (tpy)</t>
  </si>
  <si>
    <r>
      <t>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Season Emission Limit</t>
    </r>
  </si>
  <si>
    <r>
      <t>2006 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Season Emissions (tons)</t>
    </r>
  </si>
  <si>
    <r>
      <t>Non-O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Season Emission Limit</t>
    </r>
  </si>
  <si>
    <r>
      <t>2006 Non-O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Season Emissions (tons)</t>
    </r>
  </si>
  <si>
    <r>
      <t>2011 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Season Emissions (tons)</t>
    </r>
  </si>
  <si>
    <r>
      <t>2011 Non-O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Season Emissions (tons)</t>
    </r>
  </si>
  <si>
    <r>
      <t>2014 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Season Emissions (tons)</t>
    </r>
  </si>
  <si>
    <r>
      <t>2014 Non-O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Season Emissions (tons)</t>
    </r>
  </si>
  <si>
    <t>POTENTIAL EMISSIONS @8760 hours or permitted levels</t>
  </si>
  <si>
    <t>2014 SO2 Emissions (tpd)</t>
  </si>
  <si>
    <t xml:space="preserve">EMIT </t>
  </si>
  <si>
    <t xml:space="preserve">BAR T Only Total </t>
  </si>
  <si>
    <t>QA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</si>
</sst>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00000000"/>
    <numFmt numFmtId="172" formatCode="0.0000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0"/>
      <color indexed="8"/>
      <name val="Adobe Caslon Pro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0.5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7.5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6"/>
      <color indexed="8"/>
      <name val="Calibri"/>
      <family val="0"/>
    </font>
    <font>
      <vertAlign val="subscript"/>
      <sz val="16"/>
      <color indexed="8"/>
      <name val="Calibri"/>
      <family val="0"/>
    </font>
    <font>
      <i/>
      <sz val="18"/>
      <color indexed="8"/>
      <name val="Calibri"/>
      <family val="0"/>
    </font>
    <font>
      <i/>
      <vertAlign val="subscript"/>
      <sz val="18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7.5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7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0" xfId="0" applyFont="1" applyAlignment="1">
      <alignment/>
    </xf>
    <xf numFmtId="0" fontId="5" fillId="35" borderId="10" xfId="0" applyFont="1" applyFill="1" applyBorder="1" applyAlignment="1">
      <alignment/>
    </xf>
    <xf numFmtId="10" fontId="5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0" fontId="0" fillId="34" borderId="10" xfId="0" applyNumberFormat="1" applyFill="1" applyBorder="1" applyAlignment="1">
      <alignment/>
    </xf>
    <xf numFmtId="0" fontId="2" fillId="0" borderId="10" xfId="0" applyFont="1" applyBorder="1" applyAlignment="1">
      <alignment textRotation="90"/>
    </xf>
    <xf numFmtId="10" fontId="2" fillId="0" borderId="10" xfId="0" applyNumberFormat="1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/>
    </xf>
    <xf numFmtId="170" fontId="0" fillId="34" borderId="10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2" fillId="0" borderId="0" xfId="0" applyFont="1" applyFill="1" applyBorder="1" applyAlignment="1">
      <alignment textRotation="90"/>
    </xf>
    <xf numFmtId="0" fontId="2" fillId="0" borderId="14" xfId="0" applyFont="1" applyBorder="1" applyAlignment="1">
      <alignment wrapText="1"/>
    </xf>
    <xf numFmtId="0" fontId="2" fillId="36" borderId="15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10" fontId="2" fillId="36" borderId="10" xfId="0" applyNumberFormat="1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10" fontId="2" fillId="36" borderId="18" xfId="0" applyNumberFormat="1" applyFont="1" applyFill="1" applyBorder="1" applyAlignment="1">
      <alignment/>
    </xf>
    <xf numFmtId="0" fontId="2" fillId="36" borderId="19" xfId="0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20" xfId="0" applyFont="1" applyBorder="1" applyAlignment="1">
      <alignment textRotation="90"/>
    </xf>
    <xf numFmtId="10" fontId="2" fillId="0" borderId="20" xfId="0" applyNumberFormat="1" applyFont="1" applyBorder="1" applyAlignment="1">
      <alignment textRotation="90"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10" fontId="2" fillId="36" borderId="22" xfId="0" applyNumberFormat="1" applyFont="1" applyFill="1" applyBorder="1" applyAlignment="1">
      <alignment/>
    </xf>
    <xf numFmtId="0" fontId="2" fillId="36" borderId="23" xfId="0" applyFont="1" applyFill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0" fontId="0" fillId="34" borderId="10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70" fontId="0" fillId="0" borderId="25" xfId="0" applyNumberFormat="1" applyFont="1" applyBorder="1" applyAlignment="1">
      <alignment/>
    </xf>
    <xf numFmtId="10" fontId="0" fillId="0" borderId="25" xfId="0" applyNumberFormat="1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10" fontId="0" fillId="0" borderId="18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170" fontId="0" fillId="0" borderId="1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64" fontId="0" fillId="0" borderId="28" xfId="0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70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21" xfId="0" applyFont="1" applyFill="1" applyBorder="1" applyAlignment="1">
      <alignment/>
    </xf>
    <xf numFmtId="170" fontId="2" fillId="0" borderId="22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/>
    </xf>
    <xf numFmtId="170" fontId="2" fillId="0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170" fontId="0" fillId="34" borderId="10" xfId="0" applyNumberFormat="1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36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1" fontId="0" fillId="0" borderId="0" xfId="0" applyNumberFormat="1" applyFont="1" applyFill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3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71" fontId="0" fillId="0" borderId="0" xfId="0" applyNumberFormat="1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36" fillId="34" borderId="0" xfId="0" applyFont="1" applyFill="1" applyBorder="1" applyAlignment="1">
      <alignment/>
    </xf>
    <xf numFmtId="0" fontId="0" fillId="34" borderId="28" xfId="0" applyFont="1" applyFill="1" applyBorder="1" applyAlignment="1">
      <alignment vertical="center"/>
    </xf>
    <xf numFmtId="0" fontId="0" fillId="34" borderId="28" xfId="0" applyFont="1" applyFill="1" applyBorder="1" applyAlignment="1">
      <alignment horizontal="center" vertical="center"/>
    </xf>
    <xf numFmtId="1" fontId="0" fillId="34" borderId="2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 wrapText="1"/>
    </xf>
    <xf numFmtId="1" fontId="0" fillId="34" borderId="28" xfId="0" applyNumberFormat="1" applyFont="1" applyFill="1" applyBorder="1" applyAlignment="1">
      <alignment horizontal="center" vertical="center" wrapText="1"/>
    </xf>
    <xf numFmtId="1" fontId="0" fillId="34" borderId="27" xfId="0" applyNumberFormat="1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000000"/>
                </a:solidFill>
              </a:rPr>
              <a:t>Actual NOx Alternative BART Applicable Units
</a:t>
            </a:r>
            <a:r>
              <a:rPr lang="en-US" cap="none" sz="1800" b="0" i="1" u="none" baseline="0">
                <a:solidFill>
                  <a:srgbClr val="000000"/>
                </a:solidFill>
              </a:rPr>
              <a:t> (with BART-Eligible Units Differentiated)</a:t>
            </a:r>
          </a:p>
        </c:rich>
      </c:tx>
      <c:layout>
        <c:manualLayout>
          <c:xMode val="factor"/>
          <c:yMode val="factor"/>
          <c:x val="-0.0297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097"/>
          <c:w val="0.90225"/>
          <c:h val="0.90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ACTNOx!$A$77</c:f>
              <c:strCache>
                <c:ptCount val="1"/>
                <c:pt idx="0">
                  <c:v>Additional to BART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2006</c:v>
              </c:pt>
              <c:pt idx="3">
                <c:v>2011</c:v>
              </c:pt>
              <c:pt idx="4">
                <c:v>2014</c:v>
              </c:pt>
            </c:numLit>
          </c:cat>
          <c:val>
            <c:numRef>
              <c:f>ACTNOx!$B$77:$F$77</c:f>
              <c:numCache>
                <c:ptCount val="5"/>
                <c:pt idx="0">
                  <c:v>4570.299999999999</c:v>
                </c:pt>
                <c:pt idx="1">
                  <c:v>1847.7999999999997</c:v>
                </c:pt>
                <c:pt idx="2">
                  <c:v>1455.4999999999968</c:v>
                </c:pt>
                <c:pt idx="3">
                  <c:v>872.4400000000005</c:v>
                </c:pt>
                <c:pt idx="4">
                  <c:v>673.4365268179997</c:v>
                </c:pt>
              </c:numCache>
            </c:numRef>
          </c:val>
        </c:ser>
        <c:ser>
          <c:idx val="1"/>
          <c:order val="1"/>
          <c:tx>
            <c:strRef>
              <c:f>ACTSO2!$A$76</c:f>
              <c:strCache>
                <c:ptCount val="1"/>
                <c:pt idx="0">
                  <c:v>BART Only Total</c:v>
                </c:pt>
              </c:strCache>
            </c:strRef>
          </c:tx>
          <c:spPr>
            <a:solidFill>
              <a:srgbClr val="953735">
                <a:alpha val="77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2006</c:v>
              </c:pt>
              <c:pt idx="3">
                <c:v>2011</c:v>
              </c:pt>
              <c:pt idx="4">
                <c:v>2014</c:v>
              </c:pt>
            </c:numLit>
          </c:cat>
          <c:val>
            <c:numRef>
              <c:f>ACTNOx!$B$76:$F$76</c:f>
              <c:numCache>
                <c:ptCount val="5"/>
                <c:pt idx="0">
                  <c:v>8593.2</c:v>
                </c:pt>
                <c:pt idx="1">
                  <c:v>4053.4</c:v>
                </c:pt>
                <c:pt idx="2">
                  <c:v>3644.1</c:v>
                </c:pt>
                <c:pt idx="3">
                  <c:v>729.8199999999999</c:v>
                </c:pt>
                <c:pt idx="4">
                  <c:v>1298.13</c:v>
                </c:pt>
              </c:numCache>
            </c:numRef>
          </c:val>
        </c:ser>
        <c:overlap val="100"/>
        <c:axId val="57470199"/>
        <c:axId val="47469744"/>
      </c:barChart>
      <c:catAx>
        <c:axId val="5747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469744"/>
        <c:crosses val="autoZero"/>
        <c:auto val="1"/>
        <c:lblOffset val="100"/>
        <c:tickLblSkip val="1"/>
        <c:noMultiLvlLbl val="0"/>
      </c:catAx>
      <c:valAx>
        <c:axId val="47469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NO</a:t>
                </a:r>
                <a:r>
                  <a:rPr lang="en-US" cap="none" sz="1600" b="0" i="0" u="none" baseline="-25000">
                    <a:solidFill>
                      <a:srgbClr val="000000"/>
                    </a:solidFill>
                  </a:rPr>
                  <a:t>x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Emissions (TPY)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470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125"/>
          <c:y val="0.116"/>
          <c:w val="0.34875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895"/>
          <c:w val="0.97825"/>
          <c:h val="0.8605"/>
        </c:manualLayout>
      </c:layout>
      <c:barChart>
        <c:barDir val="col"/>
        <c:grouping val="clustered"/>
        <c:varyColors val="0"/>
        <c:ser>
          <c:idx val="2"/>
          <c:order val="0"/>
          <c:tx>
            <c:v>2001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ACTSO2!$A$2:$A$74</c:f>
              <c:strCache>
                <c:ptCount val="73"/>
                <c:pt idx="0">
                  <c:v>AES Thames, Unit A, Montville</c:v>
                </c:pt>
                <c:pt idx="1">
                  <c:v>AES Thames, Unit B, Montville</c:v>
                </c:pt>
                <c:pt idx="2">
                  <c:v>Alfred A. Pierce, Wallingford</c:v>
                </c:pt>
                <c:pt idx="3">
                  <c:v>Algonquin Power Windsor Locks, LLC, Windsor Locks</c:v>
                </c:pt>
                <c:pt idx="4">
                  <c:v>Connecticut Jet Power, Branford</c:v>
                </c:pt>
                <c:pt idx="5">
                  <c:v>Bridgeport Energy 1, Bridgeport</c:v>
                </c:pt>
                <c:pt idx="6">
                  <c:v>Bridgeport Energy 2, Bridgeport</c:v>
                </c:pt>
                <c:pt idx="7">
                  <c:v>PSEG Power Connecticut LLC, Unit 2, Bridgeport</c:v>
                </c:pt>
                <c:pt idx="8">
                  <c:v>PSEG Power Connecticut LLC, Unit 3, Bridgeport</c:v>
                </c:pt>
                <c:pt idx="9">
                  <c:v>PSEG Power Connecticut LLC, Unit 4, Bridgeport</c:v>
                </c:pt>
                <c:pt idx="10">
                  <c:v>Capitol District Energy Center, Hartford</c:v>
                </c:pt>
                <c:pt idx="11">
                  <c:v>Fusion Paperboard, PFI Boiler, Versailles</c:v>
                </c:pt>
                <c:pt idx="12">
                  <c:v>Connecticut Jet Power, Cos Cob 10, Greenwich</c:v>
                </c:pt>
                <c:pt idx="13">
                  <c:v>Connecticut Jet Power, Cos Cob 11, Greenwich</c:v>
                </c:pt>
                <c:pt idx="14">
                  <c:v>Connecticut Jet Power, Cos Cob 12, Greenwich</c:v>
                </c:pt>
                <c:pt idx="15">
                  <c:v>Connecticut Jet Power, Cos Cob 13, Greenwich</c:v>
                </c:pt>
                <c:pt idx="16">
                  <c:v>Connecticut Jet Power, Cos Cob 14, Greenwich</c:v>
                </c:pt>
                <c:pt idx="17">
                  <c:v>Devon Power LLC, Unit 7, Milford</c:v>
                </c:pt>
                <c:pt idx="18">
                  <c:v>Devon Power LLC, Unit 8, Milford</c:v>
                </c:pt>
                <c:pt idx="19">
                  <c:v>Devon Power LLC, Unit 10, Milford</c:v>
                </c:pt>
                <c:pt idx="20">
                  <c:v>Devon Power LLC, Unit 11, Milford</c:v>
                </c:pt>
                <c:pt idx="21">
                  <c:v>Devon Power LLC, Unit 12, Milford</c:v>
                </c:pt>
                <c:pt idx="22">
                  <c:v>Devon Power LLC, Unit 13, Milford</c:v>
                </c:pt>
                <c:pt idx="23">
                  <c:v>Devon Power LLC, Unit 14, Milford</c:v>
                </c:pt>
                <c:pt idx="24">
                  <c:v>Devon Power LLC, Unit 15, Milford</c:v>
                </c:pt>
                <c:pt idx="25">
                  <c:v>Devon Power LLC, Unit 16, Milford</c:v>
                </c:pt>
                <c:pt idx="26">
                  <c:v>Devon Power LLC, Unit 17, Milford</c:v>
                </c:pt>
                <c:pt idx="27">
                  <c:v>Devon Power, LLC, Unit 18, Milford</c:v>
                </c:pt>
                <c:pt idx="28">
                  <c:v>Connecticut Jet Power, Franklin Drive, Torrington</c:v>
                </c:pt>
                <c:pt idx="29">
                  <c:v>Kleen Energy, U1, Middletown</c:v>
                </c:pt>
                <c:pt idx="30">
                  <c:v>Kleen Energy, U2, Middletown</c:v>
                </c:pt>
                <c:pt idx="31">
                  <c:v>Lake Road Generating Company 1, Killingly</c:v>
                </c:pt>
                <c:pt idx="32">
                  <c:v>Lake Road Generating Company 2, Killingly</c:v>
                </c:pt>
                <c:pt idx="33">
                  <c:v>Lake Road Generating Company 3, Killingly</c:v>
                </c:pt>
                <c:pt idx="34">
                  <c:v>Middletown Power LLC, Unit 2, Middletown</c:v>
                </c:pt>
                <c:pt idx="35">
                  <c:v>Middletown Power LLC, Unit 3, Middletown</c:v>
                </c:pt>
                <c:pt idx="36">
                  <c:v>Middletown Power LLC, Unit 4, Middletown</c:v>
                </c:pt>
                <c:pt idx="37">
                  <c:v>Middletown Power LLC, Unit 10, Middletown</c:v>
                </c:pt>
                <c:pt idx="38">
                  <c:v>Middletown Power LLC, Unit 12, Middletown</c:v>
                </c:pt>
                <c:pt idx="39">
                  <c:v>Middletown Power LLC, Unit 13, Middletown</c:v>
                </c:pt>
                <c:pt idx="40">
                  <c:v>Middletown Power LLC, Unit 14, Middletown</c:v>
                </c:pt>
                <c:pt idx="41">
                  <c:v>Middletown Power LLC, Unit 15, Middletown</c:v>
                </c:pt>
                <c:pt idx="42">
                  <c:v>Milford Power Company LLC 1, Milford</c:v>
                </c:pt>
                <c:pt idx="43">
                  <c:v>Milford Power Company LLC 2, Milford</c:v>
                </c:pt>
                <c:pt idx="44">
                  <c:v>Montville Power LLC, Unit 5, Montville</c:v>
                </c:pt>
                <c:pt idx="45">
                  <c:v>Montville Power LLC, Unit 6, Montville</c:v>
                </c:pt>
                <c:pt idx="46">
                  <c:v>PSEG Power Connecticut LLC, Unit 1, New Haven</c:v>
                </c:pt>
                <c:pt idx="47">
                  <c:v>Norwalk Power LLC, Unit 1, Norwalk</c:v>
                </c:pt>
                <c:pt idx="48">
                  <c:v>Norwalk Power LLC, Unit 2, Norwalk</c:v>
                </c:pt>
                <c:pt idx="49">
                  <c:v>Norwalk Power LLC, Unit 10, Norwalk</c:v>
                </c:pt>
                <c:pt idx="50">
                  <c:v>Norwich DPUC, Norwich</c:v>
                </c:pt>
                <c:pt idx="51">
                  <c:v>Pfizer Inc, Boiler 5, Groton</c:v>
                </c:pt>
                <c:pt idx="52">
                  <c:v>Pfizer Inc, Boiler 8, Groton</c:v>
                </c:pt>
                <c:pt idx="53">
                  <c:v>Pratt &amp; Whitney Cogen, East Hartford</c:v>
                </c:pt>
                <c:pt idx="54">
                  <c:v>CRRA, South Meadow 11A, Hartford</c:v>
                </c:pt>
                <c:pt idx="55">
                  <c:v>CRRA, South Meadow 11B, Hartford</c:v>
                </c:pt>
                <c:pt idx="56">
                  <c:v>CRRA, South Meadow 12A, Hartford</c:v>
                </c:pt>
                <c:pt idx="57">
                  <c:v>CRRA, South Meadow 12B, Hartford</c:v>
                </c:pt>
                <c:pt idx="58">
                  <c:v>CRRA, South Meadow 13A, Hartford</c:v>
                </c:pt>
                <c:pt idx="59">
                  <c:v>CRRA, South Meadow 13B, Hartford</c:v>
                </c:pt>
                <c:pt idx="60">
                  <c:v>CRRA, South Meadow 14A, Hartford</c:v>
                </c:pt>
                <c:pt idx="61">
                  <c:v>CRRA, South Meadow 14B, Hartford</c:v>
                </c:pt>
                <c:pt idx="62">
                  <c:v>Connecticut Jet Power, Torrington Terminal, Torrington</c:v>
                </c:pt>
                <c:pt idx="63">
                  <c:v>FirstLight Power Resources Services, Tunnel, Preston</c:v>
                </c:pt>
                <c:pt idx="64">
                  <c:v>Wallingford Energy 1, Wallingford</c:v>
                </c:pt>
                <c:pt idx="65">
                  <c:v>Wallingford Energy 2, Wallingford</c:v>
                </c:pt>
                <c:pt idx="66">
                  <c:v>Wallingford Energy 3, Wallingford</c:v>
                </c:pt>
                <c:pt idx="67">
                  <c:v>Wallingford Energy 4, Wallingford</c:v>
                </c:pt>
                <c:pt idx="68">
                  <c:v>Wallingford Energy 5, Wallingford</c:v>
                </c:pt>
                <c:pt idx="69">
                  <c:v>Waterbury Generation, Waterbury</c:v>
                </c:pt>
                <c:pt idx="70">
                  <c:v>Waterside Power 4, Stamford</c:v>
                </c:pt>
                <c:pt idx="71">
                  <c:v>Waterside Power 5, Stamford</c:v>
                </c:pt>
                <c:pt idx="72">
                  <c:v>Waterside Power 7, Stamford</c:v>
                </c:pt>
              </c:strCache>
            </c:strRef>
          </c:cat>
          <c:val>
            <c:numRef>
              <c:f>ACTSO2!$B$2:$B$74</c:f>
              <c:numCache>
                <c:ptCount val="73"/>
                <c:pt idx="0">
                  <c:v>1040</c:v>
                </c:pt>
                <c:pt idx="1">
                  <c:v>1040</c:v>
                </c:pt>
                <c:pt idx="2">
                  <c:v>0</c:v>
                </c:pt>
                <c:pt idx="3">
                  <c:v>3.4</c:v>
                </c:pt>
                <c:pt idx="4">
                  <c:v>0.7</c:v>
                </c:pt>
                <c:pt idx="5">
                  <c:v>2.7</c:v>
                </c:pt>
                <c:pt idx="6">
                  <c:v>2.7</c:v>
                </c:pt>
                <c:pt idx="7">
                  <c:v>434.6</c:v>
                </c:pt>
                <c:pt idx="8">
                  <c:v>10429</c:v>
                </c:pt>
                <c:pt idx="9">
                  <c:v>0.1</c:v>
                </c:pt>
                <c:pt idx="10">
                  <c:v>1.8</c:v>
                </c:pt>
                <c:pt idx="11">
                  <c:v>250.8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</c:v>
                </c:pt>
                <c:pt idx="16">
                  <c:v>0</c:v>
                </c:pt>
                <c:pt idx="17">
                  <c:v>1483</c:v>
                </c:pt>
                <c:pt idx="18">
                  <c:v>1430</c:v>
                </c:pt>
                <c:pt idx="19">
                  <c:v>0.1</c:v>
                </c:pt>
                <c:pt idx="20">
                  <c:v>1.8</c:v>
                </c:pt>
                <c:pt idx="21">
                  <c:v>2.6</c:v>
                </c:pt>
                <c:pt idx="22">
                  <c:v>2.3</c:v>
                </c:pt>
                <c:pt idx="23">
                  <c:v>1.5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0.3</c:v>
                </c:pt>
                <c:pt idx="32">
                  <c:v>0</c:v>
                </c:pt>
                <c:pt idx="33">
                  <c:v>0</c:v>
                </c:pt>
                <c:pt idx="34">
                  <c:v>423.7</c:v>
                </c:pt>
                <c:pt idx="35">
                  <c:v>1830.5</c:v>
                </c:pt>
                <c:pt idx="36">
                  <c:v>1015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818.7</c:v>
                </c:pt>
                <c:pt idx="45">
                  <c:v>2182</c:v>
                </c:pt>
                <c:pt idx="46">
                  <c:v>9542.8</c:v>
                </c:pt>
                <c:pt idx="47">
                  <c:v>1859.2</c:v>
                </c:pt>
                <c:pt idx="48">
                  <c:v>1700.6</c:v>
                </c:pt>
                <c:pt idx="49">
                  <c:v>0.8</c:v>
                </c:pt>
                <c:pt idx="50">
                  <c:v>0.5</c:v>
                </c:pt>
                <c:pt idx="51">
                  <c:v>101.4</c:v>
                </c:pt>
                <c:pt idx="52">
                  <c:v>0.2</c:v>
                </c:pt>
                <c:pt idx="53">
                  <c:v>0.2</c:v>
                </c:pt>
                <c:pt idx="54">
                  <c:v>0.9</c:v>
                </c:pt>
                <c:pt idx="55">
                  <c:v>0.9</c:v>
                </c:pt>
                <c:pt idx="56">
                  <c:v>1</c:v>
                </c:pt>
                <c:pt idx="57">
                  <c:v>1</c:v>
                </c:pt>
                <c:pt idx="58">
                  <c:v>0.9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0.5</c:v>
                </c:pt>
                <c:pt idx="63">
                  <c:v>0.4</c:v>
                </c:pt>
                <c:pt idx="64">
                  <c:v>2.5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tx>
            <c:v>2002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ACTSO2!$A$2:$A$74</c:f>
              <c:strCache>
                <c:ptCount val="73"/>
                <c:pt idx="0">
                  <c:v>AES Thames, Unit A, Montville</c:v>
                </c:pt>
                <c:pt idx="1">
                  <c:v>AES Thames, Unit B, Montville</c:v>
                </c:pt>
                <c:pt idx="2">
                  <c:v>Alfred A. Pierce, Wallingford</c:v>
                </c:pt>
                <c:pt idx="3">
                  <c:v>Algonquin Power Windsor Locks, LLC, Windsor Locks</c:v>
                </c:pt>
                <c:pt idx="4">
                  <c:v>Connecticut Jet Power, Branford</c:v>
                </c:pt>
                <c:pt idx="5">
                  <c:v>Bridgeport Energy 1, Bridgeport</c:v>
                </c:pt>
                <c:pt idx="6">
                  <c:v>Bridgeport Energy 2, Bridgeport</c:v>
                </c:pt>
                <c:pt idx="7">
                  <c:v>PSEG Power Connecticut LLC, Unit 2, Bridgeport</c:v>
                </c:pt>
                <c:pt idx="8">
                  <c:v>PSEG Power Connecticut LLC, Unit 3, Bridgeport</c:v>
                </c:pt>
                <c:pt idx="9">
                  <c:v>PSEG Power Connecticut LLC, Unit 4, Bridgeport</c:v>
                </c:pt>
                <c:pt idx="10">
                  <c:v>Capitol District Energy Center, Hartford</c:v>
                </c:pt>
                <c:pt idx="11">
                  <c:v>Fusion Paperboard, PFI Boiler, Versailles</c:v>
                </c:pt>
                <c:pt idx="12">
                  <c:v>Connecticut Jet Power, Cos Cob 10, Greenwich</c:v>
                </c:pt>
                <c:pt idx="13">
                  <c:v>Connecticut Jet Power, Cos Cob 11, Greenwich</c:v>
                </c:pt>
                <c:pt idx="14">
                  <c:v>Connecticut Jet Power, Cos Cob 12, Greenwich</c:v>
                </c:pt>
                <c:pt idx="15">
                  <c:v>Connecticut Jet Power, Cos Cob 13, Greenwich</c:v>
                </c:pt>
                <c:pt idx="16">
                  <c:v>Connecticut Jet Power, Cos Cob 14, Greenwich</c:v>
                </c:pt>
                <c:pt idx="17">
                  <c:v>Devon Power LLC, Unit 7, Milford</c:v>
                </c:pt>
                <c:pt idx="18">
                  <c:v>Devon Power LLC, Unit 8, Milford</c:v>
                </c:pt>
                <c:pt idx="19">
                  <c:v>Devon Power LLC, Unit 10, Milford</c:v>
                </c:pt>
                <c:pt idx="20">
                  <c:v>Devon Power LLC, Unit 11, Milford</c:v>
                </c:pt>
                <c:pt idx="21">
                  <c:v>Devon Power LLC, Unit 12, Milford</c:v>
                </c:pt>
                <c:pt idx="22">
                  <c:v>Devon Power LLC, Unit 13, Milford</c:v>
                </c:pt>
                <c:pt idx="23">
                  <c:v>Devon Power LLC, Unit 14, Milford</c:v>
                </c:pt>
                <c:pt idx="24">
                  <c:v>Devon Power LLC, Unit 15, Milford</c:v>
                </c:pt>
                <c:pt idx="25">
                  <c:v>Devon Power LLC, Unit 16, Milford</c:v>
                </c:pt>
                <c:pt idx="26">
                  <c:v>Devon Power LLC, Unit 17, Milford</c:v>
                </c:pt>
                <c:pt idx="27">
                  <c:v>Devon Power, LLC, Unit 18, Milford</c:v>
                </c:pt>
                <c:pt idx="28">
                  <c:v>Connecticut Jet Power, Franklin Drive, Torrington</c:v>
                </c:pt>
                <c:pt idx="29">
                  <c:v>Kleen Energy, U1, Middletown</c:v>
                </c:pt>
                <c:pt idx="30">
                  <c:v>Kleen Energy, U2, Middletown</c:v>
                </c:pt>
                <c:pt idx="31">
                  <c:v>Lake Road Generating Company 1, Killingly</c:v>
                </c:pt>
                <c:pt idx="32">
                  <c:v>Lake Road Generating Company 2, Killingly</c:v>
                </c:pt>
                <c:pt idx="33">
                  <c:v>Lake Road Generating Company 3, Killingly</c:v>
                </c:pt>
                <c:pt idx="34">
                  <c:v>Middletown Power LLC, Unit 2, Middletown</c:v>
                </c:pt>
                <c:pt idx="35">
                  <c:v>Middletown Power LLC, Unit 3, Middletown</c:v>
                </c:pt>
                <c:pt idx="36">
                  <c:v>Middletown Power LLC, Unit 4, Middletown</c:v>
                </c:pt>
                <c:pt idx="37">
                  <c:v>Middletown Power LLC, Unit 10, Middletown</c:v>
                </c:pt>
                <c:pt idx="38">
                  <c:v>Middletown Power LLC, Unit 12, Middletown</c:v>
                </c:pt>
                <c:pt idx="39">
                  <c:v>Middletown Power LLC, Unit 13, Middletown</c:v>
                </c:pt>
                <c:pt idx="40">
                  <c:v>Middletown Power LLC, Unit 14, Middletown</c:v>
                </c:pt>
                <c:pt idx="41">
                  <c:v>Middletown Power LLC, Unit 15, Middletown</c:v>
                </c:pt>
                <c:pt idx="42">
                  <c:v>Milford Power Company LLC 1, Milford</c:v>
                </c:pt>
                <c:pt idx="43">
                  <c:v>Milford Power Company LLC 2, Milford</c:v>
                </c:pt>
                <c:pt idx="44">
                  <c:v>Montville Power LLC, Unit 5, Montville</c:v>
                </c:pt>
                <c:pt idx="45">
                  <c:v>Montville Power LLC, Unit 6, Montville</c:v>
                </c:pt>
                <c:pt idx="46">
                  <c:v>PSEG Power Connecticut LLC, Unit 1, New Haven</c:v>
                </c:pt>
                <c:pt idx="47">
                  <c:v>Norwalk Power LLC, Unit 1, Norwalk</c:v>
                </c:pt>
                <c:pt idx="48">
                  <c:v>Norwalk Power LLC, Unit 2, Norwalk</c:v>
                </c:pt>
                <c:pt idx="49">
                  <c:v>Norwalk Power LLC, Unit 10, Norwalk</c:v>
                </c:pt>
                <c:pt idx="50">
                  <c:v>Norwich DPUC, Norwich</c:v>
                </c:pt>
                <c:pt idx="51">
                  <c:v>Pfizer Inc, Boiler 5, Groton</c:v>
                </c:pt>
                <c:pt idx="52">
                  <c:v>Pfizer Inc, Boiler 8, Groton</c:v>
                </c:pt>
                <c:pt idx="53">
                  <c:v>Pratt &amp; Whitney Cogen, East Hartford</c:v>
                </c:pt>
                <c:pt idx="54">
                  <c:v>CRRA, South Meadow 11A, Hartford</c:v>
                </c:pt>
                <c:pt idx="55">
                  <c:v>CRRA, South Meadow 11B, Hartford</c:v>
                </c:pt>
                <c:pt idx="56">
                  <c:v>CRRA, South Meadow 12A, Hartford</c:v>
                </c:pt>
                <c:pt idx="57">
                  <c:v>CRRA, South Meadow 12B, Hartford</c:v>
                </c:pt>
                <c:pt idx="58">
                  <c:v>CRRA, South Meadow 13A, Hartford</c:v>
                </c:pt>
                <c:pt idx="59">
                  <c:v>CRRA, South Meadow 13B, Hartford</c:v>
                </c:pt>
                <c:pt idx="60">
                  <c:v>CRRA, South Meadow 14A, Hartford</c:v>
                </c:pt>
                <c:pt idx="61">
                  <c:v>CRRA, South Meadow 14B, Hartford</c:v>
                </c:pt>
                <c:pt idx="62">
                  <c:v>Connecticut Jet Power, Torrington Terminal, Torrington</c:v>
                </c:pt>
                <c:pt idx="63">
                  <c:v>FirstLight Power Resources Services, Tunnel, Preston</c:v>
                </c:pt>
                <c:pt idx="64">
                  <c:v>Wallingford Energy 1, Wallingford</c:v>
                </c:pt>
                <c:pt idx="65">
                  <c:v>Wallingford Energy 2, Wallingford</c:v>
                </c:pt>
                <c:pt idx="66">
                  <c:v>Wallingford Energy 3, Wallingford</c:v>
                </c:pt>
                <c:pt idx="67">
                  <c:v>Wallingford Energy 4, Wallingford</c:v>
                </c:pt>
                <c:pt idx="68">
                  <c:v>Wallingford Energy 5, Wallingford</c:v>
                </c:pt>
                <c:pt idx="69">
                  <c:v>Waterbury Generation, Waterbury</c:v>
                </c:pt>
                <c:pt idx="70">
                  <c:v>Waterside Power 4, Stamford</c:v>
                </c:pt>
                <c:pt idx="71">
                  <c:v>Waterside Power 5, Stamford</c:v>
                </c:pt>
                <c:pt idx="72">
                  <c:v>Waterside Power 7, Stamford</c:v>
                </c:pt>
              </c:strCache>
            </c:strRef>
          </c:cat>
          <c:val>
            <c:numRef>
              <c:f>ACTSO2!$C$2:$C$74</c:f>
              <c:numCache>
                <c:ptCount val="73"/>
                <c:pt idx="0">
                  <c:v>1095</c:v>
                </c:pt>
                <c:pt idx="1">
                  <c:v>1074</c:v>
                </c:pt>
                <c:pt idx="2">
                  <c:v>0</c:v>
                </c:pt>
                <c:pt idx="3">
                  <c:v>3</c:v>
                </c:pt>
                <c:pt idx="4">
                  <c:v>0.5</c:v>
                </c:pt>
                <c:pt idx="5">
                  <c:v>3.5</c:v>
                </c:pt>
                <c:pt idx="6">
                  <c:v>3.5</c:v>
                </c:pt>
                <c:pt idx="7">
                  <c:v>66.5</c:v>
                </c:pt>
                <c:pt idx="8">
                  <c:v>4023.6</c:v>
                </c:pt>
                <c:pt idx="9">
                  <c:v>0.1</c:v>
                </c:pt>
                <c:pt idx="10">
                  <c:v>2</c:v>
                </c:pt>
                <c:pt idx="11">
                  <c:v>0.5</c:v>
                </c:pt>
                <c:pt idx="12">
                  <c:v>0.5</c:v>
                </c:pt>
                <c:pt idx="13">
                  <c:v>0.4</c:v>
                </c:pt>
                <c:pt idx="14">
                  <c:v>0.4</c:v>
                </c:pt>
                <c:pt idx="15">
                  <c:v>0</c:v>
                </c:pt>
                <c:pt idx="16">
                  <c:v>0</c:v>
                </c:pt>
                <c:pt idx="17">
                  <c:v>134.6</c:v>
                </c:pt>
                <c:pt idx="18">
                  <c:v>189.8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</c:v>
                </c:pt>
                <c:pt idx="29">
                  <c:v>0</c:v>
                </c:pt>
                <c:pt idx="30">
                  <c:v>0</c:v>
                </c:pt>
                <c:pt idx="31">
                  <c:v>5.1</c:v>
                </c:pt>
                <c:pt idx="32">
                  <c:v>2.8</c:v>
                </c:pt>
                <c:pt idx="33">
                  <c:v>2.6</c:v>
                </c:pt>
                <c:pt idx="34">
                  <c:v>127.2</c:v>
                </c:pt>
                <c:pt idx="35">
                  <c:v>268.7</c:v>
                </c:pt>
                <c:pt idx="36">
                  <c:v>308.2</c:v>
                </c:pt>
                <c:pt idx="37">
                  <c:v>0.1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0.2</c:v>
                </c:pt>
                <c:pt idx="43">
                  <c:v>0.2</c:v>
                </c:pt>
                <c:pt idx="44">
                  <c:v>115.6</c:v>
                </c:pt>
                <c:pt idx="45">
                  <c:v>794.4</c:v>
                </c:pt>
                <c:pt idx="46">
                  <c:v>4009.8</c:v>
                </c:pt>
                <c:pt idx="47">
                  <c:v>409.9</c:v>
                </c:pt>
                <c:pt idx="48">
                  <c:v>321.7</c:v>
                </c:pt>
                <c:pt idx="49">
                  <c:v>0</c:v>
                </c:pt>
                <c:pt idx="50">
                  <c:v>0.5</c:v>
                </c:pt>
                <c:pt idx="51">
                  <c:v>74.9</c:v>
                </c:pt>
                <c:pt idx="52">
                  <c:v>0.2</c:v>
                </c:pt>
                <c:pt idx="53">
                  <c:v>0.5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0.5</c:v>
                </c:pt>
                <c:pt idx="63">
                  <c:v>0.5</c:v>
                </c:pt>
                <c:pt idx="64">
                  <c:v>2.5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3"/>
          <c:order val="2"/>
          <c:tx>
            <c:v>2006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ACTSO2!$A$2:$A$74</c:f>
              <c:strCache>
                <c:ptCount val="73"/>
                <c:pt idx="0">
                  <c:v>AES Thames, Unit A, Montville</c:v>
                </c:pt>
                <c:pt idx="1">
                  <c:v>AES Thames, Unit B, Montville</c:v>
                </c:pt>
                <c:pt idx="2">
                  <c:v>Alfred A. Pierce, Wallingford</c:v>
                </c:pt>
                <c:pt idx="3">
                  <c:v>Algonquin Power Windsor Locks, LLC, Windsor Locks</c:v>
                </c:pt>
                <c:pt idx="4">
                  <c:v>Connecticut Jet Power, Branford</c:v>
                </c:pt>
                <c:pt idx="5">
                  <c:v>Bridgeport Energy 1, Bridgeport</c:v>
                </c:pt>
                <c:pt idx="6">
                  <c:v>Bridgeport Energy 2, Bridgeport</c:v>
                </c:pt>
                <c:pt idx="7">
                  <c:v>PSEG Power Connecticut LLC, Unit 2, Bridgeport</c:v>
                </c:pt>
                <c:pt idx="8">
                  <c:v>PSEG Power Connecticut LLC, Unit 3, Bridgeport</c:v>
                </c:pt>
                <c:pt idx="9">
                  <c:v>PSEG Power Connecticut LLC, Unit 4, Bridgeport</c:v>
                </c:pt>
                <c:pt idx="10">
                  <c:v>Capitol District Energy Center, Hartford</c:v>
                </c:pt>
                <c:pt idx="11">
                  <c:v>Fusion Paperboard, PFI Boiler, Versailles</c:v>
                </c:pt>
                <c:pt idx="12">
                  <c:v>Connecticut Jet Power, Cos Cob 10, Greenwich</c:v>
                </c:pt>
                <c:pt idx="13">
                  <c:v>Connecticut Jet Power, Cos Cob 11, Greenwich</c:v>
                </c:pt>
                <c:pt idx="14">
                  <c:v>Connecticut Jet Power, Cos Cob 12, Greenwich</c:v>
                </c:pt>
                <c:pt idx="15">
                  <c:v>Connecticut Jet Power, Cos Cob 13, Greenwich</c:v>
                </c:pt>
                <c:pt idx="16">
                  <c:v>Connecticut Jet Power, Cos Cob 14, Greenwich</c:v>
                </c:pt>
                <c:pt idx="17">
                  <c:v>Devon Power LLC, Unit 7, Milford</c:v>
                </c:pt>
                <c:pt idx="18">
                  <c:v>Devon Power LLC, Unit 8, Milford</c:v>
                </c:pt>
                <c:pt idx="19">
                  <c:v>Devon Power LLC, Unit 10, Milford</c:v>
                </c:pt>
                <c:pt idx="20">
                  <c:v>Devon Power LLC, Unit 11, Milford</c:v>
                </c:pt>
                <c:pt idx="21">
                  <c:v>Devon Power LLC, Unit 12, Milford</c:v>
                </c:pt>
                <c:pt idx="22">
                  <c:v>Devon Power LLC, Unit 13, Milford</c:v>
                </c:pt>
                <c:pt idx="23">
                  <c:v>Devon Power LLC, Unit 14, Milford</c:v>
                </c:pt>
                <c:pt idx="24">
                  <c:v>Devon Power LLC, Unit 15, Milford</c:v>
                </c:pt>
                <c:pt idx="25">
                  <c:v>Devon Power LLC, Unit 16, Milford</c:v>
                </c:pt>
                <c:pt idx="26">
                  <c:v>Devon Power LLC, Unit 17, Milford</c:v>
                </c:pt>
                <c:pt idx="27">
                  <c:v>Devon Power, LLC, Unit 18, Milford</c:v>
                </c:pt>
                <c:pt idx="28">
                  <c:v>Connecticut Jet Power, Franklin Drive, Torrington</c:v>
                </c:pt>
                <c:pt idx="29">
                  <c:v>Kleen Energy, U1, Middletown</c:v>
                </c:pt>
                <c:pt idx="30">
                  <c:v>Kleen Energy, U2, Middletown</c:v>
                </c:pt>
                <c:pt idx="31">
                  <c:v>Lake Road Generating Company 1, Killingly</c:v>
                </c:pt>
                <c:pt idx="32">
                  <c:v>Lake Road Generating Company 2, Killingly</c:v>
                </c:pt>
                <c:pt idx="33">
                  <c:v>Lake Road Generating Company 3, Killingly</c:v>
                </c:pt>
                <c:pt idx="34">
                  <c:v>Middletown Power LLC, Unit 2, Middletown</c:v>
                </c:pt>
                <c:pt idx="35">
                  <c:v>Middletown Power LLC, Unit 3, Middletown</c:v>
                </c:pt>
                <c:pt idx="36">
                  <c:v>Middletown Power LLC, Unit 4, Middletown</c:v>
                </c:pt>
                <c:pt idx="37">
                  <c:v>Middletown Power LLC, Unit 10, Middletown</c:v>
                </c:pt>
                <c:pt idx="38">
                  <c:v>Middletown Power LLC, Unit 12, Middletown</c:v>
                </c:pt>
                <c:pt idx="39">
                  <c:v>Middletown Power LLC, Unit 13, Middletown</c:v>
                </c:pt>
                <c:pt idx="40">
                  <c:v>Middletown Power LLC, Unit 14, Middletown</c:v>
                </c:pt>
                <c:pt idx="41">
                  <c:v>Middletown Power LLC, Unit 15, Middletown</c:v>
                </c:pt>
                <c:pt idx="42">
                  <c:v>Milford Power Company LLC 1, Milford</c:v>
                </c:pt>
                <c:pt idx="43">
                  <c:v>Milford Power Company LLC 2, Milford</c:v>
                </c:pt>
                <c:pt idx="44">
                  <c:v>Montville Power LLC, Unit 5, Montville</c:v>
                </c:pt>
                <c:pt idx="45">
                  <c:v>Montville Power LLC, Unit 6, Montville</c:v>
                </c:pt>
                <c:pt idx="46">
                  <c:v>PSEG Power Connecticut LLC, Unit 1, New Haven</c:v>
                </c:pt>
                <c:pt idx="47">
                  <c:v>Norwalk Power LLC, Unit 1, Norwalk</c:v>
                </c:pt>
                <c:pt idx="48">
                  <c:v>Norwalk Power LLC, Unit 2, Norwalk</c:v>
                </c:pt>
                <c:pt idx="49">
                  <c:v>Norwalk Power LLC, Unit 10, Norwalk</c:v>
                </c:pt>
                <c:pt idx="50">
                  <c:v>Norwich DPUC, Norwich</c:v>
                </c:pt>
                <c:pt idx="51">
                  <c:v>Pfizer Inc, Boiler 5, Groton</c:v>
                </c:pt>
                <c:pt idx="52">
                  <c:v>Pfizer Inc, Boiler 8, Groton</c:v>
                </c:pt>
                <c:pt idx="53">
                  <c:v>Pratt &amp; Whitney Cogen, East Hartford</c:v>
                </c:pt>
                <c:pt idx="54">
                  <c:v>CRRA, South Meadow 11A, Hartford</c:v>
                </c:pt>
                <c:pt idx="55">
                  <c:v>CRRA, South Meadow 11B, Hartford</c:v>
                </c:pt>
                <c:pt idx="56">
                  <c:v>CRRA, South Meadow 12A, Hartford</c:v>
                </c:pt>
                <c:pt idx="57">
                  <c:v>CRRA, South Meadow 12B, Hartford</c:v>
                </c:pt>
                <c:pt idx="58">
                  <c:v>CRRA, South Meadow 13A, Hartford</c:v>
                </c:pt>
                <c:pt idx="59">
                  <c:v>CRRA, South Meadow 13B, Hartford</c:v>
                </c:pt>
                <c:pt idx="60">
                  <c:v>CRRA, South Meadow 14A, Hartford</c:v>
                </c:pt>
                <c:pt idx="61">
                  <c:v>CRRA, South Meadow 14B, Hartford</c:v>
                </c:pt>
                <c:pt idx="62">
                  <c:v>Connecticut Jet Power, Torrington Terminal, Torrington</c:v>
                </c:pt>
                <c:pt idx="63">
                  <c:v>FirstLight Power Resources Services, Tunnel, Preston</c:v>
                </c:pt>
                <c:pt idx="64">
                  <c:v>Wallingford Energy 1, Wallingford</c:v>
                </c:pt>
                <c:pt idx="65">
                  <c:v>Wallingford Energy 2, Wallingford</c:v>
                </c:pt>
                <c:pt idx="66">
                  <c:v>Wallingford Energy 3, Wallingford</c:v>
                </c:pt>
                <c:pt idx="67">
                  <c:v>Wallingford Energy 4, Wallingford</c:v>
                </c:pt>
                <c:pt idx="68">
                  <c:v>Wallingford Energy 5, Wallingford</c:v>
                </c:pt>
                <c:pt idx="69">
                  <c:v>Waterbury Generation, Waterbury</c:v>
                </c:pt>
                <c:pt idx="70">
                  <c:v>Waterside Power 4, Stamford</c:v>
                </c:pt>
                <c:pt idx="71">
                  <c:v>Waterside Power 5, Stamford</c:v>
                </c:pt>
                <c:pt idx="72">
                  <c:v>Waterside Power 7, Stamford</c:v>
                </c:pt>
              </c:strCache>
            </c:strRef>
          </c:cat>
          <c:val>
            <c:numRef>
              <c:f>ACTSO2!$D$2:$D$74</c:f>
              <c:numCache>
                <c:ptCount val="73"/>
                <c:pt idx="0">
                  <c:v>1024.7</c:v>
                </c:pt>
                <c:pt idx="1">
                  <c:v>1064.2</c:v>
                </c:pt>
                <c:pt idx="2">
                  <c:v>0</c:v>
                </c:pt>
                <c:pt idx="3">
                  <c:v>2.4</c:v>
                </c:pt>
                <c:pt idx="4">
                  <c:v>0.5</c:v>
                </c:pt>
                <c:pt idx="5">
                  <c:v>2.7</c:v>
                </c:pt>
                <c:pt idx="6">
                  <c:v>2.4</c:v>
                </c:pt>
                <c:pt idx="7">
                  <c:v>77.3</c:v>
                </c:pt>
                <c:pt idx="8">
                  <c:v>2808</c:v>
                </c:pt>
                <c:pt idx="9">
                  <c:v>0.1</c:v>
                </c:pt>
                <c:pt idx="10">
                  <c:v>0.1</c:v>
                </c:pt>
                <c:pt idx="11">
                  <c:v>214.7</c:v>
                </c:pt>
                <c:pt idx="12">
                  <c:v>0.5</c:v>
                </c:pt>
                <c:pt idx="13">
                  <c:v>0.4</c:v>
                </c:pt>
                <c:pt idx="14">
                  <c:v>0.6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</c:v>
                </c:pt>
                <c:pt idx="20">
                  <c:v>0.3</c:v>
                </c:pt>
                <c:pt idx="21">
                  <c:v>0.4</c:v>
                </c:pt>
                <c:pt idx="22">
                  <c:v>0.4</c:v>
                </c:pt>
                <c:pt idx="23">
                  <c:v>0.2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2.9</c:v>
                </c:pt>
                <c:pt idx="34">
                  <c:v>83.6</c:v>
                </c:pt>
                <c:pt idx="35">
                  <c:v>123.6</c:v>
                </c:pt>
                <c:pt idx="36">
                  <c:v>122.8</c:v>
                </c:pt>
                <c:pt idx="37">
                  <c:v>0.4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3.8</c:v>
                </c:pt>
                <c:pt idx="44">
                  <c:v>9.4</c:v>
                </c:pt>
                <c:pt idx="45">
                  <c:v>217.1</c:v>
                </c:pt>
                <c:pt idx="46">
                  <c:v>689</c:v>
                </c:pt>
                <c:pt idx="47">
                  <c:v>273</c:v>
                </c:pt>
                <c:pt idx="48">
                  <c:v>374</c:v>
                </c:pt>
                <c:pt idx="49">
                  <c:v>0.5</c:v>
                </c:pt>
                <c:pt idx="50">
                  <c:v>0.5</c:v>
                </c:pt>
                <c:pt idx="51">
                  <c:v>32.6</c:v>
                </c:pt>
                <c:pt idx="52">
                  <c:v>0.1</c:v>
                </c:pt>
                <c:pt idx="53">
                  <c:v>0.5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0.3</c:v>
                </c:pt>
                <c:pt idx="59">
                  <c:v>0.3</c:v>
                </c:pt>
                <c:pt idx="60">
                  <c:v>0.2</c:v>
                </c:pt>
                <c:pt idx="61">
                  <c:v>0.2</c:v>
                </c:pt>
                <c:pt idx="62">
                  <c:v>0.5</c:v>
                </c:pt>
                <c:pt idx="63">
                  <c:v>0.5</c:v>
                </c:pt>
                <c:pt idx="64">
                  <c:v>0.1</c:v>
                </c:pt>
                <c:pt idx="65">
                  <c:v>0.2</c:v>
                </c:pt>
                <c:pt idx="66">
                  <c:v>0.2</c:v>
                </c:pt>
                <c:pt idx="67">
                  <c:v>0.1</c:v>
                </c:pt>
                <c:pt idx="68">
                  <c:v>0.1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0"/>
          <c:order val="3"/>
          <c:tx>
            <c:v>2011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ACTSO2!$A$2:$A$74</c:f>
              <c:strCache>
                <c:ptCount val="73"/>
                <c:pt idx="0">
                  <c:v>AES Thames, Unit A, Montville</c:v>
                </c:pt>
                <c:pt idx="1">
                  <c:v>AES Thames, Unit B, Montville</c:v>
                </c:pt>
                <c:pt idx="2">
                  <c:v>Alfred A. Pierce, Wallingford</c:v>
                </c:pt>
                <c:pt idx="3">
                  <c:v>Algonquin Power Windsor Locks, LLC, Windsor Locks</c:v>
                </c:pt>
                <c:pt idx="4">
                  <c:v>Connecticut Jet Power, Branford</c:v>
                </c:pt>
                <c:pt idx="5">
                  <c:v>Bridgeport Energy 1, Bridgeport</c:v>
                </c:pt>
                <c:pt idx="6">
                  <c:v>Bridgeport Energy 2, Bridgeport</c:v>
                </c:pt>
                <c:pt idx="7">
                  <c:v>PSEG Power Connecticut LLC, Unit 2, Bridgeport</c:v>
                </c:pt>
                <c:pt idx="8">
                  <c:v>PSEG Power Connecticut LLC, Unit 3, Bridgeport</c:v>
                </c:pt>
                <c:pt idx="9">
                  <c:v>PSEG Power Connecticut LLC, Unit 4, Bridgeport</c:v>
                </c:pt>
                <c:pt idx="10">
                  <c:v>Capitol District Energy Center, Hartford</c:v>
                </c:pt>
                <c:pt idx="11">
                  <c:v>Fusion Paperboard, PFI Boiler, Versailles</c:v>
                </c:pt>
                <c:pt idx="12">
                  <c:v>Connecticut Jet Power, Cos Cob 10, Greenwich</c:v>
                </c:pt>
                <c:pt idx="13">
                  <c:v>Connecticut Jet Power, Cos Cob 11, Greenwich</c:v>
                </c:pt>
                <c:pt idx="14">
                  <c:v>Connecticut Jet Power, Cos Cob 12, Greenwich</c:v>
                </c:pt>
                <c:pt idx="15">
                  <c:v>Connecticut Jet Power, Cos Cob 13, Greenwich</c:v>
                </c:pt>
                <c:pt idx="16">
                  <c:v>Connecticut Jet Power, Cos Cob 14, Greenwich</c:v>
                </c:pt>
                <c:pt idx="17">
                  <c:v>Devon Power LLC, Unit 7, Milford</c:v>
                </c:pt>
                <c:pt idx="18">
                  <c:v>Devon Power LLC, Unit 8, Milford</c:v>
                </c:pt>
                <c:pt idx="19">
                  <c:v>Devon Power LLC, Unit 10, Milford</c:v>
                </c:pt>
                <c:pt idx="20">
                  <c:v>Devon Power LLC, Unit 11, Milford</c:v>
                </c:pt>
                <c:pt idx="21">
                  <c:v>Devon Power LLC, Unit 12, Milford</c:v>
                </c:pt>
                <c:pt idx="22">
                  <c:v>Devon Power LLC, Unit 13, Milford</c:v>
                </c:pt>
                <c:pt idx="23">
                  <c:v>Devon Power LLC, Unit 14, Milford</c:v>
                </c:pt>
                <c:pt idx="24">
                  <c:v>Devon Power LLC, Unit 15, Milford</c:v>
                </c:pt>
                <c:pt idx="25">
                  <c:v>Devon Power LLC, Unit 16, Milford</c:v>
                </c:pt>
                <c:pt idx="26">
                  <c:v>Devon Power LLC, Unit 17, Milford</c:v>
                </c:pt>
                <c:pt idx="27">
                  <c:v>Devon Power, LLC, Unit 18, Milford</c:v>
                </c:pt>
                <c:pt idx="28">
                  <c:v>Connecticut Jet Power, Franklin Drive, Torrington</c:v>
                </c:pt>
                <c:pt idx="29">
                  <c:v>Kleen Energy, U1, Middletown</c:v>
                </c:pt>
                <c:pt idx="30">
                  <c:v>Kleen Energy, U2, Middletown</c:v>
                </c:pt>
                <c:pt idx="31">
                  <c:v>Lake Road Generating Company 1, Killingly</c:v>
                </c:pt>
                <c:pt idx="32">
                  <c:v>Lake Road Generating Company 2, Killingly</c:v>
                </c:pt>
                <c:pt idx="33">
                  <c:v>Lake Road Generating Company 3, Killingly</c:v>
                </c:pt>
                <c:pt idx="34">
                  <c:v>Middletown Power LLC, Unit 2, Middletown</c:v>
                </c:pt>
                <c:pt idx="35">
                  <c:v>Middletown Power LLC, Unit 3, Middletown</c:v>
                </c:pt>
                <c:pt idx="36">
                  <c:v>Middletown Power LLC, Unit 4, Middletown</c:v>
                </c:pt>
                <c:pt idx="37">
                  <c:v>Middletown Power LLC, Unit 10, Middletown</c:v>
                </c:pt>
                <c:pt idx="38">
                  <c:v>Middletown Power LLC, Unit 12, Middletown</c:v>
                </c:pt>
                <c:pt idx="39">
                  <c:v>Middletown Power LLC, Unit 13, Middletown</c:v>
                </c:pt>
                <c:pt idx="40">
                  <c:v>Middletown Power LLC, Unit 14, Middletown</c:v>
                </c:pt>
                <c:pt idx="41">
                  <c:v>Middletown Power LLC, Unit 15, Middletown</c:v>
                </c:pt>
                <c:pt idx="42">
                  <c:v>Milford Power Company LLC 1, Milford</c:v>
                </c:pt>
                <c:pt idx="43">
                  <c:v>Milford Power Company LLC 2, Milford</c:v>
                </c:pt>
                <c:pt idx="44">
                  <c:v>Montville Power LLC, Unit 5, Montville</c:v>
                </c:pt>
                <c:pt idx="45">
                  <c:v>Montville Power LLC, Unit 6, Montville</c:v>
                </c:pt>
                <c:pt idx="46">
                  <c:v>PSEG Power Connecticut LLC, Unit 1, New Haven</c:v>
                </c:pt>
                <c:pt idx="47">
                  <c:v>Norwalk Power LLC, Unit 1, Norwalk</c:v>
                </c:pt>
                <c:pt idx="48">
                  <c:v>Norwalk Power LLC, Unit 2, Norwalk</c:v>
                </c:pt>
                <c:pt idx="49">
                  <c:v>Norwalk Power LLC, Unit 10, Norwalk</c:v>
                </c:pt>
                <c:pt idx="50">
                  <c:v>Norwich DPUC, Norwich</c:v>
                </c:pt>
                <c:pt idx="51">
                  <c:v>Pfizer Inc, Boiler 5, Groton</c:v>
                </c:pt>
                <c:pt idx="52">
                  <c:v>Pfizer Inc, Boiler 8, Groton</c:v>
                </c:pt>
                <c:pt idx="53">
                  <c:v>Pratt &amp; Whitney Cogen, East Hartford</c:v>
                </c:pt>
                <c:pt idx="54">
                  <c:v>CRRA, South Meadow 11A, Hartford</c:v>
                </c:pt>
                <c:pt idx="55">
                  <c:v>CRRA, South Meadow 11B, Hartford</c:v>
                </c:pt>
                <c:pt idx="56">
                  <c:v>CRRA, South Meadow 12A, Hartford</c:v>
                </c:pt>
                <c:pt idx="57">
                  <c:v>CRRA, South Meadow 12B, Hartford</c:v>
                </c:pt>
                <c:pt idx="58">
                  <c:v>CRRA, South Meadow 13A, Hartford</c:v>
                </c:pt>
                <c:pt idx="59">
                  <c:v>CRRA, South Meadow 13B, Hartford</c:v>
                </c:pt>
                <c:pt idx="60">
                  <c:v>CRRA, South Meadow 14A, Hartford</c:v>
                </c:pt>
                <c:pt idx="61">
                  <c:v>CRRA, South Meadow 14B, Hartford</c:v>
                </c:pt>
                <c:pt idx="62">
                  <c:v>Connecticut Jet Power, Torrington Terminal, Torrington</c:v>
                </c:pt>
                <c:pt idx="63">
                  <c:v>FirstLight Power Resources Services, Tunnel, Preston</c:v>
                </c:pt>
                <c:pt idx="64">
                  <c:v>Wallingford Energy 1, Wallingford</c:v>
                </c:pt>
                <c:pt idx="65">
                  <c:v>Wallingford Energy 2, Wallingford</c:v>
                </c:pt>
                <c:pt idx="66">
                  <c:v>Wallingford Energy 3, Wallingford</c:v>
                </c:pt>
                <c:pt idx="67">
                  <c:v>Wallingford Energy 4, Wallingford</c:v>
                </c:pt>
                <c:pt idx="68">
                  <c:v>Wallingford Energy 5, Wallingford</c:v>
                </c:pt>
                <c:pt idx="69">
                  <c:v>Waterbury Generation, Waterbury</c:v>
                </c:pt>
                <c:pt idx="70">
                  <c:v>Waterside Power 4, Stamford</c:v>
                </c:pt>
                <c:pt idx="71">
                  <c:v>Waterside Power 5, Stamford</c:v>
                </c:pt>
                <c:pt idx="72">
                  <c:v>Waterside Power 7, Stamford</c:v>
                </c:pt>
              </c:strCache>
            </c:strRef>
          </c:cat>
          <c:val>
            <c:numRef>
              <c:f>ACTSO2!$E$2:$E$74</c:f>
              <c:numCache>
                <c:ptCount val="73"/>
                <c:pt idx="0">
                  <c:v>60.13</c:v>
                </c:pt>
                <c:pt idx="1">
                  <c:v>27.32</c:v>
                </c:pt>
                <c:pt idx="2">
                  <c:v>0.058</c:v>
                </c:pt>
                <c:pt idx="3">
                  <c:v>2.74</c:v>
                </c:pt>
                <c:pt idx="4">
                  <c:v>0.54</c:v>
                </c:pt>
                <c:pt idx="5">
                  <c:v>3</c:v>
                </c:pt>
                <c:pt idx="6">
                  <c:v>3.6</c:v>
                </c:pt>
                <c:pt idx="7">
                  <c:v>0.7</c:v>
                </c:pt>
                <c:pt idx="8">
                  <c:v>512.9</c:v>
                </c:pt>
                <c:pt idx="9">
                  <c:v>0.016</c:v>
                </c:pt>
                <c:pt idx="10">
                  <c:v>0.013</c:v>
                </c:pt>
                <c:pt idx="11">
                  <c:v>8.2</c:v>
                </c:pt>
                <c:pt idx="12">
                  <c:v>0.0039</c:v>
                </c:pt>
                <c:pt idx="13">
                  <c:v>0.0038</c:v>
                </c:pt>
                <c:pt idx="14">
                  <c:v>0.0043</c:v>
                </c:pt>
                <c:pt idx="15">
                  <c:v>0.0049</c:v>
                </c:pt>
                <c:pt idx="16">
                  <c:v>0.002</c:v>
                </c:pt>
                <c:pt idx="17">
                  <c:v>0</c:v>
                </c:pt>
                <c:pt idx="18">
                  <c:v>0</c:v>
                </c:pt>
                <c:pt idx="19">
                  <c:v>0.069</c:v>
                </c:pt>
                <c:pt idx="20">
                  <c:v>0.0051</c:v>
                </c:pt>
                <c:pt idx="21">
                  <c:v>0.0044</c:v>
                </c:pt>
                <c:pt idx="22">
                  <c:v>0.0047</c:v>
                </c:pt>
                <c:pt idx="23">
                  <c:v>0.0057</c:v>
                </c:pt>
                <c:pt idx="24">
                  <c:v>0.016</c:v>
                </c:pt>
                <c:pt idx="25">
                  <c:v>0.015</c:v>
                </c:pt>
                <c:pt idx="26">
                  <c:v>0.014</c:v>
                </c:pt>
                <c:pt idx="27">
                  <c:v>0.012</c:v>
                </c:pt>
                <c:pt idx="28">
                  <c:v>0.061</c:v>
                </c:pt>
                <c:pt idx="29">
                  <c:v>1.65</c:v>
                </c:pt>
                <c:pt idx="30">
                  <c:v>1.56</c:v>
                </c:pt>
                <c:pt idx="31">
                  <c:v>3.9</c:v>
                </c:pt>
                <c:pt idx="32">
                  <c:v>3.7</c:v>
                </c:pt>
                <c:pt idx="33">
                  <c:v>3.8</c:v>
                </c:pt>
                <c:pt idx="34">
                  <c:v>0.55</c:v>
                </c:pt>
                <c:pt idx="35">
                  <c:v>7.4</c:v>
                </c:pt>
                <c:pt idx="36">
                  <c:v>53.3</c:v>
                </c:pt>
                <c:pt idx="37">
                  <c:v>0.041</c:v>
                </c:pt>
                <c:pt idx="38">
                  <c:v>0.037</c:v>
                </c:pt>
                <c:pt idx="39">
                  <c:v>0</c:v>
                </c:pt>
                <c:pt idx="40">
                  <c:v>0.04</c:v>
                </c:pt>
                <c:pt idx="41">
                  <c:v>0.032</c:v>
                </c:pt>
                <c:pt idx="42">
                  <c:v>3.81</c:v>
                </c:pt>
                <c:pt idx="43">
                  <c:v>4.46</c:v>
                </c:pt>
                <c:pt idx="44">
                  <c:v>11.1</c:v>
                </c:pt>
                <c:pt idx="45">
                  <c:v>16</c:v>
                </c:pt>
                <c:pt idx="46">
                  <c:v>67.6</c:v>
                </c:pt>
                <c:pt idx="47">
                  <c:v>23.37</c:v>
                </c:pt>
                <c:pt idx="48">
                  <c:v>25.63</c:v>
                </c:pt>
                <c:pt idx="49">
                  <c:v>0.31</c:v>
                </c:pt>
                <c:pt idx="50">
                  <c:v>0.49</c:v>
                </c:pt>
                <c:pt idx="51">
                  <c:v>1.31</c:v>
                </c:pt>
                <c:pt idx="52">
                  <c:v>0</c:v>
                </c:pt>
                <c:pt idx="53">
                  <c:v>0.37</c:v>
                </c:pt>
                <c:pt idx="54">
                  <c:v>0.1</c:v>
                </c:pt>
                <c:pt idx="55">
                  <c:v>0.1</c:v>
                </c:pt>
                <c:pt idx="56">
                  <c:v>0.12</c:v>
                </c:pt>
                <c:pt idx="57">
                  <c:v>0.12</c:v>
                </c:pt>
                <c:pt idx="58">
                  <c:v>0.1</c:v>
                </c:pt>
                <c:pt idx="59">
                  <c:v>0.13</c:v>
                </c:pt>
                <c:pt idx="60">
                  <c:v>0.11</c:v>
                </c:pt>
                <c:pt idx="61">
                  <c:v>0.11</c:v>
                </c:pt>
                <c:pt idx="62">
                  <c:v>0.061</c:v>
                </c:pt>
                <c:pt idx="63">
                  <c:v>0.49</c:v>
                </c:pt>
                <c:pt idx="64">
                  <c:v>0.087</c:v>
                </c:pt>
                <c:pt idx="65">
                  <c:v>0.11</c:v>
                </c:pt>
                <c:pt idx="66">
                  <c:v>0.11</c:v>
                </c:pt>
                <c:pt idx="67">
                  <c:v>0.11</c:v>
                </c:pt>
                <c:pt idx="68">
                  <c:v>0.1</c:v>
                </c:pt>
                <c:pt idx="69">
                  <c:v>0.23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overlap val="-3"/>
        <c:gapWidth val="0"/>
        <c:axId val="24574513"/>
        <c:axId val="19844026"/>
      </c:barChart>
      <c:catAx>
        <c:axId val="2457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844026"/>
        <c:crosses val="autoZero"/>
        <c:auto val="1"/>
        <c:lblOffset val="100"/>
        <c:tickLblSkip val="2"/>
        <c:noMultiLvlLbl val="0"/>
      </c:catAx>
      <c:valAx>
        <c:axId val="19844026"/>
        <c:scaling>
          <c:orientation val="minMax"/>
          <c:max val="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74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475"/>
          <c:y val="0.03975"/>
          <c:w val="0.3282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000000"/>
                </a:solidFill>
              </a:rPr>
              <a:t>Actual SO</a:t>
            </a:r>
            <a:r>
              <a:rPr lang="en-US" cap="none" sz="1800" b="0" i="1" u="none" baseline="-25000">
                <a:solidFill>
                  <a:srgbClr val="000000"/>
                </a:solidFill>
              </a:rPr>
              <a:t>2</a:t>
            </a:r>
            <a:r>
              <a:rPr lang="en-US" cap="none" sz="1800" b="0" i="1" u="none" baseline="0">
                <a:solidFill>
                  <a:srgbClr val="000000"/>
                </a:solidFill>
              </a:rPr>
              <a:t> Emissions of Post 2002 NO</a:t>
            </a:r>
            <a:r>
              <a:rPr lang="en-US" cap="none" sz="1800" b="0" i="1" u="none" baseline="-25000">
                <a:solidFill>
                  <a:srgbClr val="000000"/>
                </a:solidFill>
              </a:rPr>
              <a:t>x</a:t>
            </a:r>
            <a:r>
              <a:rPr lang="en-US" cap="none" sz="1800" b="0" i="1" u="none" baseline="0">
                <a:solidFill>
                  <a:srgbClr val="000000"/>
                </a:solidFill>
              </a:rPr>
              <a:t> Applicable Units
</a:t>
            </a:r>
            <a:r>
              <a:rPr lang="en-US" cap="none" sz="1800" b="0" i="1" u="none" baseline="0">
                <a:solidFill>
                  <a:srgbClr val="000000"/>
                </a:solidFill>
              </a:rPr>
              <a:t> (with BART-Eligible Units Differentiated)</a:t>
            </a:r>
          </a:p>
        </c:rich>
      </c:tx>
      <c:layout>
        <c:manualLayout>
          <c:xMode val="factor"/>
          <c:yMode val="factor"/>
          <c:x val="0.021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098"/>
          <c:w val="0.9022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ACTSO2!$A$77</c:f>
              <c:strCache>
                <c:ptCount val="1"/>
                <c:pt idx="0">
                  <c:v>Additional to BART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2006</c:v>
              </c:pt>
              <c:pt idx="3">
                <c:v>2011</c:v>
              </c:pt>
              <c:pt idx="4">
                <c:v>2014</c:v>
              </c:pt>
            </c:numLit>
          </c:cat>
          <c:val>
            <c:numRef>
              <c:f>ACTSO2!$B$77:$F$77</c:f>
              <c:numCache>
                <c:ptCount val="5"/>
                <c:pt idx="0">
                  <c:v>8674.3</c:v>
                </c:pt>
                <c:pt idx="1">
                  <c:v>3328.9000000000106</c:v>
                </c:pt>
                <c:pt idx="2">
                  <c:v>2597.2000000000025</c:v>
                </c:pt>
                <c:pt idx="3">
                  <c:v>161.06079999999986</c:v>
                </c:pt>
                <c:pt idx="4">
                  <c:v>105.39663137920047</c:v>
                </c:pt>
              </c:numCache>
            </c:numRef>
          </c:val>
        </c:ser>
        <c:ser>
          <c:idx val="1"/>
          <c:order val="1"/>
          <c:tx>
            <c:strRef>
              <c:f>ACTSO2!$A$76</c:f>
              <c:strCache>
                <c:ptCount val="1"/>
                <c:pt idx="0">
                  <c:v>BART Only Total</c:v>
                </c:pt>
              </c:strCache>
            </c:strRef>
          </c:tx>
          <c:spPr>
            <a:solidFill>
              <a:srgbClr val="953735">
                <a:alpha val="77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2006</c:v>
              </c:pt>
              <c:pt idx="3">
                <c:v>2011</c:v>
              </c:pt>
              <c:pt idx="4">
                <c:v>2014</c:v>
              </c:pt>
            </c:numLit>
          </c:cat>
          <c:val>
            <c:numRef>
              <c:f>ACTSO2!$B$76:$F$76</c:f>
              <c:numCache>
                <c:ptCount val="5"/>
                <c:pt idx="0">
                  <c:v>26950.7</c:v>
                </c:pt>
                <c:pt idx="1">
                  <c:v>9726.9</c:v>
                </c:pt>
                <c:pt idx="2">
                  <c:v>4549.2</c:v>
                </c:pt>
                <c:pt idx="3">
                  <c:v>691.03</c:v>
                </c:pt>
                <c:pt idx="4">
                  <c:v>1386.17426</c:v>
                </c:pt>
              </c:numCache>
            </c:numRef>
          </c:val>
        </c:ser>
        <c:overlap val="100"/>
        <c:axId val="44378507"/>
        <c:axId val="63862244"/>
      </c:barChart>
      <c:catAx>
        <c:axId val="4437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862244"/>
        <c:crosses val="autoZero"/>
        <c:auto val="1"/>
        <c:lblOffset val="100"/>
        <c:tickLblSkip val="1"/>
        <c:noMultiLvlLbl val="0"/>
      </c:catAx>
      <c:valAx>
        <c:axId val="63862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SO</a:t>
                </a:r>
                <a:r>
                  <a:rPr lang="en-US" cap="none" sz="16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Emissions (TPY)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378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125"/>
          <c:y val="0.116"/>
          <c:w val="0.34875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000000"/>
                </a:solidFill>
              </a:rPr>
              <a:t>Connecticut Alternative BART Unit Emissions Trends</a:t>
            </a:r>
          </a:p>
        </c:rich>
      </c:tx>
      <c:layout>
        <c:manualLayout>
          <c:xMode val="factor"/>
          <c:yMode val="factor"/>
          <c:x val="0.04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0855"/>
          <c:w val="0.9332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of Alt BART'!$B$3</c:f>
              <c:strCache>
                <c:ptCount val="1"/>
                <c:pt idx="0">
                  <c:v>NOx</c:v>
                </c:pt>
              </c:strCache>
            </c:strRef>
          </c:tx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of Alt BART'!$C$2:$H$2</c:f>
              <c:numCache/>
            </c:numRef>
          </c:cat>
          <c:val>
            <c:numRef>
              <c:f>'Summary of Alt BART'!$C$3:$H$3</c:f>
              <c:numCache/>
            </c:numRef>
          </c:val>
        </c:ser>
        <c:ser>
          <c:idx val="1"/>
          <c:order val="1"/>
          <c:tx>
            <c:strRef>
              <c:f>'Summary of Alt BART'!$B$4</c:f>
              <c:strCache>
                <c:ptCount val="1"/>
                <c:pt idx="0">
                  <c:v>SO2</c:v>
                </c:pt>
              </c:strCache>
            </c:strRef>
          </c:tx>
          <c:spPr>
            <a:solidFill>
              <a:srgbClr val="E1472D">
                <a:alpha val="93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of Alt BART'!$C$2:$H$2</c:f>
              <c:numCache/>
            </c:numRef>
          </c:cat>
          <c:val>
            <c:numRef>
              <c:f>'Summary of Alt BART'!$C$4:$H$4</c:f>
              <c:numCache/>
            </c:numRef>
          </c:val>
        </c:ser>
        <c:axId val="37889285"/>
        <c:axId val="5459246"/>
      </c:barChart>
      <c:catAx>
        <c:axId val="37889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9246"/>
        <c:crosses val="autoZero"/>
        <c:auto val="1"/>
        <c:lblOffset val="100"/>
        <c:tickLblSkip val="1"/>
        <c:noMultiLvlLbl val="0"/>
      </c:catAx>
      <c:valAx>
        <c:axId val="5459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Total Annual Emissions (TPY)</a:t>
                </a:r>
              </a:p>
            </c:rich>
          </c:tx>
          <c:layout>
            <c:manualLayout>
              <c:xMode val="factor"/>
              <c:yMode val="factor"/>
              <c:x val="-0.021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89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75"/>
          <c:y val="0.115"/>
          <c:w val="0.14625"/>
          <c:h val="0.1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28575</xdr:rowOff>
    </xdr:from>
    <xdr:to>
      <xdr:col>11</xdr:col>
      <xdr:colOff>428625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76200" y="1162050"/>
        <a:ext cx="70580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zoomScale="75" zoomScaleNormal="75" zoomScalePageLayoutView="0" workbookViewId="0" topLeftCell="A50">
      <selection activeCell="A77" sqref="A77:H77"/>
    </sheetView>
  </sheetViews>
  <sheetFormatPr defaultColWidth="9.140625" defaultRowHeight="12.75"/>
  <cols>
    <col min="1" max="1" width="49.57421875" style="21" customWidth="1"/>
    <col min="2" max="7" width="11.7109375" style="21" customWidth="1"/>
    <col min="8" max="8" width="11.7109375" style="37" customWidth="1"/>
    <col min="9" max="9" width="11.7109375" style="21" customWidth="1"/>
    <col min="10" max="10" width="11.7109375" style="38" customWidth="1"/>
    <col min="11" max="16384" width="9.140625" style="38" customWidth="1"/>
  </cols>
  <sheetData>
    <row r="1" spans="1:10" ht="189.75" thickBot="1">
      <c r="A1" s="42" t="s">
        <v>0</v>
      </c>
      <c r="B1" s="39" t="s">
        <v>67</v>
      </c>
      <c r="C1" s="40" t="s">
        <v>1</v>
      </c>
      <c r="D1" s="40" t="s">
        <v>66</v>
      </c>
      <c r="E1" s="53" t="s">
        <v>95</v>
      </c>
      <c r="F1" s="53" t="s">
        <v>276</v>
      </c>
      <c r="G1" s="53" t="s">
        <v>292</v>
      </c>
      <c r="H1" s="54" t="s">
        <v>285</v>
      </c>
      <c r="I1" s="53" t="s">
        <v>2</v>
      </c>
      <c r="J1" s="41" t="s">
        <v>281</v>
      </c>
    </row>
    <row r="2" spans="1:10" ht="12.75">
      <c r="A2" s="62" t="s">
        <v>3</v>
      </c>
      <c r="B2" s="63">
        <v>1040</v>
      </c>
      <c r="C2" s="63">
        <v>1095</v>
      </c>
      <c r="D2" s="63">
        <v>1024.7</v>
      </c>
      <c r="E2" s="63">
        <v>60.13</v>
      </c>
      <c r="F2" s="64" t="s">
        <v>277</v>
      </c>
      <c r="G2" s="65" t="str">
        <f>IF(B2="NA","New Unit",(IF(ISNUMBER(F2),(F2-B2)/B2,"-100%")))</f>
        <v>-100%</v>
      </c>
      <c r="H2" s="65" t="str">
        <f>IF(C2="NA","New Unit",(IF(ISNUMBER(F2),(F2-C2)/C2,"-100%")))</f>
        <v>-100%</v>
      </c>
      <c r="I2" s="63" t="s">
        <v>4</v>
      </c>
      <c r="J2" s="66" t="s">
        <v>280</v>
      </c>
    </row>
    <row r="3" spans="1:10" ht="12.75">
      <c r="A3" s="67" t="s">
        <v>5</v>
      </c>
      <c r="B3" s="22">
        <v>1040</v>
      </c>
      <c r="C3" s="22">
        <v>1074</v>
      </c>
      <c r="D3" s="22">
        <v>1064.2</v>
      </c>
      <c r="E3" s="22">
        <v>27.32</v>
      </c>
      <c r="F3" s="35" t="s">
        <v>277</v>
      </c>
      <c r="G3" s="59" t="str">
        <f aca="true" t="shared" si="0" ref="G3:G66">IF(B3="NA","New Unit",(IF(ISNUMBER(F3),(F3-B3)/B3,"-100%")))</f>
        <v>-100%</v>
      </c>
      <c r="H3" s="59" t="str">
        <f aca="true" t="shared" si="1" ref="H3:H66">IF(C3="NA","New Unit",(IF(ISNUMBER(F3),(F3-C3)/C3,"-100%")))</f>
        <v>-100%</v>
      </c>
      <c r="I3" s="22" t="s">
        <v>4</v>
      </c>
      <c r="J3" s="68" t="s">
        <v>280</v>
      </c>
    </row>
    <row r="4" spans="1:10" ht="12.75">
      <c r="A4" s="67" t="s">
        <v>88</v>
      </c>
      <c r="B4" s="22" t="s">
        <v>68</v>
      </c>
      <c r="C4" s="22" t="s">
        <v>68</v>
      </c>
      <c r="D4" s="22" t="s">
        <v>68</v>
      </c>
      <c r="E4" s="22">
        <v>0.058</v>
      </c>
      <c r="F4" s="35">
        <v>0.06</v>
      </c>
      <c r="G4" s="59" t="str">
        <f t="shared" si="0"/>
        <v>New Unit</v>
      </c>
      <c r="H4" s="59" t="str">
        <f t="shared" si="1"/>
        <v>New Unit</v>
      </c>
      <c r="I4" s="22" t="s">
        <v>9</v>
      </c>
      <c r="J4" s="68" t="s">
        <v>280</v>
      </c>
    </row>
    <row r="5" spans="1:10" ht="12.75">
      <c r="A5" s="67" t="s">
        <v>6</v>
      </c>
      <c r="B5" s="22">
        <v>3.4</v>
      </c>
      <c r="C5" s="22">
        <v>3</v>
      </c>
      <c r="D5" s="22">
        <v>2.4</v>
      </c>
      <c r="E5" s="22">
        <v>2.74</v>
      </c>
      <c r="F5" s="35">
        <v>2.762222</v>
      </c>
      <c r="G5" s="59">
        <f t="shared" si="0"/>
        <v>-0.18758176470588234</v>
      </c>
      <c r="H5" s="59">
        <f t="shared" si="1"/>
        <v>-0.07925933333333335</v>
      </c>
      <c r="I5" s="22" t="s">
        <v>4</v>
      </c>
      <c r="J5" s="68" t="s">
        <v>282</v>
      </c>
    </row>
    <row r="6" spans="1:10" ht="12.75">
      <c r="A6" s="67" t="s">
        <v>7</v>
      </c>
      <c r="B6" s="22">
        <v>0.7</v>
      </c>
      <c r="C6" s="22">
        <v>0.5</v>
      </c>
      <c r="D6" s="22">
        <v>0.5</v>
      </c>
      <c r="E6" s="22">
        <v>0.54</v>
      </c>
      <c r="F6" s="35">
        <v>5.033E-05</v>
      </c>
      <c r="G6" s="59">
        <f t="shared" si="0"/>
        <v>-0.9999281</v>
      </c>
      <c r="H6" s="59">
        <f t="shared" si="1"/>
        <v>-0.99989934</v>
      </c>
      <c r="I6" s="22" t="s">
        <v>4</v>
      </c>
      <c r="J6" s="68" t="s">
        <v>282</v>
      </c>
    </row>
    <row r="7" spans="1:10" ht="12.75">
      <c r="A7" s="67" t="s">
        <v>8</v>
      </c>
      <c r="B7" s="22">
        <v>2.7</v>
      </c>
      <c r="C7" s="22">
        <v>3.5</v>
      </c>
      <c r="D7" s="22">
        <v>2.7</v>
      </c>
      <c r="E7" s="22">
        <v>3</v>
      </c>
      <c r="F7" s="35">
        <v>2.614</v>
      </c>
      <c r="G7" s="59">
        <f t="shared" si="0"/>
        <v>-0.03185185185185196</v>
      </c>
      <c r="H7" s="59">
        <f t="shared" si="1"/>
        <v>-0.25314285714285717</v>
      </c>
      <c r="I7" s="22" t="s">
        <v>9</v>
      </c>
      <c r="J7" s="68" t="s">
        <v>280</v>
      </c>
    </row>
    <row r="8" spans="1:10" ht="12.75">
      <c r="A8" s="67" t="s">
        <v>10</v>
      </c>
      <c r="B8" s="22">
        <v>2.7</v>
      </c>
      <c r="C8" s="22">
        <v>3.5</v>
      </c>
      <c r="D8" s="22">
        <v>2.4</v>
      </c>
      <c r="E8" s="22">
        <v>3.6</v>
      </c>
      <c r="F8" s="35">
        <v>2.909</v>
      </c>
      <c r="G8" s="59">
        <f t="shared" si="0"/>
        <v>0.07740740740740727</v>
      </c>
      <c r="H8" s="59">
        <f t="shared" si="1"/>
        <v>-0.1688571428571429</v>
      </c>
      <c r="I8" s="22" t="s">
        <v>9</v>
      </c>
      <c r="J8" s="68" t="s">
        <v>280</v>
      </c>
    </row>
    <row r="9" spans="1:10" ht="12.75">
      <c r="A9" s="67" t="s">
        <v>11</v>
      </c>
      <c r="B9" s="22">
        <v>434.6</v>
      </c>
      <c r="C9" s="22">
        <v>66.5</v>
      </c>
      <c r="D9" s="22">
        <v>77.3</v>
      </c>
      <c r="E9" s="22">
        <v>0.7</v>
      </c>
      <c r="F9" s="35" t="s">
        <v>278</v>
      </c>
      <c r="G9" s="59" t="str">
        <f t="shared" si="0"/>
        <v>-100%</v>
      </c>
      <c r="H9" s="59" t="str">
        <f t="shared" si="1"/>
        <v>-100%</v>
      </c>
      <c r="I9" s="22" t="s">
        <v>9</v>
      </c>
      <c r="J9" s="68" t="s">
        <v>280</v>
      </c>
    </row>
    <row r="10" spans="1:10" ht="12.75">
      <c r="A10" s="69" t="s">
        <v>12</v>
      </c>
      <c r="B10" s="29">
        <v>10429</v>
      </c>
      <c r="C10" s="29">
        <v>4023.6</v>
      </c>
      <c r="D10" s="29">
        <v>2808</v>
      </c>
      <c r="E10" s="29">
        <v>512.9</v>
      </c>
      <c r="F10" s="36">
        <v>921.648</v>
      </c>
      <c r="G10" s="61">
        <f t="shared" si="0"/>
        <v>-0.9116264263112476</v>
      </c>
      <c r="H10" s="61">
        <f t="shared" si="1"/>
        <v>-0.7709394572025052</v>
      </c>
      <c r="I10" s="29" t="s">
        <v>9</v>
      </c>
      <c r="J10" s="75" t="s">
        <v>280</v>
      </c>
    </row>
    <row r="11" spans="1:10" ht="12.75">
      <c r="A11" s="67" t="s">
        <v>13</v>
      </c>
      <c r="B11" s="22">
        <v>0.1</v>
      </c>
      <c r="C11" s="22">
        <v>0.1</v>
      </c>
      <c r="D11" s="22">
        <v>0.1</v>
      </c>
      <c r="E11" s="22">
        <v>0.016</v>
      </c>
      <c r="F11" s="35">
        <v>0.46096</v>
      </c>
      <c r="G11" s="59">
        <f t="shared" si="0"/>
        <v>3.6095999999999995</v>
      </c>
      <c r="H11" s="59">
        <f t="shared" si="1"/>
        <v>3.6095999999999995</v>
      </c>
      <c r="I11" s="22" t="s">
        <v>4</v>
      </c>
      <c r="J11" s="68" t="s">
        <v>282</v>
      </c>
    </row>
    <row r="12" spans="1:10" ht="12.75">
      <c r="A12" s="67" t="s">
        <v>14</v>
      </c>
      <c r="B12" s="22">
        <v>1.8</v>
      </c>
      <c r="C12" s="22">
        <v>2</v>
      </c>
      <c r="D12" s="22">
        <v>0.1</v>
      </c>
      <c r="E12" s="22">
        <v>0.013</v>
      </c>
      <c r="F12" s="35">
        <v>1.02</v>
      </c>
      <c r="G12" s="59">
        <f t="shared" si="0"/>
        <v>-0.43333333333333335</v>
      </c>
      <c r="H12" s="59">
        <f t="shared" si="1"/>
        <v>-0.49</v>
      </c>
      <c r="I12" s="22" t="s">
        <v>9</v>
      </c>
      <c r="J12" s="68" t="s">
        <v>280</v>
      </c>
    </row>
    <row r="13" spans="1:10" ht="12.75">
      <c r="A13" s="69" t="s">
        <v>86</v>
      </c>
      <c r="B13" s="29">
        <v>250.8</v>
      </c>
      <c r="C13" s="29">
        <v>0.5</v>
      </c>
      <c r="D13" s="29">
        <v>214.7</v>
      </c>
      <c r="E13" s="29">
        <v>8.2</v>
      </c>
      <c r="F13" s="36">
        <v>11.56526</v>
      </c>
      <c r="G13" s="61">
        <f t="shared" si="0"/>
        <v>-0.9538865231259969</v>
      </c>
      <c r="H13" s="61">
        <f t="shared" si="1"/>
        <v>22.13052</v>
      </c>
      <c r="I13" s="29" t="s">
        <v>4</v>
      </c>
      <c r="J13" s="75" t="s">
        <v>282</v>
      </c>
    </row>
    <row r="14" spans="1:10" ht="12.75">
      <c r="A14" s="67" t="s">
        <v>16</v>
      </c>
      <c r="B14" s="22">
        <v>0.4</v>
      </c>
      <c r="C14" s="22">
        <v>0.5</v>
      </c>
      <c r="D14" s="22">
        <v>0.5</v>
      </c>
      <c r="E14" s="22">
        <v>0.0039</v>
      </c>
      <c r="F14" s="35">
        <v>0.0106</v>
      </c>
      <c r="G14" s="59">
        <f t="shared" si="0"/>
        <v>-0.9735</v>
      </c>
      <c r="H14" s="59">
        <f t="shared" si="1"/>
        <v>-0.9788</v>
      </c>
      <c r="I14" s="22" t="s">
        <v>4</v>
      </c>
      <c r="J14" s="68" t="s">
        <v>282</v>
      </c>
    </row>
    <row r="15" spans="1:10" ht="12.75">
      <c r="A15" s="67" t="s">
        <v>17</v>
      </c>
      <c r="B15" s="22">
        <v>0.4</v>
      </c>
      <c r="C15" s="22">
        <v>0.4</v>
      </c>
      <c r="D15" s="22">
        <v>0.4</v>
      </c>
      <c r="E15" s="22">
        <v>0.0038</v>
      </c>
      <c r="F15" s="35">
        <v>0.0097</v>
      </c>
      <c r="G15" s="59">
        <f t="shared" si="0"/>
        <v>-0.97575</v>
      </c>
      <c r="H15" s="59">
        <f t="shared" si="1"/>
        <v>-0.97575</v>
      </c>
      <c r="I15" s="22" t="s">
        <v>4</v>
      </c>
      <c r="J15" s="68" t="s">
        <v>282</v>
      </c>
    </row>
    <row r="16" spans="1:10" ht="12.75">
      <c r="A16" s="67" t="s">
        <v>18</v>
      </c>
      <c r="B16" s="22">
        <v>0.4</v>
      </c>
      <c r="C16" s="22">
        <v>0.4</v>
      </c>
      <c r="D16" s="22">
        <v>0.6</v>
      </c>
      <c r="E16" s="22">
        <v>0.0043</v>
      </c>
      <c r="F16" s="35">
        <v>0.0115</v>
      </c>
      <c r="G16" s="59">
        <f t="shared" si="0"/>
        <v>-0.97125</v>
      </c>
      <c r="H16" s="59">
        <f t="shared" si="1"/>
        <v>-0.97125</v>
      </c>
      <c r="I16" s="22" t="s">
        <v>4</v>
      </c>
      <c r="J16" s="68" t="s">
        <v>282</v>
      </c>
    </row>
    <row r="17" spans="1:10" ht="12.75">
      <c r="A17" s="67" t="s">
        <v>75</v>
      </c>
      <c r="B17" s="22" t="s">
        <v>68</v>
      </c>
      <c r="C17" s="22" t="s">
        <v>68</v>
      </c>
      <c r="D17" s="22" t="s">
        <v>68</v>
      </c>
      <c r="E17" s="22">
        <v>0.0049</v>
      </c>
      <c r="F17" s="35">
        <v>0.0141</v>
      </c>
      <c r="G17" s="59" t="str">
        <f t="shared" si="0"/>
        <v>New Unit</v>
      </c>
      <c r="H17" s="59" t="str">
        <f t="shared" si="1"/>
        <v>New Unit</v>
      </c>
      <c r="I17" s="22" t="s">
        <v>4</v>
      </c>
      <c r="J17" s="68" t="s">
        <v>282</v>
      </c>
    </row>
    <row r="18" spans="1:10" ht="12.75">
      <c r="A18" s="67" t="s">
        <v>76</v>
      </c>
      <c r="B18" s="22" t="s">
        <v>68</v>
      </c>
      <c r="C18" s="22" t="s">
        <v>68</v>
      </c>
      <c r="D18" s="22" t="s">
        <v>68</v>
      </c>
      <c r="E18" s="22">
        <v>0.002</v>
      </c>
      <c r="F18" s="35">
        <v>0.0136</v>
      </c>
      <c r="G18" s="59" t="str">
        <f t="shared" si="0"/>
        <v>New Unit</v>
      </c>
      <c r="H18" s="59" t="str">
        <f t="shared" si="1"/>
        <v>New Unit</v>
      </c>
      <c r="I18" s="22" t="s">
        <v>4</v>
      </c>
      <c r="J18" s="68" t="s">
        <v>282</v>
      </c>
    </row>
    <row r="19" spans="1:10" ht="12.75">
      <c r="A19" s="67" t="s">
        <v>19</v>
      </c>
      <c r="B19" s="22">
        <v>1483</v>
      </c>
      <c r="C19" s="22">
        <v>134.6</v>
      </c>
      <c r="D19" s="22">
        <v>0</v>
      </c>
      <c r="E19" s="22" t="s">
        <v>89</v>
      </c>
      <c r="F19" s="35"/>
      <c r="G19" s="59" t="str">
        <f t="shared" si="0"/>
        <v>-100%</v>
      </c>
      <c r="H19" s="59" t="str">
        <f t="shared" si="1"/>
        <v>-100%</v>
      </c>
      <c r="I19" s="22" t="s">
        <v>9</v>
      </c>
      <c r="J19" s="68" t="s">
        <v>280</v>
      </c>
    </row>
    <row r="20" spans="1:10" ht="12.75">
      <c r="A20" s="67" t="s">
        <v>20</v>
      </c>
      <c r="B20" s="22">
        <v>1430</v>
      </c>
      <c r="C20" s="22">
        <v>189.8</v>
      </c>
      <c r="D20" s="22">
        <v>0</v>
      </c>
      <c r="E20" s="22" t="s">
        <v>89</v>
      </c>
      <c r="F20" s="35"/>
      <c r="G20" s="59" t="str">
        <f t="shared" si="0"/>
        <v>-100%</v>
      </c>
      <c r="H20" s="59" t="str">
        <f t="shared" si="1"/>
        <v>-100%</v>
      </c>
      <c r="I20" s="22" t="s">
        <v>9</v>
      </c>
      <c r="J20" s="68" t="s">
        <v>280</v>
      </c>
    </row>
    <row r="21" spans="1:10" ht="12.75">
      <c r="A21" s="67" t="s">
        <v>21</v>
      </c>
      <c r="B21" s="22">
        <v>0.1</v>
      </c>
      <c r="C21" s="22">
        <v>0.1</v>
      </c>
      <c r="D21" s="22">
        <v>0.1</v>
      </c>
      <c r="E21" s="22">
        <v>0.069</v>
      </c>
      <c r="F21" s="35">
        <v>0.00039417</v>
      </c>
      <c r="G21" s="59">
        <f t="shared" si="0"/>
        <v>-0.9960583000000001</v>
      </c>
      <c r="H21" s="59">
        <f t="shared" si="1"/>
        <v>-0.9960583000000001</v>
      </c>
      <c r="I21" s="22" t="s">
        <v>4</v>
      </c>
      <c r="J21" s="68" t="s">
        <v>282</v>
      </c>
    </row>
    <row r="22" spans="1:10" ht="12.75">
      <c r="A22" s="67" t="s">
        <v>22</v>
      </c>
      <c r="B22" s="22">
        <v>1.8</v>
      </c>
      <c r="C22" s="22">
        <v>0</v>
      </c>
      <c r="D22" s="22">
        <v>0.3</v>
      </c>
      <c r="E22" s="22">
        <v>0.0051</v>
      </c>
      <c r="F22" s="35">
        <v>0.006</v>
      </c>
      <c r="G22" s="59">
        <f t="shared" si="0"/>
        <v>-0.9966666666666667</v>
      </c>
      <c r="H22" s="59">
        <v>1</v>
      </c>
      <c r="I22" s="22" t="s">
        <v>9</v>
      </c>
      <c r="J22" s="68" t="s">
        <v>280</v>
      </c>
    </row>
    <row r="23" spans="1:10" ht="12.75">
      <c r="A23" s="67" t="s">
        <v>23</v>
      </c>
      <c r="B23" s="22">
        <v>2.6</v>
      </c>
      <c r="C23" s="22">
        <v>0</v>
      </c>
      <c r="D23" s="22">
        <v>0.4</v>
      </c>
      <c r="E23" s="22">
        <v>0.0044</v>
      </c>
      <c r="F23" s="35">
        <v>0.004</v>
      </c>
      <c r="G23" s="59">
        <f t="shared" si="0"/>
        <v>-0.9984615384615385</v>
      </c>
      <c r="H23" s="59">
        <v>1</v>
      </c>
      <c r="I23" s="22" t="s">
        <v>9</v>
      </c>
      <c r="J23" s="68" t="s">
        <v>280</v>
      </c>
    </row>
    <row r="24" spans="1:10" ht="12.75">
      <c r="A24" s="67" t="s">
        <v>24</v>
      </c>
      <c r="B24" s="22">
        <v>2.3</v>
      </c>
      <c r="C24" s="22">
        <v>0</v>
      </c>
      <c r="D24" s="22">
        <v>0.4</v>
      </c>
      <c r="E24" s="22">
        <v>0.0047</v>
      </c>
      <c r="F24" s="35">
        <v>0.008</v>
      </c>
      <c r="G24" s="59">
        <f t="shared" si="0"/>
        <v>-0.9965217391304347</v>
      </c>
      <c r="H24" s="59">
        <v>1</v>
      </c>
      <c r="I24" s="22" t="s">
        <v>9</v>
      </c>
      <c r="J24" s="68" t="s">
        <v>280</v>
      </c>
    </row>
    <row r="25" spans="1:10" ht="12.75">
      <c r="A25" s="67" t="s">
        <v>25</v>
      </c>
      <c r="B25" s="22">
        <v>1.5</v>
      </c>
      <c r="C25" s="22">
        <v>0</v>
      </c>
      <c r="D25" s="22">
        <v>0.2</v>
      </c>
      <c r="E25" s="22">
        <v>0.0057</v>
      </c>
      <c r="F25" s="35">
        <v>0.008</v>
      </c>
      <c r="G25" s="59">
        <f t="shared" si="0"/>
        <v>-0.9946666666666667</v>
      </c>
      <c r="H25" s="59">
        <v>1</v>
      </c>
      <c r="I25" s="22" t="s">
        <v>9</v>
      </c>
      <c r="J25" s="68" t="s">
        <v>280</v>
      </c>
    </row>
    <row r="26" spans="1:10" ht="12.75">
      <c r="A26" s="67" t="s">
        <v>77</v>
      </c>
      <c r="B26" s="22" t="s">
        <v>68</v>
      </c>
      <c r="C26" s="22" t="s">
        <v>68</v>
      </c>
      <c r="D26" s="22" t="s">
        <v>68</v>
      </c>
      <c r="E26" s="22">
        <v>0.016</v>
      </c>
      <c r="F26" s="35">
        <v>0.018</v>
      </c>
      <c r="G26" s="59" t="str">
        <f t="shared" si="0"/>
        <v>New Unit</v>
      </c>
      <c r="H26" s="59" t="str">
        <f t="shared" si="1"/>
        <v>New Unit</v>
      </c>
      <c r="I26" s="22" t="s">
        <v>9</v>
      </c>
      <c r="J26" s="68" t="s">
        <v>280</v>
      </c>
    </row>
    <row r="27" spans="1:10" ht="12.75">
      <c r="A27" s="67" t="s">
        <v>78</v>
      </c>
      <c r="B27" s="22" t="s">
        <v>68</v>
      </c>
      <c r="C27" s="22" t="s">
        <v>68</v>
      </c>
      <c r="D27" s="22" t="s">
        <v>68</v>
      </c>
      <c r="E27" s="22">
        <v>0.015</v>
      </c>
      <c r="F27" s="35">
        <v>0.019</v>
      </c>
      <c r="G27" s="59" t="str">
        <f t="shared" si="0"/>
        <v>New Unit</v>
      </c>
      <c r="H27" s="59" t="str">
        <f t="shared" si="1"/>
        <v>New Unit</v>
      </c>
      <c r="I27" s="22" t="s">
        <v>9</v>
      </c>
      <c r="J27" s="68" t="s">
        <v>280</v>
      </c>
    </row>
    <row r="28" spans="1:10" ht="12.75">
      <c r="A28" s="67" t="s">
        <v>79</v>
      </c>
      <c r="B28" s="22" t="s">
        <v>68</v>
      </c>
      <c r="C28" s="22" t="s">
        <v>68</v>
      </c>
      <c r="D28" s="22" t="s">
        <v>68</v>
      </c>
      <c r="E28" s="22">
        <v>0.014</v>
      </c>
      <c r="F28" s="35">
        <v>0.017</v>
      </c>
      <c r="G28" s="59" t="str">
        <f t="shared" si="0"/>
        <v>New Unit</v>
      </c>
      <c r="H28" s="59" t="str">
        <f t="shared" si="1"/>
        <v>New Unit</v>
      </c>
      <c r="I28" s="22" t="s">
        <v>9</v>
      </c>
      <c r="J28" s="68" t="s">
        <v>280</v>
      </c>
    </row>
    <row r="29" spans="1:10" ht="12.75">
      <c r="A29" s="67" t="s">
        <v>96</v>
      </c>
      <c r="B29" s="22" t="s">
        <v>68</v>
      </c>
      <c r="C29" s="22" t="s">
        <v>68</v>
      </c>
      <c r="D29" s="22" t="s">
        <v>68</v>
      </c>
      <c r="E29" s="22">
        <v>0.012</v>
      </c>
      <c r="F29" s="35">
        <v>0.019</v>
      </c>
      <c r="G29" s="59" t="str">
        <f t="shared" si="0"/>
        <v>New Unit</v>
      </c>
      <c r="H29" s="59" t="str">
        <f t="shared" si="1"/>
        <v>New Unit</v>
      </c>
      <c r="I29" s="22" t="s">
        <v>9</v>
      </c>
      <c r="J29" s="68" t="s">
        <v>280</v>
      </c>
    </row>
    <row r="30" spans="1:10" ht="12.75">
      <c r="A30" s="67" t="s">
        <v>26</v>
      </c>
      <c r="B30" s="22">
        <v>0</v>
      </c>
      <c r="C30" s="22">
        <v>0.1</v>
      </c>
      <c r="D30" s="22">
        <v>0.1</v>
      </c>
      <c r="E30" s="22">
        <v>0.061</v>
      </c>
      <c r="F30" s="35">
        <v>5.331E-05</v>
      </c>
      <c r="G30" s="59">
        <v>100</v>
      </c>
      <c r="H30" s="59">
        <f t="shared" si="1"/>
        <v>-0.9994669</v>
      </c>
      <c r="I30" s="22" t="s">
        <v>4</v>
      </c>
      <c r="J30" s="68" t="s">
        <v>282</v>
      </c>
    </row>
    <row r="31" spans="1:10" ht="12.75">
      <c r="A31" s="67" t="s">
        <v>81</v>
      </c>
      <c r="B31" s="22" t="s">
        <v>68</v>
      </c>
      <c r="C31" s="22" t="s">
        <v>68</v>
      </c>
      <c r="D31" s="22" t="s">
        <v>68</v>
      </c>
      <c r="E31" s="22">
        <v>1.65</v>
      </c>
      <c r="F31" s="35">
        <v>2.38</v>
      </c>
      <c r="G31" s="59" t="str">
        <f t="shared" si="0"/>
        <v>New Unit</v>
      </c>
      <c r="H31" s="59" t="str">
        <f t="shared" si="1"/>
        <v>New Unit</v>
      </c>
      <c r="I31" s="22" t="s">
        <v>9</v>
      </c>
      <c r="J31" s="68" t="s">
        <v>280</v>
      </c>
    </row>
    <row r="32" spans="1:10" ht="12.75">
      <c r="A32" s="67" t="s">
        <v>82</v>
      </c>
      <c r="B32" s="22" t="s">
        <v>68</v>
      </c>
      <c r="C32" s="22" t="s">
        <v>68</v>
      </c>
      <c r="D32" s="22" t="s">
        <v>68</v>
      </c>
      <c r="E32" s="22">
        <v>1.56</v>
      </c>
      <c r="F32" s="35">
        <v>3.567</v>
      </c>
      <c r="G32" s="59" t="str">
        <f t="shared" si="0"/>
        <v>New Unit</v>
      </c>
      <c r="H32" s="59" t="str">
        <f t="shared" si="1"/>
        <v>New Unit</v>
      </c>
      <c r="I32" s="22" t="s">
        <v>9</v>
      </c>
      <c r="J32" s="68" t="s">
        <v>280</v>
      </c>
    </row>
    <row r="33" spans="1:10" ht="12.75">
      <c r="A33" s="67" t="s">
        <v>27</v>
      </c>
      <c r="B33" s="22">
        <v>0.3</v>
      </c>
      <c r="C33" s="22">
        <v>5.1</v>
      </c>
      <c r="D33" s="22">
        <v>3</v>
      </c>
      <c r="E33" s="22">
        <v>3.9</v>
      </c>
      <c r="F33" s="35">
        <v>3.393</v>
      </c>
      <c r="G33" s="59">
        <f t="shared" si="0"/>
        <v>10.31</v>
      </c>
      <c r="H33" s="59">
        <f t="shared" si="1"/>
        <v>-0.3347058823529412</v>
      </c>
      <c r="I33" s="22" t="s">
        <v>9</v>
      </c>
      <c r="J33" s="68" t="s">
        <v>280</v>
      </c>
    </row>
    <row r="34" spans="1:10" ht="12.75">
      <c r="A34" s="67" t="s">
        <v>28</v>
      </c>
      <c r="B34" s="22">
        <v>0</v>
      </c>
      <c r="C34" s="22">
        <v>2.8</v>
      </c>
      <c r="D34" s="22">
        <v>3</v>
      </c>
      <c r="E34" s="22">
        <v>3.7</v>
      </c>
      <c r="F34" s="35">
        <v>3.123</v>
      </c>
      <c r="G34" s="59">
        <v>100</v>
      </c>
      <c r="H34" s="59">
        <f t="shared" si="1"/>
        <v>0.115357142857143</v>
      </c>
      <c r="I34" s="22" t="s">
        <v>9</v>
      </c>
      <c r="J34" s="68" t="s">
        <v>280</v>
      </c>
    </row>
    <row r="35" spans="1:10" ht="12.75">
      <c r="A35" s="67" t="s">
        <v>29</v>
      </c>
      <c r="B35" s="22" t="s">
        <v>68</v>
      </c>
      <c r="C35" s="22">
        <v>2.6</v>
      </c>
      <c r="D35" s="22">
        <v>2.9</v>
      </c>
      <c r="E35" s="22">
        <v>3.8</v>
      </c>
      <c r="F35" s="35">
        <v>3.473</v>
      </c>
      <c r="G35" s="59" t="str">
        <f t="shared" si="0"/>
        <v>New Unit</v>
      </c>
      <c r="H35" s="59">
        <f t="shared" si="1"/>
        <v>0.33576923076923065</v>
      </c>
      <c r="I35" s="22" t="s">
        <v>9</v>
      </c>
      <c r="J35" s="68" t="s">
        <v>280</v>
      </c>
    </row>
    <row r="36" spans="1:10" ht="12.75">
      <c r="A36" s="67" t="s">
        <v>30</v>
      </c>
      <c r="B36" s="22">
        <v>423.7</v>
      </c>
      <c r="C36" s="22">
        <v>127.2</v>
      </c>
      <c r="D36" s="22">
        <v>83.6</v>
      </c>
      <c r="E36" s="22">
        <v>0.55</v>
      </c>
      <c r="F36" s="35">
        <v>37.358</v>
      </c>
      <c r="G36" s="59">
        <f t="shared" si="0"/>
        <v>-0.9118291243804578</v>
      </c>
      <c r="H36" s="59">
        <f t="shared" si="1"/>
        <v>-0.706305031446541</v>
      </c>
      <c r="I36" s="22" t="s">
        <v>9</v>
      </c>
      <c r="J36" s="68" t="s">
        <v>280</v>
      </c>
    </row>
    <row r="37" spans="1:10" ht="12.75">
      <c r="A37" s="69" t="s">
        <v>31</v>
      </c>
      <c r="B37" s="29">
        <v>1830.5</v>
      </c>
      <c r="C37" s="29">
        <v>268.7</v>
      </c>
      <c r="D37" s="29">
        <v>123.6</v>
      </c>
      <c r="E37" s="29">
        <v>7.4</v>
      </c>
      <c r="F37" s="36">
        <v>43.3</v>
      </c>
      <c r="G37" s="61">
        <f t="shared" si="0"/>
        <v>-0.9763452608576891</v>
      </c>
      <c r="H37" s="61">
        <f t="shared" si="1"/>
        <v>-0.8388537402307406</v>
      </c>
      <c r="I37" s="29" t="s">
        <v>9</v>
      </c>
      <c r="J37" s="75" t="s">
        <v>280</v>
      </c>
    </row>
    <row r="38" spans="1:10" ht="12.75">
      <c r="A38" s="69" t="s">
        <v>32</v>
      </c>
      <c r="B38" s="29">
        <v>1015</v>
      </c>
      <c r="C38" s="29">
        <v>308.2</v>
      </c>
      <c r="D38" s="29">
        <v>122.8</v>
      </c>
      <c r="E38" s="29">
        <v>53.3</v>
      </c>
      <c r="F38" s="36">
        <v>89.679</v>
      </c>
      <c r="G38" s="61">
        <f t="shared" si="0"/>
        <v>-0.9116463054187193</v>
      </c>
      <c r="H38" s="61">
        <f t="shared" si="1"/>
        <v>-0.7090233614536016</v>
      </c>
      <c r="I38" s="29" t="s">
        <v>9</v>
      </c>
      <c r="J38" s="75" t="s">
        <v>280</v>
      </c>
    </row>
    <row r="39" spans="1:10" ht="12.75">
      <c r="A39" s="67" t="s">
        <v>33</v>
      </c>
      <c r="B39" s="22">
        <v>0</v>
      </c>
      <c r="C39" s="22">
        <v>0.1</v>
      </c>
      <c r="D39" s="22">
        <v>0.4</v>
      </c>
      <c r="E39" s="22">
        <v>0.041</v>
      </c>
      <c r="F39" s="35">
        <v>0.00435781</v>
      </c>
      <c r="G39" s="59">
        <v>100</v>
      </c>
      <c r="H39" s="59">
        <f t="shared" si="1"/>
        <v>-0.9564218999999999</v>
      </c>
      <c r="I39" s="22" t="s">
        <v>4</v>
      </c>
      <c r="J39" s="68" t="s">
        <v>282</v>
      </c>
    </row>
    <row r="40" spans="1:10" ht="12.75">
      <c r="A40" s="67" t="s">
        <v>83</v>
      </c>
      <c r="B40" s="22" t="s">
        <v>68</v>
      </c>
      <c r="C40" s="22" t="s">
        <v>68</v>
      </c>
      <c r="D40" s="22" t="s">
        <v>68</v>
      </c>
      <c r="E40" s="22">
        <v>0.037</v>
      </c>
      <c r="F40" s="35">
        <v>0.013</v>
      </c>
      <c r="G40" s="59" t="str">
        <f t="shared" si="0"/>
        <v>New Unit</v>
      </c>
      <c r="H40" s="59" t="str">
        <f t="shared" si="1"/>
        <v>New Unit</v>
      </c>
      <c r="I40" s="22" t="s">
        <v>9</v>
      </c>
      <c r="J40" s="68" t="s">
        <v>280</v>
      </c>
    </row>
    <row r="41" spans="1:10" ht="12.75">
      <c r="A41" s="67" t="s">
        <v>84</v>
      </c>
      <c r="B41" s="22" t="s">
        <v>68</v>
      </c>
      <c r="C41" s="22" t="s">
        <v>68</v>
      </c>
      <c r="D41" s="22" t="s">
        <v>68</v>
      </c>
      <c r="E41" s="22">
        <v>0</v>
      </c>
      <c r="F41" s="35">
        <v>0.011</v>
      </c>
      <c r="G41" s="59" t="str">
        <f t="shared" si="0"/>
        <v>New Unit</v>
      </c>
      <c r="H41" s="59" t="str">
        <f t="shared" si="1"/>
        <v>New Unit</v>
      </c>
      <c r="I41" s="22" t="s">
        <v>9</v>
      </c>
      <c r="J41" s="68" t="s">
        <v>280</v>
      </c>
    </row>
    <row r="42" spans="1:10" ht="12.75">
      <c r="A42" s="67" t="s">
        <v>85</v>
      </c>
      <c r="B42" s="22" t="s">
        <v>68</v>
      </c>
      <c r="C42" s="22" t="s">
        <v>68</v>
      </c>
      <c r="D42" s="22" t="s">
        <v>68</v>
      </c>
      <c r="E42" s="22">
        <v>0.04</v>
      </c>
      <c r="F42" s="35">
        <v>0.011</v>
      </c>
      <c r="G42" s="59" t="str">
        <f t="shared" si="0"/>
        <v>New Unit</v>
      </c>
      <c r="H42" s="59" t="str">
        <f t="shared" si="1"/>
        <v>New Unit</v>
      </c>
      <c r="I42" s="22" t="s">
        <v>9</v>
      </c>
      <c r="J42" s="68" t="s">
        <v>280</v>
      </c>
    </row>
    <row r="43" spans="1:10" ht="12.75">
      <c r="A43" s="67" t="s">
        <v>90</v>
      </c>
      <c r="B43" s="22" t="s">
        <v>68</v>
      </c>
      <c r="C43" s="22" t="s">
        <v>68</v>
      </c>
      <c r="D43" s="22" t="s">
        <v>68</v>
      </c>
      <c r="E43" s="22">
        <v>0.032</v>
      </c>
      <c r="F43" s="35">
        <v>0.015</v>
      </c>
      <c r="G43" s="59" t="str">
        <f t="shared" si="0"/>
        <v>New Unit</v>
      </c>
      <c r="H43" s="59" t="str">
        <f t="shared" si="1"/>
        <v>New Unit</v>
      </c>
      <c r="I43" s="22" t="s">
        <v>9</v>
      </c>
      <c r="J43" s="68" t="s">
        <v>280</v>
      </c>
    </row>
    <row r="44" spans="1:10" ht="12.75">
      <c r="A44" s="67" t="s">
        <v>34</v>
      </c>
      <c r="B44" s="22" t="s">
        <v>68</v>
      </c>
      <c r="C44" s="22">
        <v>0.2</v>
      </c>
      <c r="D44" s="22">
        <v>3</v>
      </c>
      <c r="E44" s="22">
        <v>3.81</v>
      </c>
      <c r="F44" s="35">
        <v>3.032</v>
      </c>
      <c r="G44" s="59" t="str">
        <f t="shared" si="0"/>
        <v>New Unit</v>
      </c>
      <c r="H44" s="59">
        <f t="shared" si="1"/>
        <v>14.159999999999998</v>
      </c>
      <c r="I44" s="22" t="s">
        <v>9</v>
      </c>
      <c r="J44" s="68" t="s">
        <v>280</v>
      </c>
    </row>
    <row r="45" spans="1:10" ht="12.75">
      <c r="A45" s="67" t="s">
        <v>35</v>
      </c>
      <c r="B45" s="22" t="s">
        <v>68</v>
      </c>
      <c r="C45" s="22">
        <v>0.2</v>
      </c>
      <c r="D45" s="22">
        <v>3.8</v>
      </c>
      <c r="E45" s="22">
        <v>4.46</v>
      </c>
      <c r="F45" s="35">
        <v>3.55</v>
      </c>
      <c r="G45" s="59" t="str">
        <f t="shared" si="0"/>
        <v>New Unit</v>
      </c>
      <c r="H45" s="59">
        <f t="shared" si="1"/>
        <v>16.749999999999996</v>
      </c>
      <c r="I45" s="22" t="s">
        <v>9</v>
      </c>
      <c r="J45" s="68" t="s">
        <v>280</v>
      </c>
    </row>
    <row r="46" spans="1:10" ht="12.75">
      <c r="A46" s="67" t="s">
        <v>36</v>
      </c>
      <c r="B46" s="22">
        <v>818.7</v>
      </c>
      <c r="C46" s="22">
        <v>115.6</v>
      </c>
      <c r="D46" s="22">
        <v>9.4</v>
      </c>
      <c r="E46" s="22">
        <v>11.1</v>
      </c>
      <c r="F46" s="35">
        <v>34.806</v>
      </c>
      <c r="G46" s="59">
        <f t="shared" si="0"/>
        <v>-0.9574862587028214</v>
      </c>
      <c r="H46" s="59">
        <f t="shared" si="1"/>
        <v>-0.6989100346020761</v>
      </c>
      <c r="I46" s="22" t="s">
        <v>9</v>
      </c>
      <c r="J46" s="68" t="s">
        <v>280</v>
      </c>
    </row>
    <row r="47" spans="1:10" ht="12.75">
      <c r="A47" s="69" t="s">
        <v>37</v>
      </c>
      <c r="B47" s="29">
        <v>2182</v>
      </c>
      <c r="C47" s="29">
        <v>794.4</v>
      </c>
      <c r="D47" s="29">
        <v>217.1</v>
      </c>
      <c r="E47" s="29">
        <v>16</v>
      </c>
      <c r="F47" s="36">
        <v>20.941</v>
      </c>
      <c r="G47" s="61">
        <f t="shared" si="0"/>
        <v>-0.9904028414298809</v>
      </c>
      <c r="H47" s="61">
        <f t="shared" si="1"/>
        <v>-0.973639224572004</v>
      </c>
      <c r="I47" s="29" t="s">
        <v>9</v>
      </c>
      <c r="J47" s="75" t="s">
        <v>280</v>
      </c>
    </row>
    <row r="48" spans="1:10" ht="12.75">
      <c r="A48" s="69" t="s">
        <v>38</v>
      </c>
      <c r="B48" s="29">
        <v>9542.8</v>
      </c>
      <c r="C48" s="29">
        <v>4009.8</v>
      </c>
      <c r="D48" s="29">
        <v>689</v>
      </c>
      <c r="E48" s="29">
        <v>67.6</v>
      </c>
      <c r="F48" s="36">
        <v>299.041</v>
      </c>
      <c r="G48" s="61">
        <f t="shared" si="0"/>
        <v>-0.9686631806178481</v>
      </c>
      <c r="H48" s="61">
        <f t="shared" si="1"/>
        <v>-0.9254224649608459</v>
      </c>
      <c r="I48" s="29" t="s">
        <v>9</v>
      </c>
      <c r="J48" s="75" t="s">
        <v>280</v>
      </c>
    </row>
    <row r="49" spans="1:10" ht="12.75">
      <c r="A49" s="67" t="s">
        <v>39</v>
      </c>
      <c r="B49" s="22">
        <v>1859.2</v>
      </c>
      <c r="C49" s="22">
        <v>409.9</v>
      </c>
      <c r="D49" s="22">
        <v>273</v>
      </c>
      <c r="E49" s="22">
        <v>23.37</v>
      </c>
      <c r="F49" s="35" t="s">
        <v>278</v>
      </c>
      <c r="G49" s="59" t="str">
        <f t="shared" si="0"/>
        <v>-100%</v>
      </c>
      <c r="H49" s="59" t="str">
        <f t="shared" si="1"/>
        <v>-100%</v>
      </c>
      <c r="I49" s="22" t="s">
        <v>9</v>
      </c>
      <c r="J49" s="68" t="s">
        <v>280</v>
      </c>
    </row>
    <row r="50" spans="1:10" ht="12.75">
      <c r="A50" s="69" t="s">
        <v>40</v>
      </c>
      <c r="B50" s="29">
        <v>1700.6</v>
      </c>
      <c r="C50" s="29">
        <v>321.7</v>
      </c>
      <c r="D50" s="29">
        <v>374</v>
      </c>
      <c r="E50" s="29">
        <v>25.63</v>
      </c>
      <c r="F50" s="36" t="s">
        <v>278</v>
      </c>
      <c r="G50" s="61" t="str">
        <f t="shared" si="0"/>
        <v>-100%</v>
      </c>
      <c r="H50" s="61" t="str">
        <f t="shared" si="1"/>
        <v>-100%</v>
      </c>
      <c r="I50" s="29" t="s">
        <v>9</v>
      </c>
      <c r="J50" s="75" t="s">
        <v>280</v>
      </c>
    </row>
    <row r="51" spans="1:10" ht="12.75">
      <c r="A51" s="67" t="s">
        <v>41</v>
      </c>
      <c r="B51" s="22">
        <v>0.8</v>
      </c>
      <c r="C51" s="22">
        <v>0</v>
      </c>
      <c r="D51" s="22">
        <v>0.5</v>
      </c>
      <c r="E51" s="22">
        <v>0.31</v>
      </c>
      <c r="F51" s="35">
        <v>0.05401505</v>
      </c>
      <c r="G51" s="59">
        <f t="shared" si="0"/>
        <v>-0.9324811875000001</v>
      </c>
      <c r="H51" s="59">
        <v>1</v>
      </c>
      <c r="I51" s="22" t="s">
        <v>4</v>
      </c>
      <c r="J51" s="68" t="s">
        <v>282</v>
      </c>
    </row>
    <row r="52" spans="1:10" ht="12.75">
      <c r="A52" s="67" t="s">
        <v>42</v>
      </c>
      <c r="B52" s="22">
        <v>0.5</v>
      </c>
      <c r="C52" s="22">
        <v>0.5</v>
      </c>
      <c r="D52" s="22">
        <v>0.5</v>
      </c>
      <c r="E52" s="22">
        <v>0.49</v>
      </c>
      <c r="F52" s="35">
        <v>0.05474861</v>
      </c>
      <c r="G52" s="59">
        <f t="shared" si="0"/>
        <v>-0.89050278</v>
      </c>
      <c r="H52" s="59">
        <f t="shared" si="1"/>
        <v>-0.89050278</v>
      </c>
      <c r="I52" s="22" t="s">
        <v>4</v>
      </c>
      <c r="J52" s="68" t="s">
        <v>282</v>
      </c>
    </row>
    <row r="53" spans="1:10" ht="12.75">
      <c r="A53" s="67" t="s">
        <v>43</v>
      </c>
      <c r="B53" s="22">
        <v>101.4</v>
      </c>
      <c r="C53" s="22">
        <v>74.9</v>
      </c>
      <c r="D53" s="22">
        <v>32.6</v>
      </c>
      <c r="E53" s="22">
        <v>1.31</v>
      </c>
      <c r="F53" s="35">
        <v>0</v>
      </c>
      <c r="G53" s="59">
        <f t="shared" si="0"/>
        <v>-1</v>
      </c>
      <c r="H53" s="59">
        <f t="shared" si="1"/>
        <v>-1</v>
      </c>
      <c r="I53" s="22" t="s">
        <v>4</v>
      </c>
      <c r="J53" s="68" t="s">
        <v>282</v>
      </c>
    </row>
    <row r="54" spans="1:10" ht="12.75">
      <c r="A54" s="67" t="s">
        <v>44</v>
      </c>
      <c r="B54" s="22">
        <v>0.2</v>
      </c>
      <c r="C54" s="22">
        <v>0.2</v>
      </c>
      <c r="D54" s="22">
        <v>0.1</v>
      </c>
      <c r="E54" s="22" t="s">
        <v>91</v>
      </c>
      <c r="F54" s="35"/>
      <c r="G54" s="59" t="str">
        <f t="shared" si="0"/>
        <v>-100%</v>
      </c>
      <c r="H54" s="59" t="str">
        <f t="shared" si="1"/>
        <v>-100%</v>
      </c>
      <c r="I54" s="22" t="s">
        <v>4</v>
      </c>
      <c r="J54" s="68" t="s">
        <v>282</v>
      </c>
    </row>
    <row r="55" spans="1:10" ht="12.75">
      <c r="A55" s="67" t="s">
        <v>45</v>
      </c>
      <c r="B55" s="22">
        <v>0.2</v>
      </c>
      <c r="C55" s="22">
        <v>0.5</v>
      </c>
      <c r="D55" s="22">
        <v>0.5</v>
      </c>
      <c r="E55" s="22">
        <v>0.37</v>
      </c>
      <c r="F55" s="35">
        <v>0.03983209</v>
      </c>
      <c r="G55" s="59">
        <f t="shared" si="0"/>
        <v>-0.8008395500000001</v>
      </c>
      <c r="H55" s="59">
        <f t="shared" si="1"/>
        <v>-0.92033582</v>
      </c>
      <c r="I55" s="22" t="s">
        <v>4</v>
      </c>
      <c r="J55" s="68" t="s">
        <v>282</v>
      </c>
    </row>
    <row r="56" spans="1:10" ht="12.75">
      <c r="A56" s="67" t="s">
        <v>46</v>
      </c>
      <c r="B56" s="22">
        <v>0.9</v>
      </c>
      <c r="C56" s="22">
        <v>0.2</v>
      </c>
      <c r="D56" s="22">
        <v>0.2</v>
      </c>
      <c r="E56" s="22">
        <v>0.1</v>
      </c>
      <c r="F56" s="35">
        <v>0.02023</v>
      </c>
      <c r="G56" s="59">
        <f t="shared" si="0"/>
        <v>-0.9775222222222223</v>
      </c>
      <c r="H56" s="59">
        <f t="shared" si="1"/>
        <v>-0.89885</v>
      </c>
      <c r="I56" s="22" t="s">
        <v>4</v>
      </c>
      <c r="J56" s="68" t="s">
        <v>282</v>
      </c>
    </row>
    <row r="57" spans="1:10" ht="12.75">
      <c r="A57" s="67" t="s">
        <v>47</v>
      </c>
      <c r="B57" s="22">
        <v>0.9</v>
      </c>
      <c r="C57" s="22">
        <v>0.2</v>
      </c>
      <c r="D57" s="22">
        <v>0.2</v>
      </c>
      <c r="E57" s="22">
        <v>0.1</v>
      </c>
      <c r="F57" s="35">
        <v>0.02035859</v>
      </c>
      <c r="G57" s="59">
        <f t="shared" si="0"/>
        <v>-0.9773793444444445</v>
      </c>
      <c r="H57" s="59">
        <f t="shared" si="1"/>
        <v>-0.89820705</v>
      </c>
      <c r="I57" s="22" t="s">
        <v>4</v>
      </c>
      <c r="J57" s="68" t="s">
        <v>282</v>
      </c>
    </row>
    <row r="58" spans="1:10" ht="12.75">
      <c r="A58" s="67" t="s">
        <v>48</v>
      </c>
      <c r="B58" s="22">
        <v>1</v>
      </c>
      <c r="C58" s="22">
        <v>0.2</v>
      </c>
      <c r="D58" s="22">
        <v>0.2</v>
      </c>
      <c r="E58" s="22">
        <v>0.12</v>
      </c>
      <c r="F58" s="35">
        <v>0.01746452</v>
      </c>
      <c r="G58" s="59">
        <f t="shared" si="0"/>
        <v>-0.98253548</v>
      </c>
      <c r="H58" s="59">
        <f t="shared" si="1"/>
        <v>-0.9126774</v>
      </c>
      <c r="I58" s="22" t="s">
        <v>4</v>
      </c>
      <c r="J58" s="68" t="s">
        <v>282</v>
      </c>
    </row>
    <row r="59" spans="1:10" ht="12.75">
      <c r="A59" s="67" t="s">
        <v>49</v>
      </c>
      <c r="B59" s="22">
        <v>1</v>
      </c>
      <c r="C59" s="22">
        <v>0.2</v>
      </c>
      <c r="D59" s="22">
        <v>0.2</v>
      </c>
      <c r="E59" s="22">
        <v>0.12</v>
      </c>
      <c r="F59" s="35">
        <v>0.017268</v>
      </c>
      <c r="G59" s="59">
        <f t="shared" si="0"/>
        <v>-0.982732</v>
      </c>
      <c r="H59" s="59">
        <f t="shared" si="1"/>
        <v>-0.91366</v>
      </c>
      <c r="I59" s="22" t="s">
        <v>4</v>
      </c>
      <c r="J59" s="68" t="s">
        <v>282</v>
      </c>
    </row>
    <row r="60" spans="1:10" ht="12.75">
      <c r="A60" s="67" t="s">
        <v>50</v>
      </c>
      <c r="B60" s="22">
        <v>0.9</v>
      </c>
      <c r="C60" s="22">
        <v>0.2</v>
      </c>
      <c r="D60" s="22">
        <v>0.3</v>
      </c>
      <c r="E60" s="22">
        <v>0.1</v>
      </c>
      <c r="F60" s="35">
        <v>0.01663277</v>
      </c>
      <c r="G60" s="59">
        <f t="shared" si="0"/>
        <v>-0.9815191444444444</v>
      </c>
      <c r="H60" s="59">
        <f t="shared" si="1"/>
        <v>-0.9168361500000001</v>
      </c>
      <c r="I60" s="22" t="s">
        <v>4</v>
      </c>
      <c r="J60" s="68" t="s">
        <v>282</v>
      </c>
    </row>
    <row r="61" spans="1:10" ht="12.75">
      <c r="A61" s="67" t="s">
        <v>51</v>
      </c>
      <c r="B61" s="22">
        <v>0.9</v>
      </c>
      <c r="C61" s="22">
        <v>0.2</v>
      </c>
      <c r="D61" s="22">
        <v>0.3</v>
      </c>
      <c r="E61" s="22">
        <v>0.13</v>
      </c>
      <c r="F61" s="35">
        <v>0.01558487</v>
      </c>
      <c r="G61" s="59">
        <f t="shared" si="0"/>
        <v>-0.9826834777777778</v>
      </c>
      <c r="H61" s="59">
        <f t="shared" si="1"/>
        <v>-0.92207565</v>
      </c>
      <c r="I61" s="22" t="s">
        <v>4</v>
      </c>
      <c r="J61" s="68" t="s">
        <v>282</v>
      </c>
    </row>
    <row r="62" spans="1:10" ht="12.75">
      <c r="A62" s="67" t="s">
        <v>52</v>
      </c>
      <c r="B62" s="22">
        <v>0.9</v>
      </c>
      <c r="C62" s="22">
        <v>0.2</v>
      </c>
      <c r="D62" s="22">
        <v>0.2</v>
      </c>
      <c r="E62" s="22">
        <v>0.11</v>
      </c>
      <c r="F62" s="35">
        <v>0.01698725</v>
      </c>
      <c r="G62" s="59">
        <f t="shared" si="0"/>
        <v>-0.9811252777777778</v>
      </c>
      <c r="H62" s="59">
        <f t="shared" si="1"/>
        <v>-0.91506375</v>
      </c>
      <c r="I62" s="22" t="s">
        <v>4</v>
      </c>
      <c r="J62" s="68" t="s">
        <v>282</v>
      </c>
    </row>
    <row r="63" spans="1:10" ht="12.75">
      <c r="A63" s="67" t="s">
        <v>53</v>
      </c>
      <c r="B63" s="22">
        <v>0.9</v>
      </c>
      <c r="C63" s="22">
        <v>0.2</v>
      </c>
      <c r="D63" s="22">
        <v>0.2</v>
      </c>
      <c r="E63" s="22">
        <v>0.11</v>
      </c>
      <c r="F63" s="35">
        <v>0.0160929292</v>
      </c>
      <c r="G63" s="59">
        <f t="shared" si="0"/>
        <v>-0.9821189675555555</v>
      </c>
      <c r="H63" s="59">
        <f t="shared" si="1"/>
        <v>-0.9195353540000001</v>
      </c>
      <c r="I63" s="22" t="s">
        <v>4</v>
      </c>
      <c r="J63" s="68" t="s">
        <v>282</v>
      </c>
    </row>
    <row r="64" spans="1:10" ht="12.75">
      <c r="A64" s="67" t="s">
        <v>54</v>
      </c>
      <c r="B64" s="22">
        <v>0.5</v>
      </c>
      <c r="C64" s="22">
        <v>0.5</v>
      </c>
      <c r="D64" s="22">
        <v>0.5</v>
      </c>
      <c r="E64" s="22">
        <v>0.061</v>
      </c>
      <c r="F64" s="35">
        <v>4.698E-05</v>
      </c>
      <c r="G64" s="59">
        <f t="shared" si="0"/>
        <v>-0.99990604</v>
      </c>
      <c r="H64" s="59">
        <f t="shared" si="1"/>
        <v>-0.99990604</v>
      </c>
      <c r="I64" s="22" t="s">
        <v>4</v>
      </c>
      <c r="J64" s="68" t="s">
        <v>282</v>
      </c>
    </row>
    <row r="65" spans="1:10" ht="12.75">
      <c r="A65" s="67" t="s">
        <v>55</v>
      </c>
      <c r="B65" s="22">
        <v>0.4</v>
      </c>
      <c r="C65" s="22">
        <v>0.5</v>
      </c>
      <c r="D65" s="22">
        <v>0.5</v>
      </c>
      <c r="E65" s="22">
        <v>0.49</v>
      </c>
      <c r="F65" s="35">
        <v>0.0842321</v>
      </c>
      <c r="G65" s="59">
        <f t="shared" si="0"/>
        <v>-0.78941975</v>
      </c>
      <c r="H65" s="59">
        <f t="shared" si="1"/>
        <v>-0.8315357999999999</v>
      </c>
      <c r="I65" s="22" t="s">
        <v>4</v>
      </c>
      <c r="J65" s="68" t="s">
        <v>282</v>
      </c>
    </row>
    <row r="66" spans="1:10" ht="12.75">
      <c r="A66" s="67" t="s">
        <v>56</v>
      </c>
      <c r="B66" s="22">
        <v>2.5</v>
      </c>
      <c r="C66" s="22">
        <v>2.5</v>
      </c>
      <c r="D66" s="22">
        <v>0.1</v>
      </c>
      <c r="E66" s="22">
        <v>0.087</v>
      </c>
      <c r="F66" s="35">
        <v>0.035</v>
      </c>
      <c r="G66" s="59">
        <f t="shared" si="0"/>
        <v>-0.986</v>
      </c>
      <c r="H66" s="59">
        <f t="shared" si="1"/>
        <v>-0.986</v>
      </c>
      <c r="I66" s="22" t="s">
        <v>9</v>
      </c>
      <c r="J66" s="68" t="s">
        <v>280</v>
      </c>
    </row>
    <row r="67" spans="1:10" ht="12.75">
      <c r="A67" s="67" t="s">
        <v>57</v>
      </c>
      <c r="B67" s="22">
        <v>2.5</v>
      </c>
      <c r="C67" s="22">
        <v>2.5</v>
      </c>
      <c r="D67" s="22">
        <v>0.2</v>
      </c>
      <c r="E67" s="22">
        <v>0.11</v>
      </c>
      <c r="F67" s="35">
        <v>0.027</v>
      </c>
      <c r="G67" s="59">
        <f aca="true" t="shared" si="2" ref="G67:G77">IF(B67="NA","New Unit",(IF(ISNUMBER(F67),(F67-B67)/B67,"-100%")))</f>
        <v>-0.9892</v>
      </c>
      <c r="H67" s="59">
        <f aca="true" t="shared" si="3" ref="H67:H77">IF(C67="NA","New Unit",(IF(ISNUMBER(F67),(F67-C67)/C67,"-100%")))</f>
        <v>-0.9892</v>
      </c>
      <c r="I67" s="22" t="s">
        <v>9</v>
      </c>
      <c r="J67" s="68" t="s">
        <v>280</v>
      </c>
    </row>
    <row r="68" spans="1:10" ht="12.75">
      <c r="A68" s="67" t="s">
        <v>58</v>
      </c>
      <c r="B68" s="22">
        <v>2.5</v>
      </c>
      <c r="C68" s="22">
        <v>2.5</v>
      </c>
      <c r="D68" s="22">
        <v>0.2</v>
      </c>
      <c r="E68" s="22">
        <v>0.11</v>
      </c>
      <c r="F68" s="35">
        <v>0.027</v>
      </c>
      <c r="G68" s="59">
        <f t="shared" si="2"/>
        <v>-0.9892</v>
      </c>
      <c r="H68" s="59">
        <f t="shared" si="3"/>
        <v>-0.9892</v>
      </c>
      <c r="I68" s="22" t="s">
        <v>9</v>
      </c>
      <c r="J68" s="68" t="s">
        <v>280</v>
      </c>
    </row>
    <row r="69" spans="1:10" ht="12.75">
      <c r="A69" s="67" t="s">
        <v>59</v>
      </c>
      <c r="B69" s="22">
        <v>2.5</v>
      </c>
      <c r="C69" s="22">
        <v>2.5</v>
      </c>
      <c r="D69" s="22">
        <v>0.1</v>
      </c>
      <c r="E69" s="22">
        <v>0.11</v>
      </c>
      <c r="F69" s="35">
        <v>0.033</v>
      </c>
      <c r="G69" s="59">
        <f t="shared" si="2"/>
        <v>-0.9868</v>
      </c>
      <c r="H69" s="59">
        <f t="shared" si="3"/>
        <v>-0.9868</v>
      </c>
      <c r="I69" s="22" t="s">
        <v>9</v>
      </c>
      <c r="J69" s="68" t="s">
        <v>280</v>
      </c>
    </row>
    <row r="70" spans="1:10" ht="12.75">
      <c r="A70" s="67" t="s">
        <v>60</v>
      </c>
      <c r="B70" s="22">
        <v>2.5</v>
      </c>
      <c r="C70" s="22">
        <v>2.5</v>
      </c>
      <c r="D70" s="22">
        <v>0.1</v>
      </c>
      <c r="E70" s="22">
        <v>0.1</v>
      </c>
      <c r="F70" s="35">
        <v>0.026</v>
      </c>
      <c r="G70" s="59">
        <f t="shared" si="2"/>
        <v>-0.9896</v>
      </c>
      <c r="H70" s="59">
        <f t="shared" si="3"/>
        <v>-0.9896</v>
      </c>
      <c r="I70" s="22" t="s">
        <v>9</v>
      </c>
      <c r="J70" s="68" t="s">
        <v>280</v>
      </c>
    </row>
    <row r="71" spans="1:10" ht="12.75">
      <c r="A71" s="67" t="s">
        <v>87</v>
      </c>
      <c r="B71" s="22" t="s">
        <v>68</v>
      </c>
      <c r="C71" s="22" t="s">
        <v>68</v>
      </c>
      <c r="D71" s="22" t="s">
        <v>68</v>
      </c>
      <c r="E71" s="22">
        <v>0.23</v>
      </c>
      <c r="F71" s="35">
        <v>0.122</v>
      </c>
      <c r="G71" s="59" t="str">
        <f t="shared" si="2"/>
        <v>New Unit</v>
      </c>
      <c r="H71" s="59" t="str">
        <f t="shared" si="3"/>
        <v>New Unit</v>
      </c>
      <c r="I71" s="22" t="s">
        <v>9</v>
      </c>
      <c r="J71" s="68" t="s">
        <v>280</v>
      </c>
    </row>
    <row r="72" spans="1:10" ht="12.75">
      <c r="A72" s="67" t="s">
        <v>61</v>
      </c>
      <c r="B72" s="22" t="s">
        <v>68</v>
      </c>
      <c r="C72" s="22" t="s">
        <v>68</v>
      </c>
      <c r="D72" s="22">
        <v>0</v>
      </c>
      <c r="E72" s="22" t="s">
        <v>97</v>
      </c>
      <c r="F72" s="35">
        <v>0.0108</v>
      </c>
      <c r="G72" s="59" t="str">
        <f t="shared" si="2"/>
        <v>New Unit</v>
      </c>
      <c r="H72" s="59" t="str">
        <f t="shared" si="3"/>
        <v>New Unit</v>
      </c>
      <c r="I72" s="22" t="s">
        <v>4</v>
      </c>
      <c r="J72" s="68" t="s">
        <v>280</v>
      </c>
    </row>
    <row r="73" spans="1:10" ht="12.75">
      <c r="A73" s="67" t="s">
        <v>62</v>
      </c>
      <c r="B73" s="22" t="s">
        <v>68</v>
      </c>
      <c r="C73" s="22" t="s">
        <v>68</v>
      </c>
      <c r="D73" s="22">
        <v>0</v>
      </c>
      <c r="E73" s="22" t="s">
        <v>98</v>
      </c>
      <c r="F73" s="35">
        <v>0.0108</v>
      </c>
      <c r="G73" s="59" t="str">
        <f t="shared" si="2"/>
        <v>New Unit</v>
      </c>
      <c r="H73" s="59" t="str">
        <f t="shared" si="3"/>
        <v>New Unit</v>
      </c>
      <c r="I73" s="60" t="s">
        <v>4</v>
      </c>
      <c r="J73" s="68" t="s">
        <v>280</v>
      </c>
    </row>
    <row r="74" spans="1:10" ht="13.5" thickBot="1">
      <c r="A74" s="70" t="s">
        <v>63</v>
      </c>
      <c r="B74" s="71" t="s">
        <v>68</v>
      </c>
      <c r="C74" s="71" t="s">
        <v>68</v>
      </c>
      <c r="D74" s="71">
        <v>0</v>
      </c>
      <c r="E74" s="72" t="s">
        <v>99</v>
      </c>
      <c r="F74" s="76">
        <v>0.01</v>
      </c>
      <c r="G74" s="73" t="str">
        <f t="shared" si="2"/>
        <v>New Unit</v>
      </c>
      <c r="H74" s="73" t="str">
        <f t="shared" si="3"/>
        <v>New Unit</v>
      </c>
      <c r="I74" s="72" t="s">
        <v>4</v>
      </c>
      <c r="J74" s="74" t="s">
        <v>280</v>
      </c>
    </row>
    <row r="75" spans="1:9" ht="18">
      <c r="A75" s="55" t="s">
        <v>289</v>
      </c>
      <c r="B75" s="56">
        <f>SUM(B2:B74)</f>
        <v>35625</v>
      </c>
      <c r="C75" s="56">
        <f>SUM(C2:C74)</f>
        <v>13055.80000000001</v>
      </c>
      <c r="D75" s="56">
        <f>SUM(D2:D74)</f>
        <v>7146.400000000002</v>
      </c>
      <c r="E75" s="56">
        <f>SUM(E2:E74)</f>
        <v>852.0907999999998</v>
      </c>
      <c r="F75" s="56">
        <f>SUM(F2:F74)</f>
        <v>1491.5708913792005</v>
      </c>
      <c r="G75" s="57">
        <f t="shared" si="2"/>
        <v>-0.958131343399882</v>
      </c>
      <c r="H75" s="57">
        <f t="shared" si="3"/>
        <v>-0.885754155901653</v>
      </c>
      <c r="I75" s="58"/>
    </row>
    <row r="76" spans="1:9" ht="18">
      <c r="A76" s="43" t="s">
        <v>290</v>
      </c>
      <c r="B76" s="44">
        <f>SUM(B50,B47:B48,B37:B38,B13,B10)</f>
        <v>26950.7</v>
      </c>
      <c r="C76" s="44">
        <f>SUM(C50,C47:C48,C37:C38,C13,C10)</f>
        <v>9726.9</v>
      </c>
      <c r="D76" s="44">
        <f>SUM(D50,D47:D48,D37:D38,D13,D10)</f>
        <v>4549.2</v>
      </c>
      <c r="E76" s="44">
        <f>SUM(E50,E47:E48,E37:E38,E13,E10)</f>
        <v>691.03</v>
      </c>
      <c r="F76" s="44">
        <f>SUM(F50,F47:F48,F37:F38,F13,F10)</f>
        <v>1386.17426</v>
      </c>
      <c r="G76" s="45">
        <f t="shared" si="2"/>
        <v>-0.9485662984634907</v>
      </c>
      <c r="H76" s="45">
        <f t="shared" si="3"/>
        <v>-0.8574906434732547</v>
      </c>
      <c r="I76" s="46"/>
    </row>
    <row r="77" spans="1:9" ht="18.75" thickBot="1">
      <c r="A77" s="47" t="s">
        <v>291</v>
      </c>
      <c r="B77" s="48">
        <f>B75-B76</f>
        <v>8674.3</v>
      </c>
      <c r="C77" s="48">
        <f>C75-C76</f>
        <v>3328.9000000000106</v>
      </c>
      <c r="D77" s="48">
        <f>D75-D76</f>
        <v>2597.2000000000025</v>
      </c>
      <c r="E77" s="48">
        <f>E75-E76</f>
        <v>161.06079999999986</v>
      </c>
      <c r="F77" s="48">
        <f>F75-F76</f>
        <v>105.39663137920047</v>
      </c>
      <c r="G77" s="49">
        <f t="shared" si="2"/>
        <v>-0.987849551966245</v>
      </c>
      <c r="H77" s="49">
        <f t="shared" si="3"/>
        <v>-0.9683389013250021</v>
      </c>
      <c r="I77" s="50"/>
    </row>
    <row r="78" spans="1:7" ht="12.75">
      <c r="A78" s="21" t="s">
        <v>293</v>
      </c>
      <c r="G78" s="51"/>
    </row>
    <row r="79" spans="1:7" ht="12.75">
      <c r="A79" s="24" t="s">
        <v>288</v>
      </c>
      <c r="F79" s="21">
        <f>F75/B75</f>
        <v>0.04186865660011791</v>
      </c>
      <c r="G79" s="5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="75" zoomScaleNormal="75" zoomScalePageLayoutView="0" workbookViewId="0" topLeftCell="A1">
      <pane xSplit="1" ySplit="3" topLeftCell="I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9" sqref="H39"/>
    </sheetView>
  </sheetViews>
  <sheetFormatPr defaultColWidth="9.140625" defaultRowHeight="12.75"/>
  <cols>
    <col min="1" max="1" width="57.28125" style="80" customWidth="1"/>
    <col min="2" max="2" width="17.140625" style="80" bestFit="1" customWidth="1"/>
    <col min="3" max="3" width="17.7109375" style="80" customWidth="1"/>
    <col min="4" max="4" width="13.7109375" style="80" bestFit="1" customWidth="1"/>
    <col min="5" max="5" width="10.140625" style="80" customWidth="1"/>
    <col min="6" max="6" width="12.7109375" style="80" customWidth="1"/>
    <col min="7" max="7" width="31.140625" style="80" bestFit="1" customWidth="1"/>
    <col min="8" max="8" width="28.57421875" style="79" customWidth="1"/>
    <col min="9" max="10" width="28.8515625" style="80" bestFit="1" customWidth="1"/>
    <col min="11" max="12" width="28.8515625" style="80" customWidth="1"/>
    <col min="13" max="13" width="17.140625" style="80" customWidth="1"/>
    <col min="14" max="14" width="121.140625" style="0" bestFit="1" customWidth="1"/>
  </cols>
  <sheetData>
    <row r="1" spans="1:14" ht="12.75">
      <c r="A1" s="157" t="s">
        <v>303</v>
      </c>
      <c r="B1" s="78"/>
      <c r="C1" s="78"/>
      <c r="D1" s="78"/>
      <c r="E1" s="78"/>
      <c r="F1" s="78"/>
      <c r="G1" s="78"/>
      <c r="I1" s="78"/>
      <c r="N1" s="155"/>
    </row>
    <row r="2" spans="1:14" ht="12.75">
      <c r="A2" s="157"/>
      <c r="N2" s="156"/>
    </row>
    <row r="3" spans="1:15" ht="41.25" customHeight="1">
      <c r="A3" s="77" t="s">
        <v>0</v>
      </c>
      <c r="B3" s="77" t="s">
        <v>110</v>
      </c>
      <c r="C3" s="77" t="s">
        <v>109</v>
      </c>
      <c r="D3" s="77" t="s">
        <v>108</v>
      </c>
      <c r="E3" s="77" t="s">
        <v>106</v>
      </c>
      <c r="F3" s="77" t="s">
        <v>107</v>
      </c>
      <c r="G3" s="77" t="s">
        <v>111</v>
      </c>
      <c r="H3" s="83" t="s">
        <v>67</v>
      </c>
      <c r="I3" s="83" t="s">
        <v>1</v>
      </c>
      <c r="J3" s="83" t="s">
        <v>66</v>
      </c>
      <c r="K3" s="83" t="s">
        <v>95</v>
      </c>
      <c r="L3" s="83" t="s">
        <v>276</v>
      </c>
      <c r="M3" s="77" t="s">
        <v>115</v>
      </c>
      <c r="N3" s="12"/>
      <c r="O3" s="12" t="s">
        <v>202</v>
      </c>
    </row>
    <row r="4" spans="1:14" s="9" customFormat="1" ht="12.75">
      <c r="A4" s="17" t="s">
        <v>3</v>
      </c>
      <c r="B4" s="17" t="s">
        <v>113</v>
      </c>
      <c r="C4" s="17"/>
      <c r="D4" s="17" t="s">
        <v>104</v>
      </c>
      <c r="E4" s="17">
        <v>107</v>
      </c>
      <c r="F4" s="17">
        <v>44</v>
      </c>
      <c r="G4" s="17" t="s">
        <v>112</v>
      </c>
      <c r="H4" s="81">
        <v>1293</v>
      </c>
      <c r="I4" s="17">
        <v>1293</v>
      </c>
      <c r="J4" s="17">
        <v>1293</v>
      </c>
      <c r="K4" s="17">
        <v>1293.6768</v>
      </c>
      <c r="L4" s="17" t="str">
        <f>IF(ISBLANK(M4),K4,"Retired")</f>
        <v>Retired</v>
      </c>
      <c r="M4" s="17">
        <v>2011</v>
      </c>
      <c r="N4" s="17"/>
    </row>
    <row r="5" spans="1:14" s="9" customFormat="1" ht="12.75">
      <c r="A5" s="17" t="s">
        <v>5</v>
      </c>
      <c r="B5" s="17" t="s">
        <v>114</v>
      </c>
      <c r="C5" s="17"/>
      <c r="D5" s="17" t="s">
        <v>104</v>
      </c>
      <c r="E5" s="17">
        <v>107</v>
      </c>
      <c r="F5" s="17">
        <v>44</v>
      </c>
      <c r="G5" s="17" t="s">
        <v>112</v>
      </c>
      <c r="H5" s="81">
        <v>1293</v>
      </c>
      <c r="I5" s="17">
        <v>1293</v>
      </c>
      <c r="J5" s="17">
        <v>1293</v>
      </c>
      <c r="K5" s="17">
        <v>1293.6768</v>
      </c>
      <c r="L5" s="17" t="str">
        <f>IF(ISBLANK(M5),K5,"Retired")</f>
        <v>Retired</v>
      </c>
      <c r="M5" s="17">
        <v>2011</v>
      </c>
      <c r="N5" s="17"/>
    </row>
    <row r="6" spans="1:15" s="9" customFormat="1" ht="12.75">
      <c r="A6" s="17" t="s">
        <v>199</v>
      </c>
      <c r="B6" s="17" t="s">
        <v>117</v>
      </c>
      <c r="C6" s="17"/>
      <c r="D6" s="17" t="s">
        <v>124</v>
      </c>
      <c r="E6" s="17">
        <v>189</v>
      </c>
      <c r="F6" s="17">
        <v>114</v>
      </c>
      <c r="G6" s="17" t="s">
        <v>118</v>
      </c>
      <c r="H6" s="81"/>
      <c r="I6" s="17"/>
      <c r="J6" s="17"/>
      <c r="K6" s="17">
        <v>0.45</v>
      </c>
      <c r="L6" s="17">
        <f>IF(ISBLANK(M6),K6,"Retired")</f>
        <v>0.45</v>
      </c>
      <c r="M6" s="17"/>
      <c r="N6" s="17"/>
      <c r="O6" s="9" t="s">
        <v>203</v>
      </c>
    </row>
    <row r="7" spans="1:15" s="9" customFormat="1" ht="12.75">
      <c r="A7" s="17" t="s">
        <v>6</v>
      </c>
      <c r="B7" s="17" t="s">
        <v>116</v>
      </c>
      <c r="C7" s="17"/>
      <c r="D7" s="17" t="s">
        <v>123</v>
      </c>
      <c r="E7" s="17">
        <v>213</v>
      </c>
      <c r="F7" s="17">
        <v>1</v>
      </c>
      <c r="G7" s="17" t="s">
        <v>112</v>
      </c>
      <c r="H7" s="81">
        <v>553.8</v>
      </c>
      <c r="I7" s="17">
        <v>553.8</v>
      </c>
      <c r="J7" s="17">
        <v>553.8</v>
      </c>
      <c r="K7" s="17">
        <f>J7</f>
        <v>553.8</v>
      </c>
      <c r="L7" s="17">
        <f>IF(ISBLANK(M7),K7,"Retired")</f>
        <v>553.8</v>
      </c>
      <c r="M7" s="17"/>
      <c r="O7" s="9" t="s">
        <v>203</v>
      </c>
    </row>
    <row r="8" spans="1:14" s="9" customFormat="1" ht="12.75">
      <c r="A8" s="17" t="s">
        <v>7</v>
      </c>
      <c r="B8" s="17"/>
      <c r="C8" s="17" t="s">
        <v>130</v>
      </c>
      <c r="D8" s="17" t="s">
        <v>102</v>
      </c>
      <c r="E8" s="17">
        <v>14</v>
      </c>
      <c r="F8" s="17">
        <v>4</v>
      </c>
      <c r="G8" s="17" t="s">
        <v>131</v>
      </c>
      <c r="H8" s="81">
        <v>1300.9</v>
      </c>
      <c r="I8" s="17">
        <v>650</v>
      </c>
      <c r="J8" s="17">
        <v>650</v>
      </c>
      <c r="K8" s="17">
        <f>J8</f>
        <v>650</v>
      </c>
      <c r="L8" s="17">
        <f>IF(ISBLANK(M8),K8,"Retired")</f>
        <v>650</v>
      </c>
      <c r="M8" s="17"/>
      <c r="N8" s="17"/>
    </row>
    <row r="9" spans="1:15" s="9" customFormat="1" ht="12.75">
      <c r="A9" s="17" t="s">
        <v>8</v>
      </c>
      <c r="B9" s="17" t="s">
        <v>120</v>
      </c>
      <c r="C9" s="17"/>
      <c r="D9" s="17" t="s">
        <v>122</v>
      </c>
      <c r="E9" s="17">
        <v>15</v>
      </c>
      <c r="F9" s="17">
        <v>862</v>
      </c>
      <c r="G9" s="17" t="s">
        <v>119</v>
      </c>
      <c r="H9" s="81">
        <v>40.55</v>
      </c>
      <c r="I9" s="17">
        <v>40.55</v>
      </c>
      <c r="J9" s="17">
        <v>40.55</v>
      </c>
      <c r="K9" s="17">
        <v>40.55</v>
      </c>
      <c r="L9" s="17">
        <f>9.9/2</f>
        <v>4.95</v>
      </c>
      <c r="M9" s="17"/>
      <c r="N9" s="17"/>
      <c r="O9" s="9" t="s">
        <v>203</v>
      </c>
    </row>
    <row r="10" spans="1:15" s="9" customFormat="1" ht="12.75">
      <c r="A10" s="17" t="s">
        <v>10</v>
      </c>
      <c r="B10" s="17" t="s">
        <v>121</v>
      </c>
      <c r="C10" s="17"/>
      <c r="D10" s="17" t="s">
        <v>122</v>
      </c>
      <c r="E10" s="17">
        <v>15</v>
      </c>
      <c r="F10" s="17">
        <v>862</v>
      </c>
      <c r="G10" s="17" t="s">
        <v>119</v>
      </c>
      <c r="H10" s="81">
        <v>40.55</v>
      </c>
      <c r="I10" s="17">
        <v>40.55</v>
      </c>
      <c r="J10" s="17">
        <v>40.55</v>
      </c>
      <c r="K10" s="17">
        <v>40.55</v>
      </c>
      <c r="L10" s="17">
        <f>9.9/2</f>
        <v>4.95</v>
      </c>
      <c r="M10" s="17"/>
      <c r="N10" s="17"/>
      <c r="O10" s="9" t="s">
        <v>203</v>
      </c>
    </row>
    <row r="11" spans="1:14" s="9" customFormat="1" ht="12.75">
      <c r="A11" s="17" t="s">
        <v>11</v>
      </c>
      <c r="B11" s="17"/>
      <c r="C11" s="17" t="s">
        <v>126</v>
      </c>
      <c r="D11" s="17" t="s">
        <v>122</v>
      </c>
      <c r="E11" s="17">
        <v>15</v>
      </c>
      <c r="F11" s="17">
        <v>45</v>
      </c>
      <c r="G11" s="17" t="s">
        <v>125</v>
      </c>
      <c r="H11" s="81">
        <v>8600</v>
      </c>
      <c r="I11" s="17">
        <v>4300</v>
      </c>
      <c r="J11" s="17">
        <v>2580</v>
      </c>
      <c r="K11" s="17">
        <f>J11</f>
        <v>2580</v>
      </c>
      <c r="L11" s="17" t="str">
        <f aca="true" t="shared" si="0" ref="L11:L42">IF(ISBLANK(M11),K11,"Retired")</f>
        <v>Retired</v>
      </c>
      <c r="M11" s="17">
        <v>2011</v>
      </c>
      <c r="N11" s="17"/>
    </row>
    <row r="12" spans="1:14" s="9" customFormat="1" ht="12.75">
      <c r="A12" s="144" t="s">
        <v>12</v>
      </c>
      <c r="B12" s="144" t="s">
        <v>127</v>
      </c>
      <c r="C12" s="144"/>
      <c r="D12" s="144" t="s">
        <v>122</v>
      </c>
      <c r="E12" s="144">
        <v>15</v>
      </c>
      <c r="F12" s="144">
        <v>45</v>
      </c>
      <c r="G12" s="144" t="s">
        <v>125</v>
      </c>
      <c r="H12" s="145">
        <v>18212</v>
      </c>
      <c r="I12" s="144">
        <v>9877</v>
      </c>
      <c r="J12" s="144">
        <v>5926</v>
      </c>
      <c r="K12" s="144">
        <f>J12</f>
        <v>5926</v>
      </c>
      <c r="L12" s="144">
        <f t="shared" si="0"/>
        <v>5926</v>
      </c>
      <c r="M12" s="144"/>
      <c r="N12" s="17"/>
    </row>
    <row r="13" spans="1:14" s="9" customFormat="1" ht="12.75">
      <c r="A13" s="17" t="s">
        <v>13</v>
      </c>
      <c r="B13" s="17"/>
      <c r="C13" s="17" t="s">
        <v>128</v>
      </c>
      <c r="D13" s="17" t="s">
        <v>122</v>
      </c>
      <c r="E13" s="17">
        <v>15</v>
      </c>
      <c r="F13" s="17">
        <v>45</v>
      </c>
      <c r="G13" s="17" t="s">
        <v>129</v>
      </c>
      <c r="H13" s="81">
        <v>1445.4</v>
      </c>
      <c r="I13" s="17">
        <v>723</v>
      </c>
      <c r="J13" s="17">
        <v>723</v>
      </c>
      <c r="K13" s="17">
        <f>J13</f>
        <v>723</v>
      </c>
      <c r="L13" s="17">
        <f t="shared" si="0"/>
        <v>723</v>
      </c>
      <c r="M13" s="17"/>
      <c r="N13" s="24"/>
    </row>
    <row r="14" spans="1:14" s="9" customFormat="1" ht="12.75">
      <c r="A14" s="17" t="s">
        <v>14</v>
      </c>
      <c r="B14" s="17"/>
      <c r="C14" s="17" t="s">
        <v>132</v>
      </c>
      <c r="D14" s="17" t="s">
        <v>101</v>
      </c>
      <c r="E14" s="17">
        <v>75</v>
      </c>
      <c r="F14" s="17">
        <v>766</v>
      </c>
      <c r="G14" s="17" t="s">
        <v>112</v>
      </c>
      <c r="H14" s="81">
        <v>950.5</v>
      </c>
      <c r="I14" s="17">
        <v>950.5</v>
      </c>
      <c r="J14" s="17">
        <v>950.5</v>
      </c>
      <c r="K14" s="17">
        <v>950.5</v>
      </c>
      <c r="L14" s="17">
        <f t="shared" si="0"/>
        <v>950.5</v>
      </c>
      <c r="M14" s="17"/>
      <c r="N14" s="17"/>
    </row>
    <row r="15" spans="1:14" s="9" customFormat="1" ht="12.75">
      <c r="A15" s="144" t="s">
        <v>86</v>
      </c>
      <c r="B15" s="144"/>
      <c r="C15" s="144" t="s">
        <v>198</v>
      </c>
      <c r="D15" s="144" t="s">
        <v>133</v>
      </c>
      <c r="E15" s="144">
        <v>170</v>
      </c>
      <c r="F15" s="144">
        <v>2</v>
      </c>
      <c r="G15" s="144" t="s">
        <v>125</v>
      </c>
      <c r="H15" s="145">
        <v>1325</v>
      </c>
      <c r="I15" s="144">
        <v>662</v>
      </c>
      <c r="J15" s="144">
        <v>662</v>
      </c>
      <c r="K15" s="144">
        <f>J15</f>
        <v>662</v>
      </c>
      <c r="L15" s="144">
        <f t="shared" si="0"/>
        <v>662</v>
      </c>
      <c r="M15" s="144"/>
      <c r="N15" s="17"/>
    </row>
    <row r="16" spans="1:14" s="9" customFormat="1" ht="12.75">
      <c r="A16" s="17" t="s">
        <v>16</v>
      </c>
      <c r="B16" s="17"/>
      <c r="C16" s="17" t="s">
        <v>134</v>
      </c>
      <c r="D16" s="17" t="s">
        <v>139</v>
      </c>
      <c r="E16" s="17">
        <v>67</v>
      </c>
      <c r="F16" s="17">
        <v>17</v>
      </c>
      <c r="G16" s="17" t="s">
        <v>118</v>
      </c>
      <c r="H16" s="81">
        <v>614</v>
      </c>
      <c r="I16" s="17">
        <v>614</v>
      </c>
      <c r="J16" s="17">
        <v>614</v>
      </c>
      <c r="K16" s="17">
        <f>J16</f>
        <v>614</v>
      </c>
      <c r="L16" s="17">
        <f t="shared" si="0"/>
        <v>614</v>
      </c>
      <c r="M16" s="17"/>
      <c r="N16" s="17"/>
    </row>
    <row r="17" spans="1:14" s="9" customFormat="1" ht="12.75">
      <c r="A17" s="17" t="s">
        <v>17</v>
      </c>
      <c r="B17" s="17"/>
      <c r="C17" s="17" t="s">
        <v>135</v>
      </c>
      <c r="D17" s="17" t="s">
        <v>139</v>
      </c>
      <c r="E17" s="17">
        <v>67</v>
      </c>
      <c r="F17" s="17">
        <v>17</v>
      </c>
      <c r="G17" s="17" t="s">
        <v>118</v>
      </c>
      <c r="H17" s="81">
        <v>614</v>
      </c>
      <c r="I17" s="17">
        <v>614</v>
      </c>
      <c r="J17" s="17">
        <v>614</v>
      </c>
      <c r="K17" s="17">
        <f>J17</f>
        <v>614</v>
      </c>
      <c r="L17" s="17">
        <f t="shared" si="0"/>
        <v>614</v>
      </c>
      <c r="M17" s="17"/>
      <c r="N17" s="17"/>
    </row>
    <row r="18" spans="1:14" s="9" customFormat="1" ht="12.75">
      <c r="A18" s="17" t="s">
        <v>18</v>
      </c>
      <c r="B18" s="17"/>
      <c r="C18" s="17" t="s">
        <v>136</v>
      </c>
      <c r="D18" s="17" t="s">
        <v>139</v>
      </c>
      <c r="E18" s="17">
        <v>67</v>
      </c>
      <c r="F18" s="17">
        <v>17</v>
      </c>
      <c r="G18" s="17" t="s">
        <v>118</v>
      </c>
      <c r="H18" s="81">
        <v>614</v>
      </c>
      <c r="I18" s="17">
        <v>614</v>
      </c>
      <c r="J18" s="17">
        <v>614</v>
      </c>
      <c r="K18" s="17">
        <f>J18</f>
        <v>614</v>
      </c>
      <c r="L18" s="17">
        <f t="shared" si="0"/>
        <v>614</v>
      </c>
      <c r="M18" s="17"/>
      <c r="N18" s="17"/>
    </row>
    <row r="19" spans="1:14" s="9" customFormat="1" ht="12.75">
      <c r="A19" s="17" t="s">
        <v>75</v>
      </c>
      <c r="B19" s="82" t="s">
        <v>137</v>
      </c>
      <c r="C19" s="17"/>
      <c r="D19" s="17" t="s">
        <v>139</v>
      </c>
      <c r="E19" s="17">
        <v>67</v>
      </c>
      <c r="F19" s="17">
        <v>17</v>
      </c>
      <c r="G19" s="17" t="s">
        <v>118</v>
      </c>
      <c r="H19" s="81"/>
      <c r="I19" s="17"/>
      <c r="J19" s="17"/>
      <c r="K19" s="17">
        <f>0.17/2</f>
        <v>0.085</v>
      </c>
      <c r="L19" s="17">
        <f t="shared" si="0"/>
        <v>0.085</v>
      </c>
      <c r="M19" s="17"/>
      <c r="N19" s="17"/>
    </row>
    <row r="20" spans="1:14" s="9" customFormat="1" ht="12.75">
      <c r="A20" s="17" t="s">
        <v>76</v>
      </c>
      <c r="B20" s="82" t="s">
        <v>138</v>
      </c>
      <c r="C20" s="17"/>
      <c r="D20" s="17" t="s">
        <v>139</v>
      </c>
      <c r="E20" s="17">
        <v>67</v>
      </c>
      <c r="F20" s="17">
        <v>17</v>
      </c>
      <c r="G20" s="17" t="s">
        <v>118</v>
      </c>
      <c r="H20" s="81"/>
      <c r="I20" s="17"/>
      <c r="J20" s="17"/>
      <c r="K20" s="17">
        <f>0.17/2</f>
        <v>0.085</v>
      </c>
      <c r="L20" s="17">
        <f t="shared" si="0"/>
        <v>0.085</v>
      </c>
      <c r="M20" s="17"/>
      <c r="N20" s="17"/>
    </row>
    <row r="21" spans="1:14" s="9" customFormat="1" ht="12.75">
      <c r="A21" s="17" t="s">
        <v>19</v>
      </c>
      <c r="B21" s="17"/>
      <c r="C21" s="17"/>
      <c r="D21" s="17" t="s">
        <v>140</v>
      </c>
      <c r="E21" s="17">
        <v>105</v>
      </c>
      <c r="F21" s="17">
        <v>14</v>
      </c>
      <c r="G21" s="17"/>
      <c r="H21" s="81">
        <v>5488</v>
      </c>
      <c r="I21" s="17">
        <v>2744</v>
      </c>
      <c r="J21" s="17">
        <v>1646</v>
      </c>
      <c r="K21" s="17"/>
      <c r="L21" s="17" t="str">
        <f t="shared" si="0"/>
        <v>Retired</v>
      </c>
      <c r="M21" s="17">
        <v>2007</v>
      </c>
      <c r="N21" s="17"/>
    </row>
    <row r="22" spans="1:14" s="9" customFormat="1" ht="12.75">
      <c r="A22" s="17" t="s">
        <v>20</v>
      </c>
      <c r="B22" s="17"/>
      <c r="C22" s="17"/>
      <c r="D22" s="17" t="s">
        <v>140</v>
      </c>
      <c r="E22" s="17">
        <v>105</v>
      </c>
      <c r="F22" s="17">
        <v>14</v>
      </c>
      <c r="G22" s="17"/>
      <c r="H22" s="81">
        <v>5488</v>
      </c>
      <c r="I22" s="17">
        <v>2744</v>
      </c>
      <c r="J22" s="17">
        <v>1646</v>
      </c>
      <c r="K22" s="17"/>
      <c r="L22" s="17" t="str">
        <f t="shared" si="0"/>
        <v>Retired</v>
      </c>
      <c r="M22" s="17">
        <v>2007</v>
      </c>
      <c r="N22" s="17"/>
    </row>
    <row r="23" spans="1:14" s="9" customFormat="1" ht="12.75">
      <c r="A23" s="17" t="s">
        <v>21</v>
      </c>
      <c r="B23" s="82" t="s">
        <v>148</v>
      </c>
      <c r="C23" s="17"/>
      <c r="D23" s="17" t="s">
        <v>140</v>
      </c>
      <c r="E23" s="17">
        <v>105</v>
      </c>
      <c r="F23" s="17">
        <v>14</v>
      </c>
      <c r="G23" s="17" t="s">
        <v>131</v>
      </c>
      <c r="H23" s="81">
        <v>24</v>
      </c>
      <c r="I23" s="17">
        <v>12</v>
      </c>
      <c r="J23" s="17">
        <v>12</v>
      </c>
      <c r="K23" s="17">
        <f>J23</f>
        <v>12</v>
      </c>
      <c r="L23" s="17">
        <f t="shared" si="0"/>
        <v>12</v>
      </c>
      <c r="M23" s="17"/>
      <c r="N23" s="17"/>
    </row>
    <row r="24" spans="1:14" s="9" customFormat="1" ht="12.75">
      <c r="A24" s="17" t="s">
        <v>22</v>
      </c>
      <c r="B24" s="82" t="s">
        <v>141</v>
      </c>
      <c r="C24" s="17"/>
      <c r="D24" s="17" t="s">
        <v>140</v>
      </c>
      <c r="E24" s="17">
        <v>105</v>
      </c>
      <c r="F24" s="17">
        <v>14</v>
      </c>
      <c r="G24" s="17" t="s">
        <v>118</v>
      </c>
      <c r="H24" s="81">
        <v>26.6</v>
      </c>
      <c r="I24" s="17">
        <v>26.6</v>
      </c>
      <c r="J24" s="17">
        <v>6.651</v>
      </c>
      <c r="K24" s="17">
        <f>J24</f>
        <v>6.651</v>
      </c>
      <c r="L24" s="17">
        <f t="shared" si="0"/>
        <v>6.651</v>
      </c>
      <c r="M24" s="17"/>
      <c r="N24" s="17"/>
    </row>
    <row r="25" spans="1:14" s="9" customFormat="1" ht="12.75">
      <c r="A25" s="17" t="s">
        <v>23</v>
      </c>
      <c r="B25" s="82" t="s">
        <v>142</v>
      </c>
      <c r="C25" s="17"/>
      <c r="D25" s="17" t="s">
        <v>140</v>
      </c>
      <c r="E25" s="17">
        <v>105</v>
      </c>
      <c r="F25" s="17">
        <v>14</v>
      </c>
      <c r="G25" s="17" t="s">
        <v>118</v>
      </c>
      <c r="H25" s="81">
        <v>26.6</v>
      </c>
      <c r="I25" s="17">
        <v>26.6</v>
      </c>
      <c r="J25" s="17">
        <v>6.651</v>
      </c>
      <c r="K25" s="17">
        <f>J25</f>
        <v>6.651</v>
      </c>
      <c r="L25" s="17">
        <f t="shared" si="0"/>
        <v>6.651</v>
      </c>
      <c r="M25" s="17"/>
      <c r="N25" s="17"/>
    </row>
    <row r="26" spans="1:14" s="9" customFormat="1" ht="12.75">
      <c r="A26" s="17" t="s">
        <v>24</v>
      </c>
      <c r="B26" s="82" t="s">
        <v>143</v>
      </c>
      <c r="C26" s="17"/>
      <c r="D26" s="17" t="s">
        <v>140</v>
      </c>
      <c r="E26" s="17">
        <v>105</v>
      </c>
      <c r="F26" s="17">
        <v>14</v>
      </c>
      <c r="G26" s="17" t="s">
        <v>118</v>
      </c>
      <c r="H26" s="81">
        <v>26.6</v>
      </c>
      <c r="I26" s="17">
        <v>26.6</v>
      </c>
      <c r="J26" s="17">
        <v>6.651</v>
      </c>
      <c r="K26" s="17">
        <f>J26</f>
        <v>6.651</v>
      </c>
      <c r="L26" s="17">
        <f t="shared" si="0"/>
        <v>6.651</v>
      </c>
      <c r="M26" s="17"/>
      <c r="N26" s="17"/>
    </row>
    <row r="27" spans="1:14" s="9" customFormat="1" ht="12.75">
      <c r="A27" s="17" t="s">
        <v>25</v>
      </c>
      <c r="B27" s="82" t="s">
        <v>144</v>
      </c>
      <c r="C27" s="17"/>
      <c r="D27" s="17" t="s">
        <v>140</v>
      </c>
      <c r="E27" s="17">
        <v>105</v>
      </c>
      <c r="F27" s="17">
        <v>14</v>
      </c>
      <c r="G27" s="17" t="s">
        <v>118</v>
      </c>
      <c r="H27" s="81">
        <v>26.6</v>
      </c>
      <c r="I27" s="17">
        <v>26.6</v>
      </c>
      <c r="J27" s="17">
        <v>6.651</v>
      </c>
      <c r="K27" s="17">
        <f>J27</f>
        <v>6.651</v>
      </c>
      <c r="L27" s="17">
        <f t="shared" si="0"/>
        <v>6.651</v>
      </c>
      <c r="M27" s="17"/>
      <c r="N27" s="17"/>
    </row>
    <row r="28" spans="1:14" s="9" customFormat="1" ht="12.75">
      <c r="A28" s="17" t="s">
        <v>77</v>
      </c>
      <c r="B28" s="82" t="s">
        <v>138</v>
      </c>
      <c r="C28" s="17"/>
      <c r="D28" s="17" t="s">
        <v>140</v>
      </c>
      <c r="E28" s="17">
        <v>105</v>
      </c>
      <c r="F28" s="17">
        <v>14</v>
      </c>
      <c r="G28" s="17" t="s">
        <v>118</v>
      </c>
      <c r="H28" s="81"/>
      <c r="I28" s="17"/>
      <c r="J28" s="17"/>
      <c r="K28" s="17">
        <f>0.9/4</f>
        <v>0.225</v>
      </c>
      <c r="L28" s="17">
        <f t="shared" si="0"/>
        <v>0.225</v>
      </c>
      <c r="M28" s="17"/>
      <c r="N28" s="17"/>
    </row>
    <row r="29" spans="1:14" s="9" customFormat="1" ht="12.75">
      <c r="A29" s="17" t="s">
        <v>78</v>
      </c>
      <c r="B29" s="82" t="s">
        <v>145</v>
      </c>
      <c r="C29" s="17"/>
      <c r="D29" s="17" t="s">
        <v>140</v>
      </c>
      <c r="E29" s="17">
        <v>105</v>
      </c>
      <c r="F29" s="17">
        <v>14</v>
      </c>
      <c r="G29" s="17" t="s">
        <v>118</v>
      </c>
      <c r="H29" s="81"/>
      <c r="I29" s="17"/>
      <c r="J29" s="17"/>
      <c r="K29" s="17">
        <f>0.9/4</f>
        <v>0.225</v>
      </c>
      <c r="L29" s="17">
        <f t="shared" si="0"/>
        <v>0.225</v>
      </c>
      <c r="M29" s="17"/>
      <c r="N29" s="17"/>
    </row>
    <row r="30" spans="1:14" s="9" customFormat="1" ht="12.75">
      <c r="A30" s="17" t="s">
        <v>79</v>
      </c>
      <c r="B30" s="82" t="s">
        <v>146</v>
      </c>
      <c r="C30" s="17"/>
      <c r="D30" s="17" t="s">
        <v>140</v>
      </c>
      <c r="E30" s="17">
        <v>105</v>
      </c>
      <c r="F30" s="17">
        <v>14</v>
      </c>
      <c r="G30" s="17" t="s">
        <v>118</v>
      </c>
      <c r="H30" s="81"/>
      <c r="I30" s="17"/>
      <c r="J30" s="17"/>
      <c r="K30" s="17">
        <f>0.9/4</f>
        <v>0.225</v>
      </c>
      <c r="L30" s="17">
        <f t="shared" si="0"/>
        <v>0.225</v>
      </c>
      <c r="M30" s="17"/>
      <c r="N30" s="17"/>
    </row>
    <row r="31" spans="1:14" s="9" customFormat="1" ht="12.75">
      <c r="A31" s="17" t="s">
        <v>96</v>
      </c>
      <c r="B31" s="82" t="s">
        <v>147</v>
      </c>
      <c r="C31" s="17"/>
      <c r="D31" s="17" t="s">
        <v>140</v>
      </c>
      <c r="E31" s="17">
        <v>105</v>
      </c>
      <c r="F31" s="17">
        <v>14</v>
      </c>
      <c r="G31" s="17" t="s">
        <v>118</v>
      </c>
      <c r="H31" s="81"/>
      <c r="I31" s="17"/>
      <c r="J31" s="17"/>
      <c r="K31" s="17">
        <f>0.9/4</f>
        <v>0.225</v>
      </c>
      <c r="L31" s="17">
        <f t="shared" si="0"/>
        <v>0.225</v>
      </c>
      <c r="M31" s="17"/>
      <c r="N31" s="17"/>
    </row>
    <row r="32" spans="1:14" s="9" customFormat="1" ht="12.75">
      <c r="A32" s="17" t="s">
        <v>26</v>
      </c>
      <c r="B32" s="17"/>
      <c r="C32" s="17" t="s">
        <v>150</v>
      </c>
      <c r="D32" s="17" t="s">
        <v>149</v>
      </c>
      <c r="E32" s="17">
        <v>183</v>
      </c>
      <c r="F32" s="17">
        <v>24</v>
      </c>
      <c r="G32" s="17" t="s">
        <v>131</v>
      </c>
      <c r="H32" s="81">
        <v>1108</v>
      </c>
      <c r="I32" s="17">
        <v>554</v>
      </c>
      <c r="J32" s="17">
        <v>554</v>
      </c>
      <c r="K32" s="17">
        <f>J32</f>
        <v>554</v>
      </c>
      <c r="L32" s="17">
        <f t="shared" si="0"/>
        <v>554</v>
      </c>
      <c r="M32" s="17"/>
      <c r="N32" s="17"/>
    </row>
    <row r="33" spans="1:14" s="9" customFormat="1" ht="12.75">
      <c r="A33" s="17" t="s">
        <v>81</v>
      </c>
      <c r="B33" s="82" t="s">
        <v>151</v>
      </c>
      <c r="C33" s="17"/>
      <c r="D33" s="17" t="s">
        <v>103</v>
      </c>
      <c r="E33" s="17">
        <v>104</v>
      </c>
      <c r="F33" s="17">
        <v>246</v>
      </c>
      <c r="G33" s="17" t="s">
        <v>119</v>
      </c>
      <c r="H33" s="81"/>
      <c r="I33" s="17"/>
      <c r="J33" s="17"/>
      <c r="K33" s="17">
        <v>20.9</v>
      </c>
      <c r="L33" s="17">
        <f t="shared" si="0"/>
        <v>20.9</v>
      </c>
      <c r="M33" s="17"/>
      <c r="N33" s="17"/>
    </row>
    <row r="34" spans="1:14" s="9" customFormat="1" ht="12.75">
      <c r="A34" s="17" t="s">
        <v>82</v>
      </c>
      <c r="B34" s="82" t="s">
        <v>152</v>
      </c>
      <c r="C34" s="17"/>
      <c r="D34" s="17" t="s">
        <v>103</v>
      </c>
      <c r="E34" s="17">
        <v>104</v>
      </c>
      <c r="F34" s="17">
        <v>246</v>
      </c>
      <c r="G34" s="17" t="s">
        <v>119</v>
      </c>
      <c r="H34" s="81"/>
      <c r="I34" s="17"/>
      <c r="J34" s="17"/>
      <c r="K34" s="17">
        <v>20.9</v>
      </c>
      <c r="L34" s="17">
        <f t="shared" si="0"/>
        <v>20.9</v>
      </c>
      <c r="M34" s="17"/>
      <c r="N34" s="17"/>
    </row>
    <row r="35" spans="1:14" s="9" customFormat="1" ht="12.75">
      <c r="A35" s="17" t="s">
        <v>27</v>
      </c>
      <c r="B35" s="82" t="s">
        <v>153</v>
      </c>
      <c r="C35" s="17"/>
      <c r="D35" s="17" t="s">
        <v>156</v>
      </c>
      <c r="E35" s="17">
        <v>89</v>
      </c>
      <c r="F35" s="17">
        <v>80</v>
      </c>
      <c r="G35" s="17" t="s">
        <v>119</v>
      </c>
      <c r="H35" s="81">
        <v>61</v>
      </c>
      <c r="I35" s="17">
        <v>61</v>
      </c>
      <c r="J35" s="17">
        <v>61</v>
      </c>
      <c r="K35" s="17">
        <f>J35</f>
        <v>61</v>
      </c>
      <c r="L35" s="17">
        <f t="shared" si="0"/>
        <v>61</v>
      </c>
      <c r="M35" s="17"/>
      <c r="N35" s="17"/>
    </row>
    <row r="36" spans="1:14" s="9" customFormat="1" ht="12.75">
      <c r="A36" s="17" t="s">
        <v>28</v>
      </c>
      <c r="B36" s="82" t="s">
        <v>154</v>
      </c>
      <c r="C36" s="17"/>
      <c r="D36" s="17" t="s">
        <v>156</v>
      </c>
      <c r="E36" s="17">
        <v>89</v>
      </c>
      <c r="F36" s="17">
        <v>80</v>
      </c>
      <c r="G36" s="17" t="s">
        <v>119</v>
      </c>
      <c r="H36" s="81">
        <v>61</v>
      </c>
      <c r="I36" s="17">
        <v>61</v>
      </c>
      <c r="J36" s="17">
        <v>61</v>
      </c>
      <c r="K36" s="17">
        <f>J36</f>
        <v>61</v>
      </c>
      <c r="L36" s="17">
        <f t="shared" si="0"/>
        <v>61</v>
      </c>
      <c r="M36" s="17"/>
      <c r="N36" s="17"/>
    </row>
    <row r="37" spans="1:14" s="9" customFormat="1" ht="12.75">
      <c r="A37" s="17" t="s">
        <v>29</v>
      </c>
      <c r="B37" s="82" t="s">
        <v>155</v>
      </c>
      <c r="C37" s="17"/>
      <c r="D37" s="17" t="s">
        <v>156</v>
      </c>
      <c r="E37" s="17">
        <v>89</v>
      </c>
      <c r="F37" s="17">
        <v>80</v>
      </c>
      <c r="G37" s="17" t="s">
        <v>119</v>
      </c>
      <c r="H37" s="81"/>
      <c r="I37" s="17">
        <v>61</v>
      </c>
      <c r="J37" s="17">
        <v>61</v>
      </c>
      <c r="K37" s="17">
        <f>J37</f>
        <v>61</v>
      </c>
      <c r="L37" s="17">
        <f t="shared" si="0"/>
        <v>61</v>
      </c>
      <c r="M37" s="17"/>
      <c r="N37" s="17"/>
    </row>
    <row r="38" spans="1:14" s="9" customFormat="1" ht="12.75">
      <c r="A38" s="17" t="s">
        <v>30</v>
      </c>
      <c r="B38" s="82"/>
      <c r="C38" s="17" t="s">
        <v>161</v>
      </c>
      <c r="D38" s="17" t="s">
        <v>103</v>
      </c>
      <c r="E38" s="17">
        <v>104</v>
      </c>
      <c r="F38" s="17">
        <v>24</v>
      </c>
      <c r="G38" s="17" t="s">
        <v>119</v>
      </c>
      <c r="H38" s="81">
        <v>2891</v>
      </c>
      <c r="I38" s="17">
        <v>2891</v>
      </c>
      <c r="J38" s="17">
        <v>1734</v>
      </c>
      <c r="K38" s="17">
        <f>J38</f>
        <v>1734</v>
      </c>
      <c r="L38" s="17">
        <f t="shared" si="0"/>
        <v>1734</v>
      </c>
      <c r="M38" s="17"/>
      <c r="N38" s="17"/>
    </row>
    <row r="39" spans="1:14" s="9" customFormat="1" ht="12.75">
      <c r="A39" s="144" t="s">
        <v>31</v>
      </c>
      <c r="B39" s="144"/>
      <c r="C39" s="144" t="s">
        <v>162</v>
      </c>
      <c r="D39" s="144" t="s">
        <v>103</v>
      </c>
      <c r="E39" s="144">
        <v>104</v>
      </c>
      <c r="F39" s="144">
        <v>24</v>
      </c>
      <c r="G39" s="144"/>
      <c r="H39" s="145">
        <v>5709</v>
      </c>
      <c r="I39" s="144">
        <v>5709</v>
      </c>
      <c r="J39" s="144">
        <v>3426</v>
      </c>
      <c r="K39" s="144">
        <v>3426</v>
      </c>
      <c r="L39" s="144">
        <f t="shared" si="0"/>
        <v>3426</v>
      </c>
      <c r="M39" s="144"/>
      <c r="N39" s="17"/>
    </row>
    <row r="40" spans="1:14" s="9" customFormat="1" ht="12.75">
      <c r="A40" s="144" t="s">
        <v>32</v>
      </c>
      <c r="B40" s="144" t="s">
        <v>200</v>
      </c>
      <c r="C40" s="144"/>
      <c r="D40" s="144" t="s">
        <v>103</v>
      </c>
      <c r="E40" s="144">
        <v>104</v>
      </c>
      <c r="F40" s="144">
        <v>24</v>
      </c>
      <c r="G40" s="144"/>
      <c r="H40" s="145">
        <v>11284</v>
      </c>
      <c r="I40" s="144">
        <v>11284</v>
      </c>
      <c r="J40" s="144">
        <v>6770</v>
      </c>
      <c r="K40" s="144">
        <f>J40</f>
        <v>6770</v>
      </c>
      <c r="L40" s="144">
        <f t="shared" si="0"/>
        <v>6770</v>
      </c>
      <c r="M40" s="144"/>
      <c r="N40" s="17"/>
    </row>
    <row r="41" spans="1:14" s="9" customFormat="1" ht="12.75">
      <c r="A41" s="17" t="s">
        <v>33</v>
      </c>
      <c r="B41" s="17"/>
      <c r="C41" s="17" t="s">
        <v>201</v>
      </c>
      <c r="D41" s="17" t="s">
        <v>103</v>
      </c>
      <c r="E41" s="17">
        <v>104</v>
      </c>
      <c r="F41" s="17">
        <v>24</v>
      </c>
      <c r="G41" s="17" t="s">
        <v>131</v>
      </c>
      <c r="H41" s="81">
        <v>21</v>
      </c>
      <c r="I41" s="17">
        <v>11</v>
      </c>
      <c r="J41" s="17">
        <v>11</v>
      </c>
      <c r="K41" s="17">
        <f>0.9/4</f>
        <v>0.225</v>
      </c>
      <c r="L41" s="17">
        <f t="shared" si="0"/>
        <v>0.225</v>
      </c>
      <c r="M41" s="17"/>
      <c r="N41" s="17"/>
    </row>
    <row r="42" spans="1:14" s="9" customFormat="1" ht="12.75">
      <c r="A42" s="17" t="s">
        <v>83</v>
      </c>
      <c r="B42" s="82" t="s">
        <v>157</v>
      </c>
      <c r="C42" s="17"/>
      <c r="D42" s="17" t="s">
        <v>103</v>
      </c>
      <c r="E42" s="17">
        <v>104</v>
      </c>
      <c r="F42" s="17">
        <v>24</v>
      </c>
      <c r="G42" s="17" t="s">
        <v>118</v>
      </c>
      <c r="H42" s="81"/>
      <c r="I42" s="17"/>
      <c r="J42" s="17"/>
      <c r="K42" s="17">
        <v>0.9</v>
      </c>
      <c r="L42" s="17">
        <f t="shared" si="0"/>
        <v>0.9</v>
      </c>
      <c r="M42" s="17"/>
      <c r="N42" s="17"/>
    </row>
    <row r="43" spans="1:14" s="9" customFormat="1" ht="12.75">
      <c r="A43" s="17" t="s">
        <v>84</v>
      </c>
      <c r="B43" s="82" t="s">
        <v>158</v>
      </c>
      <c r="C43" s="17"/>
      <c r="D43" s="17" t="s">
        <v>103</v>
      </c>
      <c r="E43" s="17">
        <v>104</v>
      </c>
      <c r="F43" s="17">
        <v>24</v>
      </c>
      <c r="G43" s="17" t="s">
        <v>118</v>
      </c>
      <c r="H43" s="81"/>
      <c r="I43" s="17"/>
      <c r="J43" s="17"/>
      <c r="K43" s="17">
        <v>0.9</v>
      </c>
      <c r="L43" s="17">
        <f aca="true" t="shared" si="1" ref="L43:L74">IF(ISBLANK(M43),K43,"Retired")</f>
        <v>0.9</v>
      </c>
      <c r="M43" s="17"/>
      <c r="N43" s="17"/>
    </row>
    <row r="44" spans="1:14" s="9" customFormat="1" ht="12.75">
      <c r="A44" s="17" t="s">
        <v>85</v>
      </c>
      <c r="B44" s="82" t="s">
        <v>159</v>
      </c>
      <c r="C44" s="17"/>
      <c r="D44" s="17" t="s">
        <v>103</v>
      </c>
      <c r="E44" s="17">
        <v>104</v>
      </c>
      <c r="F44" s="17">
        <v>24</v>
      </c>
      <c r="G44" s="17" t="s">
        <v>118</v>
      </c>
      <c r="H44" s="81"/>
      <c r="I44" s="17"/>
      <c r="J44" s="17"/>
      <c r="K44" s="17">
        <v>0.9</v>
      </c>
      <c r="L44" s="17">
        <f t="shared" si="1"/>
        <v>0.9</v>
      </c>
      <c r="M44" s="17"/>
      <c r="N44" s="17"/>
    </row>
    <row r="45" spans="1:14" s="9" customFormat="1" ht="12.75">
      <c r="A45" s="17" t="s">
        <v>90</v>
      </c>
      <c r="B45" s="82" t="s">
        <v>160</v>
      </c>
      <c r="C45" s="17"/>
      <c r="D45" s="17" t="s">
        <v>103</v>
      </c>
      <c r="E45" s="17">
        <v>104</v>
      </c>
      <c r="F45" s="17">
        <v>24</v>
      </c>
      <c r="G45" s="17" t="s">
        <v>118</v>
      </c>
      <c r="H45" s="81"/>
      <c r="I45" s="17"/>
      <c r="J45" s="17"/>
      <c r="K45" s="17">
        <v>0.9</v>
      </c>
      <c r="L45" s="17">
        <f t="shared" si="1"/>
        <v>0.9</v>
      </c>
      <c r="M45" s="17"/>
      <c r="N45" s="17"/>
    </row>
    <row r="46" spans="1:14" s="9" customFormat="1" ht="12.75">
      <c r="A46" s="17" t="s">
        <v>34</v>
      </c>
      <c r="B46" s="82" t="s">
        <v>154</v>
      </c>
      <c r="C46" s="17"/>
      <c r="D46" s="17" t="s">
        <v>140</v>
      </c>
      <c r="E46" s="17">
        <v>105</v>
      </c>
      <c r="F46" s="17">
        <v>251</v>
      </c>
      <c r="G46" s="17" t="s">
        <v>119</v>
      </c>
      <c r="H46" s="81"/>
      <c r="I46" s="17">
        <v>55</v>
      </c>
      <c r="J46" s="17">
        <v>55</v>
      </c>
      <c r="K46" s="17">
        <f>J46</f>
        <v>55</v>
      </c>
      <c r="L46" s="17">
        <f t="shared" si="1"/>
        <v>55</v>
      </c>
      <c r="M46" s="17"/>
      <c r="N46" s="17"/>
    </row>
    <row r="47" spans="1:14" s="9" customFormat="1" ht="12.75">
      <c r="A47" s="17" t="s">
        <v>35</v>
      </c>
      <c r="B47" s="82" t="s">
        <v>155</v>
      </c>
      <c r="C47" s="17"/>
      <c r="D47" s="17" t="s">
        <v>140</v>
      </c>
      <c r="E47" s="17">
        <v>105</v>
      </c>
      <c r="F47" s="17">
        <v>251</v>
      </c>
      <c r="G47" s="17" t="s">
        <v>119</v>
      </c>
      <c r="H47" s="81"/>
      <c r="I47" s="17">
        <v>55</v>
      </c>
      <c r="J47" s="17">
        <v>55</v>
      </c>
      <c r="K47" s="17">
        <f>J47</f>
        <v>55</v>
      </c>
      <c r="L47" s="17">
        <f t="shared" si="1"/>
        <v>55</v>
      </c>
      <c r="M47" s="17"/>
      <c r="N47" s="17"/>
    </row>
    <row r="48" spans="1:14" s="9" customFormat="1" ht="12.75">
      <c r="A48" s="17" t="s">
        <v>36</v>
      </c>
      <c r="B48" s="17"/>
      <c r="C48" s="17" t="s">
        <v>195</v>
      </c>
      <c r="D48" s="17" t="s">
        <v>104</v>
      </c>
      <c r="E48" s="17">
        <v>107</v>
      </c>
      <c r="F48" s="17">
        <v>5</v>
      </c>
      <c r="G48" s="17" t="s">
        <v>125</v>
      </c>
      <c r="H48" s="81">
        <v>4794</v>
      </c>
      <c r="I48" s="17">
        <v>2397</v>
      </c>
      <c r="J48" s="17">
        <v>1366</v>
      </c>
      <c r="K48" s="17">
        <f>J48</f>
        <v>1366</v>
      </c>
      <c r="L48" s="17">
        <f t="shared" si="1"/>
        <v>1366</v>
      </c>
      <c r="M48" s="17"/>
      <c r="N48" s="17"/>
    </row>
    <row r="49" spans="1:14" s="9" customFormat="1" ht="12.75">
      <c r="A49" s="144" t="s">
        <v>37</v>
      </c>
      <c r="B49" s="144"/>
      <c r="C49" s="144" t="s">
        <v>196</v>
      </c>
      <c r="D49" s="144" t="s">
        <v>104</v>
      </c>
      <c r="E49" s="144">
        <v>107</v>
      </c>
      <c r="F49" s="144">
        <v>5</v>
      </c>
      <c r="G49" s="144" t="s">
        <v>125</v>
      </c>
      <c r="H49" s="145">
        <v>22442</v>
      </c>
      <c r="I49" s="144">
        <v>11221</v>
      </c>
      <c r="J49" s="144">
        <v>6733</v>
      </c>
      <c r="K49" s="144">
        <f aca="true" t="shared" si="2" ref="K49:K55">J49</f>
        <v>6733</v>
      </c>
      <c r="L49" s="144">
        <f t="shared" si="1"/>
        <v>6733</v>
      </c>
      <c r="M49" s="144"/>
      <c r="N49" s="17"/>
    </row>
    <row r="50" spans="1:14" s="9" customFormat="1" ht="12.75">
      <c r="A50" s="144" t="s">
        <v>38</v>
      </c>
      <c r="B50" s="147" t="s">
        <v>163</v>
      </c>
      <c r="C50" s="144"/>
      <c r="D50" s="144" t="s">
        <v>100</v>
      </c>
      <c r="E50" s="144">
        <v>117</v>
      </c>
      <c r="F50" s="144">
        <v>551</v>
      </c>
      <c r="G50" s="144" t="s">
        <v>125</v>
      </c>
      <c r="H50" s="145">
        <v>20508</v>
      </c>
      <c r="I50" s="144">
        <v>10282</v>
      </c>
      <c r="J50" s="144">
        <v>6169</v>
      </c>
      <c r="K50" s="144">
        <f t="shared" si="2"/>
        <v>6169</v>
      </c>
      <c r="L50" s="144">
        <f t="shared" si="1"/>
        <v>6169</v>
      </c>
      <c r="M50" s="144"/>
      <c r="N50" s="17"/>
    </row>
    <row r="51" spans="1:14" s="9" customFormat="1" ht="12.75">
      <c r="A51" s="17" t="s">
        <v>39</v>
      </c>
      <c r="B51" s="17"/>
      <c r="C51" s="17" t="s">
        <v>165</v>
      </c>
      <c r="D51" s="17" t="s">
        <v>164</v>
      </c>
      <c r="E51" s="17">
        <v>137</v>
      </c>
      <c r="F51" s="17">
        <v>14</v>
      </c>
      <c r="G51" s="17" t="s">
        <v>125</v>
      </c>
      <c r="H51" s="81">
        <v>8557</v>
      </c>
      <c r="I51" s="17">
        <v>4278</v>
      </c>
      <c r="J51" s="17">
        <v>2567</v>
      </c>
      <c r="K51" s="17">
        <f t="shared" si="2"/>
        <v>2567</v>
      </c>
      <c r="L51" s="17">
        <f t="shared" si="1"/>
        <v>2567</v>
      </c>
      <c r="M51" s="17"/>
      <c r="N51" s="17"/>
    </row>
    <row r="52" spans="1:14" s="9" customFormat="1" ht="12.75">
      <c r="A52" s="144" t="s">
        <v>40</v>
      </c>
      <c r="B52" s="144"/>
      <c r="C52" s="144" t="s">
        <v>166</v>
      </c>
      <c r="D52" s="144" t="s">
        <v>164</v>
      </c>
      <c r="E52" s="144">
        <v>137</v>
      </c>
      <c r="F52" s="144">
        <v>14</v>
      </c>
      <c r="G52" s="144" t="s">
        <v>125</v>
      </c>
      <c r="H52" s="145">
        <v>8557</v>
      </c>
      <c r="I52" s="144">
        <v>4278</v>
      </c>
      <c r="J52" s="144">
        <v>2567</v>
      </c>
      <c r="K52" s="144">
        <f t="shared" si="2"/>
        <v>2567</v>
      </c>
      <c r="L52" s="144" t="str">
        <f t="shared" si="1"/>
        <v>Retired</v>
      </c>
      <c r="M52" s="146">
        <v>2013</v>
      </c>
      <c r="N52" s="17"/>
    </row>
    <row r="53" spans="1:14" s="9" customFormat="1" ht="12.75">
      <c r="A53" s="17" t="s">
        <v>41</v>
      </c>
      <c r="B53" s="17"/>
      <c r="C53" s="17" t="s">
        <v>167</v>
      </c>
      <c r="D53" s="17" t="s">
        <v>164</v>
      </c>
      <c r="E53" s="17">
        <v>137</v>
      </c>
      <c r="F53" s="17">
        <v>14</v>
      </c>
      <c r="G53" s="17" t="s">
        <v>131</v>
      </c>
      <c r="H53" s="81">
        <v>1012</v>
      </c>
      <c r="I53" s="17">
        <v>506</v>
      </c>
      <c r="J53" s="17">
        <v>506</v>
      </c>
      <c r="K53" s="17">
        <f t="shared" si="2"/>
        <v>506</v>
      </c>
      <c r="L53" s="17">
        <f t="shared" si="1"/>
        <v>506</v>
      </c>
      <c r="M53" s="17"/>
      <c r="N53" s="17"/>
    </row>
    <row r="54" spans="1:14" s="9" customFormat="1" ht="12.75">
      <c r="A54" s="17" t="s">
        <v>42</v>
      </c>
      <c r="B54" s="17"/>
      <c r="C54" s="17" t="s">
        <v>168</v>
      </c>
      <c r="D54" s="17" t="s">
        <v>105</v>
      </c>
      <c r="E54" s="17">
        <v>139</v>
      </c>
      <c r="F54" s="17">
        <v>105</v>
      </c>
      <c r="G54" s="17" t="s">
        <v>131</v>
      </c>
      <c r="H54" s="81">
        <v>1199.7</v>
      </c>
      <c r="I54" s="17">
        <v>600</v>
      </c>
      <c r="J54" s="17">
        <v>600</v>
      </c>
      <c r="K54" s="17">
        <f t="shared" si="2"/>
        <v>600</v>
      </c>
      <c r="L54" s="17">
        <f t="shared" si="1"/>
        <v>600</v>
      </c>
      <c r="M54" s="17"/>
      <c r="N54" s="17"/>
    </row>
    <row r="55" spans="1:14" s="9" customFormat="1" ht="12.75">
      <c r="A55" s="17" t="s">
        <v>43</v>
      </c>
      <c r="B55" s="17"/>
      <c r="C55" s="17" t="s">
        <v>197</v>
      </c>
      <c r="D55" s="17" t="s">
        <v>169</v>
      </c>
      <c r="E55" s="17">
        <v>70</v>
      </c>
      <c r="F55" s="17">
        <v>4</v>
      </c>
      <c r="G55" s="17" t="s">
        <v>125</v>
      </c>
      <c r="H55" s="81">
        <v>1922.4</v>
      </c>
      <c r="I55" s="17">
        <v>961</v>
      </c>
      <c r="J55" s="17">
        <v>961</v>
      </c>
      <c r="K55" s="17">
        <f t="shared" si="2"/>
        <v>961</v>
      </c>
      <c r="L55" s="17">
        <f t="shared" si="1"/>
        <v>961</v>
      </c>
      <c r="M55" s="17"/>
      <c r="N55" s="17"/>
    </row>
    <row r="56" spans="1:14" s="9" customFormat="1" ht="12.75">
      <c r="A56" s="17" t="s">
        <v>44</v>
      </c>
      <c r="B56" s="17"/>
      <c r="C56" s="17"/>
      <c r="D56" s="17" t="s">
        <v>169</v>
      </c>
      <c r="E56" s="17">
        <v>70</v>
      </c>
      <c r="F56" s="17"/>
      <c r="G56" s="17" t="s">
        <v>125</v>
      </c>
      <c r="H56" s="81">
        <v>282.4</v>
      </c>
      <c r="I56" s="17">
        <v>141.2</v>
      </c>
      <c r="J56" s="17">
        <v>141.2</v>
      </c>
      <c r="K56" s="17"/>
      <c r="L56" s="17" t="str">
        <f t="shared" si="1"/>
        <v>Retired</v>
      </c>
      <c r="M56" s="17">
        <v>2008</v>
      </c>
      <c r="N56" s="17"/>
    </row>
    <row r="57" spans="1:14" s="9" customFormat="1" ht="12.75">
      <c r="A57" s="17" t="s">
        <v>45</v>
      </c>
      <c r="B57" s="82" t="s">
        <v>171</v>
      </c>
      <c r="C57" s="17"/>
      <c r="D57" s="17" t="s">
        <v>170</v>
      </c>
      <c r="E57" s="17">
        <v>53</v>
      </c>
      <c r="F57" s="17"/>
      <c r="G57" s="17" t="s">
        <v>112</v>
      </c>
      <c r="H57" s="81">
        <v>78.5</v>
      </c>
      <c r="I57" s="17">
        <v>37.2</v>
      </c>
      <c r="J57" s="17">
        <v>42.4</v>
      </c>
      <c r="K57" s="17">
        <v>0.96</v>
      </c>
      <c r="L57" s="17">
        <f t="shared" si="1"/>
        <v>0.96</v>
      </c>
      <c r="M57" s="17"/>
      <c r="N57" s="17"/>
    </row>
    <row r="58" spans="1:14" s="9" customFormat="1" ht="12.75">
      <c r="A58" s="17" t="s">
        <v>46</v>
      </c>
      <c r="B58" s="17"/>
      <c r="C58" s="17" t="s">
        <v>172</v>
      </c>
      <c r="D58" s="17" t="s">
        <v>101</v>
      </c>
      <c r="E58" s="17">
        <v>75</v>
      </c>
      <c r="F58" s="17">
        <v>158</v>
      </c>
      <c r="G58" s="17" t="s">
        <v>131</v>
      </c>
      <c r="H58" s="81">
        <v>1228.6</v>
      </c>
      <c r="I58" s="17">
        <v>614</v>
      </c>
      <c r="J58" s="17">
        <v>614</v>
      </c>
      <c r="K58" s="17">
        <f>J58</f>
        <v>614</v>
      </c>
      <c r="L58" s="17">
        <f t="shared" si="1"/>
        <v>614</v>
      </c>
      <c r="M58" s="17"/>
      <c r="N58" s="17"/>
    </row>
    <row r="59" spans="1:14" s="9" customFormat="1" ht="12.75">
      <c r="A59" s="17" t="s">
        <v>47</v>
      </c>
      <c r="B59" s="17"/>
      <c r="C59" s="17" t="s">
        <v>173</v>
      </c>
      <c r="D59" s="17" t="s">
        <v>101</v>
      </c>
      <c r="E59" s="17">
        <v>75</v>
      </c>
      <c r="F59" s="17">
        <v>158</v>
      </c>
      <c r="G59" s="17" t="s">
        <v>131</v>
      </c>
      <c r="H59" s="81">
        <v>1228.6</v>
      </c>
      <c r="I59" s="17">
        <v>614</v>
      </c>
      <c r="J59" s="17">
        <v>614</v>
      </c>
      <c r="K59" s="17">
        <f aca="true" t="shared" si="3" ref="K59:K72">J59</f>
        <v>614</v>
      </c>
      <c r="L59" s="17">
        <f t="shared" si="1"/>
        <v>614</v>
      </c>
      <c r="M59" s="17"/>
      <c r="N59" s="17"/>
    </row>
    <row r="60" spans="1:14" s="9" customFormat="1" ht="12.75">
      <c r="A60" s="17" t="s">
        <v>48</v>
      </c>
      <c r="B60" s="17"/>
      <c r="C60" s="17" t="s">
        <v>174</v>
      </c>
      <c r="D60" s="17" t="s">
        <v>101</v>
      </c>
      <c r="E60" s="17">
        <v>75</v>
      </c>
      <c r="F60" s="17">
        <v>158</v>
      </c>
      <c r="G60" s="17" t="s">
        <v>131</v>
      </c>
      <c r="H60" s="81">
        <v>1228.6</v>
      </c>
      <c r="I60" s="17">
        <v>614</v>
      </c>
      <c r="J60" s="17">
        <v>614</v>
      </c>
      <c r="K60" s="17">
        <f t="shared" si="3"/>
        <v>614</v>
      </c>
      <c r="L60" s="17">
        <f t="shared" si="1"/>
        <v>614</v>
      </c>
      <c r="M60" s="17"/>
      <c r="N60" s="17"/>
    </row>
    <row r="61" spans="1:14" s="9" customFormat="1" ht="12.75">
      <c r="A61" s="17" t="s">
        <v>49</v>
      </c>
      <c r="B61" s="17"/>
      <c r="C61" s="17" t="s">
        <v>175</v>
      </c>
      <c r="D61" s="17" t="s">
        <v>101</v>
      </c>
      <c r="E61" s="17">
        <v>75</v>
      </c>
      <c r="F61" s="17">
        <v>158</v>
      </c>
      <c r="G61" s="17" t="s">
        <v>131</v>
      </c>
      <c r="H61" s="81">
        <v>1228.6</v>
      </c>
      <c r="I61" s="17">
        <v>614</v>
      </c>
      <c r="J61" s="17">
        <v>614</v>
      </c>
      <c r="K61" s="17">
        <f t="shared" si="3"/>
        <v>614</v>
      </c>
      <c r="L61" s="17">
        <f t="shared" si="1"/>
        <v>614</v>
      </c>
      <c r="M61" s="17"/>
      <c r="N61" s="17"/>
    </row>
    <row r="62" spans="1:14" s="9" customFormat="1" ht="12.75">
      <c r="A62" s="17" t="s">
        <v>50</v>
      </c>
      <c r="B62" s="17"/>
      <c r="C62" s="17" t="s">
        <v>176</v>
      </c>
      <c r="D62" s="17" t="s">
        <v>101</v>
      </c>
      <c r="E62" s="17">
        <v>75</v>
      </c>
      <c r="F62" s="17">
        <v>158</v>
      </c>
      <c r="G62" s="17" t="s">
        <v>131</v>
      </c>
      <c r="H62" s="81">
        <v>1228.6</v>
      </c>
      <c r="I62" s="17">
        <v>614</v>
      </c>
      <c r="J62" s="17">
        <v>614</v>
      </c>
      <c r="K62" s="17">
        <f t="shared" si="3"/>
        <v>614</v>
      </c>
      <c r="L62" s="17">
        <f t="shared" si="1"/>
        <v>614</v>
      </c>
      <c r="M62" s="17"/>
      <c r="N62" s="17"/>
    </row>
    <row r="63" spans="1:14" s="9" customFormat="1" ht="12.75">
      <c r="A63" s="17" t="s">
        <v>51</v>
      </c>
      <c r="B63" s="17"/>
      <c r="C63" s="17" t="s">
        <v>177</v>
      </c>
      <c r="D63" s="17" t="s">
        <v>101</v>
      </c>
      <c r="E63" s="17">
        <v>75</v>
      </c>
      <c r="F63" s="17">
        <v>158</v>
      </c>
      <c r="G63" s="17" t="s">
        <v>131</v>
      </c>
      <c r="H63" s="81">
        <v>1228.6</v>
      </c>
      <c r="I63" s="17">
        <v>614</v>
      </c>
      <c r="J63" s="17">
        <v>614</v>
      </c>
      <c r="K63" s="17">
        <f t="shared" si="3"/>
        <v>614</v>
      </c>
      <c r="L63" s="17">
        <f t="shared" si="1"/>
        <v>614</v>
      </c>
      <c r="M63" s="17"/>
      <c r="N63" s="17"/>
    </row>
    <row r="64" spans="1:14" s="9" customFormat="1" ht="12.75">
      <c r="A64" s="17" t="s">
        <v>52</v>
      </c>
      <c r="B64" s="17"/>
      <c r="C64" s="17" t="s">
        <v>178</v>
      </c>
      <c r="D64" s="17" t="s">
        <v>101</v>
      </c>
      <c r="E64" s="17">
        <v>75</v>
      </c>
      <c r="F64" s="17">
        <v>158</v>
      </c>
      <c r="G64" s="17" t="s">
        <v>131</v>
      </c>
      <c r="H64" s="81">
        <v>1228.6</v>
      </c>
      <c r="I64" s="17">
        <v>614</v>
      </c>
      <c r="J64" s="17">
        <v>614</v>
      </c>
      <c r="K64" s="17">
        <f t="shared" si="3"/>
        <v>614</v>
      </c>
      <c r="L64" s="17">
        <f t="shared" si="1"/>
        <v>614</v>
      </c>
      <c r="M64" s="17"/>
      <c r="N64" s="17"/>
    </row>
    <row r="65" spans="1:14" s="9" customFormat="1" ht="12.75">
      <c r="A65" s="17" t="s">
        <v>53</v>
      </c>
      <c r="B65" s="17"/>
      <c r="C65" s="17" t="s">
        <v>179</v>
      </c>
      <c r="D65" s="17" t="s">
        <v>101</v>
      </c>
      <c r="E65" s="17">
        <v>75</v>
      </c>
      <c r="F65" s="17">
        <v>158</v>
      </c>
      <c r="G65" s="17" t="s">
        <v>131</v>
      </c>
      <c r="H65" s="81">
        <v>1228.6</v>
      </c>
      <c r="I65" s="17">
        <v>614</v>
      </c>
      <c r="J65" s="17">
        <v>614</v>
      </c>
      <c r="K65" s="17">
        <f t="shared" si="3"/>
        <v>614</v>
      </c>
      <c r="L65" s="17">
        <f t="shared" si="1"/>
        <v>614</v>
      </c>
      <c r="M65" s="17"/>
      <c r="N65" s="17"/>
    </row>
    <row r="66" spans="1:14" s="9" customFormat="1" ht="12.75">
      <c r="A66" s="17" t="s">
        <v>54</v>
      </c>
      <c r="B66" s="17"/>
      <c r="C66" s="17" t="s">
        <v>180</v>
      </c>
      <c r="D66" s="17" t="s">
        <v>149</v>
      </c>
      <c r="E66" s="17">
        <v>183</v>
      </c>
      <c r="F66" s="17">
        <v>43</v>
      </c>
      <c r="G66" s="17" t="s">
        <v>131</v>
      </c>
      <c r="H66" s="81">
        <v>1108</v>
      </c>
      <c r="I66" s="17">
        <v>554</v>
      </c>
      <c r="J66" s="17">
        <v>554</v>
      </c>
      <c r="K66" s="17">
        <f t="shared" si="3"/>
        <v>554</v>
      </c>
      <c r="L66" s="17">
        <f t="shared" si="1"/>
        <v>554</v>
      </c>
      <c r="M66" s="17"/>
      <c r="N66" s="17"/>
    </row>
    <row r="67" spans="1:14" s="9" customFormat="1" ht="12.75">
      <c r="A67" s="17" t="s">
        <v>55</v>
      </c>
      <c r="B67" s="17"/>
      <c r="C67" s="17" t="s">
        <v>182</v>
      </c>
      <c r="D67" s="17" t="s">
        <v>181</v>
      </c>
      <c r="E67" s="17">
        <v>150</v>
      </c>
      <c r="F67" s="17">
        <v>1</v>
      </c>
      <c r="G67" s="17" t="s">
        <v>131</v>
      </c>
      <c r="H67" s="81">
        <v>1108</v>
      </c>
      <c r="I67" s="17">
        <v>554</v>
      </c>
      <c r="J67" s="17">
        <v>554</v>
      </c>
      <c r="K67" s="17">
        <f t="shared" si="3"/>
        <v>554</v>
      </c>
      <c r="L67" s="17">
        <f t="shared" si="1"/>
        <v>554</v>
      </c>
      <c r="M67" s="17"/>
      <c r="N67" s="17"/>
    </row>
    <row r="68" spans="1:14" s="9" customFormat="1" ht="12.75">
      <c r="A68" s="17" t="s">
        <v>56</v>
      </c>
      <c r="B68" s="82" t="s">
        <v>183</v>
      </c>
      <c r="C68" s="17"/>
      <c r="D68" s="17" t="s">
        <v>124</v>
      </c>
      <c r="E68" s="17">
        <v>189</v>
      </c>
      <c r="F68" s="17">
        <v>114</v>
      </c>
      <c r="G68" s="17" t="s">
        <v>118</v>
      </c>
      <c r="H68" s="81">
        <v>2.5</v>
      </c>
      <c r="I68" s="17">
        <v>2.5</v>
      </c>
      <c r="J68" s="17">
        <v>2.5</v>
      </c>
      <c r="K68" s="17">
        <f t="shared" si="3"/>
        <v>2.5</v>
      </c>
      <c r="L68" s="17">
        <f t="shared" si="1"/>
        <v>2.5</v>
      </c>
      <c r="M68" s="17"/>
      <c r="N68" s="17"/>
    </row>
    <row r="69" spans="1:14" s="9" customFormat="1" ht="12.75">
      <c r="A69" s="17" t="s">
        <v>57</v>
      </c>
      <c r="B69" s="82" t="s">
        <v>184</v>
      </c>
      <c r="C69" s="17"/>
      <c r="D69" s="17" t="s">
        <v>124</v>
      </c>
      <c r="E69" s="17">
        <v>189</v>
      </c>
      <c r="F69" s="17">
        <v>114</v>
      </c>
      <c r="G69" s="17" t="s">
        <v>118</v>
      </c>
      <c r="H69" s="81">
        <v>2.5</v>
      </c>
      <c r="I69" s="17">
        <v>2.5</v>
      </c>
      <c r="J69" s="17">
        <v>2.5</v>
      </c>
      <c r="K69" s="17">
        <f t="shared" si="3"/>
        <v>2.5</v>
      </c>
      <c r="L69" s="17">
        <f t="shared" si="1"/>
        <v>2.5</v>
      </c>
      <c r="M69" s="17"/>
      <c r="N69" s="17"/>
    </row>
    <row r="70" spans="1:14" s="9" customFormat="1" ht="12.75">
      <c r="A70" s="17" t="s">
        <v>58</v>
      </c>
      <c r="B70" s="82" t="s">
        <v>185</v>
      </c>
      <c r="C70" s="17"/>
      <c r="D70" s="17" t="s">
        <v>124</v>
      </c>
      <c r="E70" s="17">
        <v>189</v>
      </c>
      <c r="F70" s="17">
        <v>114</v>
      </c>
      <c r="G70" s="17" t="s">
        <v>118</v>
      </c>
      <c r="H70" s="81">
        <v>2.5</v>
      </c>
      <c r="I70" s="17">
        <v>2.5</v>
      </c>
      <c r="J70" s="17">
        <v>2.5</v>
      </c>
      <c r="K70" s="17">
        <f t="shared" si="3"/>
        <v>2.5</v>
      </c>
      <c r="L70" s="17">
        <f t="shared" si="1"/>
        <v>2.5</v>
      </c>
      <c r="M70" s="17"/>
      <c r="N70" s="17"/>
    </row>
    <row r="71" spans="1:14" s="9" customFormat="1" ht="12.75">
      <c r="A71" s="17" t="s">
        <v>59</v>
      </c>
      <c r="B71" s="82" t="s">
        <v>186</v>
      </c>
      <c r="C71" s="17"/>
      <c r="D71" s="17" t="s">
        <v>124</v>
      </c>
      <c r="E71" s="17">
        <v>189</v>
      </c>
      <c r="F71" s="17">
        <v>114</v>
      </c>
      <c r="G71" s="17" t="s">
        <v>118</v>
      </c>
      <c r="H71" s="81">
        <v>2.5</v>
      </c>
      <c r="I71" s="17">
        <v>2.5</v>
      </c>
      <c r="J71" s="17">
        <v>2.5</v>
      </c>
      <c r="K71" s="17">
        <f t="shared" si="3"/>
        <v>2.5</v>
      </c>
      <c r="L71" s="17">
        <f t="shared" si="1"/>
        <v>2.5</v>
      </c>
      <c r="M71" s="17"/>
      <c r="N71" s="17"/>
    </row>
    <row r="72" spans="1:14" s="9" customFormat="1" ht="12.75">
      <c r="A72" s="17" t="s">
        <v>60</v>
      </c>
      <c r="B72" s="82" t="s">
        <v>187</v>
      </c>
      <c r="C72" s="17"/>
      <c r="D72" s="17" t="s">
        <v>124</v>
      </c>
      <c r="E72" s="17">
        <v>189</v>
      </c>
      <c r="F72" s="17">
        <v>114</v>
      </c>
      <c r="G72" s="17" t="s">
        <v>118</v>
      </c>
      <c r="H72" s="81">
        <v>2.5</v>
      </c>
      <c r="I72" s="17">
        <v>2.5</v>
      </c>
      <c r="J72" s="17">
        <v>2.5</v>
      </c>
      <c r="K72" s="17">
        <f t="shared" si="3"/>
        <v>2.5</v>
      </c>
      <c r="L72" s="17">
        <f t="shared" si="1"/>
        <v>2.5</v>
      </c>
      <c r="M72" s="17"/>
      <c r="N72" s="17"/>
    </row>
    <row r="73" spans="1:14" s="9" customFormat="1" ht="12.75">
      <c r="A73" s="17" t="s">
        <v>87</v>
      </c>
      <c r="B73" s="82" t="s">
        <v>188</v>
      </c>
      <c r="C73" s="17"/>
      <c r="D73" s="17" t="s">
        <v>189</v>
      </c>
      <c r="E73" s="17">
        <v>192</v>
      </c>
      <c r="F73" s="17">
        <v>5</v>
      </c>
      <c r="G73" s="17" t="s">
        <v>118</v>
      </c>
      <c r="H73" s="81"/>
      <c r="I73" s="17"/>
      <c r="J73" s="17"/>
      <c r="K73" s="17">
        <v>7.5</v>
      </c>
      <c r="L73" s="17">
        <f t="shared" si="1"/>
        <v>7.5</v>
      </c>
      <c r="M73" s="17"/>
      <c r="N73" s="17"/>
    </row>
    <row r="74" spans="1:14" s="9" customFormat="1" ht="12.75">
      <c r="A74" s="17" t="s">
        <v>61</v>
      </c>
      <c r="B74" s="82" t="s">
        <v>191</v>
      </c>
      <c r="C74" s="17"/>
      <c r="D74" s="17" t="s">
        <v>190</v>
      </c>
      <c r="E74" s="17">
        <v>172</v>
      </c>
      <c r="F74" s="17">
        <v>26</v>
      </c>
      <c r="G74" s="17" t="s">
        <v>118</v>
      </c>
      <c r="H74" s="81"/>
      <c r="I74" s="17"/>
      <c r="J74" s="17">
        <v>0.2</v>
      </c>
      <c r="K74" s="17">
        <v>0.58</v>
      </c>
      <c r="L74" s="17">
        <f t="shared" si="1"/>
        <v>0.58</v>
      </c>
      <c r="M74" s="17"/>
      <c r="N74" s="17"/>
    </row>
    <row r="75" spans="1:14" s="9" customFormat="1" ht="12.75">
      <c r="A75" s="17" t="s">
        <v>62</v>
      </c>
      <c r="B75" s="82" t="s">
        <v>192</v>
      </c>
      <c r="C75" s="17"/>
      <c r="D75" s="17" t="s">
        <v>190</v>
      </c>
      <c r="E75" s="17">
        <v>172</v>
      </c>
      <c r="F75" s="17">
        <v>26</v>
      </c>
      <c r="G75" s="17" t="s">
        <v>118</v>
      </c>
      <c r="H75" s="81"/>
      <c r="I75" s="17"/>
      <c r="J75" s="17">
        <v>0.2</v>
      </c>
      <c r="K75" s="17">
        <v>0.58</v>
      </c>
      <c r="L75" s="17">
        <f>IF(ISBLANK(M75),K75,"Retired")</f>
        <v>0.58</v>
      </c>
      <c r="M75" s="17"/>
      <c r="N75" s="17"/>
    </row>
    <row r="76" spans="1:14" s="9" customFormat="1" ht="12.75">
      <c r="A76" s="17" t="s">
        <v>63</v>
      </c>
      <c r="B76" s="82" t="s">
        <v>193</v>
      </c>
      <c r="C76" s="17"/>
      <c r="D76" s="17" t="s">
        <v>190</v>
      </c>
      <c r="E76" s="17">
        <v>172</v>
      </c>
      <c r="F76" s="17">
        <v>26</v>
      </c>
      <c r="G76" s="17" t="s">
        <v>118</v>
      </c>
      <c r="H76" s="81"/>
      <c r="I76" s="17"/>
      <c r="J76" s="17">
        <v>0.2</v>
      </c>
      <c r="K76" s="17">
        <v>0.58</v>
      </c>
      <c r="L76" s="17">
        <f>IF(ISBLANK(M76),K76,"Retired")</f>
        <v>0.58</v>
      </c>
      <c r="M76" s="17"/>
      <c r="N76" s="17"/>
    </row>
    <row r="77" spans="7:12" ht="18">
      <c r="G77" s="55" t="s">
        <v>289</v>
      </c>
      <c r="H77" s="56">
        <f>SUM(H4:H76)</f>
        <v>150548.40000000005</v>
      </c>
      <c r="I77" s="56">
        <f>SUM(I4:I76)</f>
        <v>89307.69999999998</v>
      </c>
      <c r="J77" s="56">
        <f>SUM(J4:J76)</f>
        <v>60358.704</v>
      </c>
      <c r="K77" s="56">
        <f>SUM(K4:K76)</f>
        <v>56930.20260000001</v>
      </c>
      <c r="L77" s="56">
        <f>SUM(L4:L76)</f>
        <v>49124.649000000005</v>
      </c>
    </row>
    <row r="78" spans="7:12" ht="18">
      <c r="G78" s="43" t="s">
        <v>290</v>
      </c>
      <c r="H78" s="44">
        <f>SUM(H52,H49:H50,H39:H40,H15,H12)</f>
        <v>88037</v>
      </c>
      <c r="I78" s="44">
        <f>SUM(I52,I49:I50,I39:I40,I15,I12)</f>
        <v>53313</v>
      </c>
      <c r="J78" s="44">
        <f>SUM(J52,J49:J50,J39:J40,J15,J12)</f>
        <v>32253</v>
      </c>
      <c r="K78" s="44">
        <f>SUM(K52,K49:K50,K39:K40,K15,K12)</f>
        <v>32253</v>
      </c>
      <c r="L78" s="44">
        <f>SUM(L52,L49:L50,L39:L40,L15,L12)</f>
        <v>29686</v>
      </c>
    </row>
    <row r="79" spans="12:13" ht="12.75">
      <c r="L79" s="80">
        <f>H77-L77</f>
        <v>101423.75100000005</v>
      </c>
      <c r="M79" s="80">
        <f>L79/H77</f>
        <v>0.6736953099468345</v>
      </c>
    </row>
    <row r="80" spans="12:13" ht="12.75">
      <c r="L80" s="80">
        <f>H78-L78</f>
        <v>58351</v>
      </c>
      <c r="M80" s="80">
        <f>L80/H78</f>
        <v>0.6628008678169406</v>
      </c>
    </row>
    <row r="81" ht="12.75">
      <c r="L81" s="80">
        <f>L79-L80</f>
        <v>43072.75100000005</v>
      </c>
    </row>
  </sheetData>
  <sheetProtection/>
  <mergeCells count="2">
    <mergeCell ref="N1:N2"/>
    <mergeCell ref="A1:A2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="75" zoomScaleNormal="75" zoomScalePageLayoutView="0" workbookViewId="0" topLeftCell="A1">
      <pane xSplit="1" ySplit="1" topLeftCell="B4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6" sqref="A76"/>
    </sheetView>
  </sheetViews>
  <sheetFormatPr defaultColWidth="9.140625" defaultRowHeight="12.75"/>
  <cols>
    <col min="1" max="1" width="52.57421875" style="6" bestFit="1" customWidth="1"/>
    <col min="2" max="2" width="12.57421875" style="6" customWidth="1"/>
    <col min="3" max="3" width="17.421875" style="6" customWidth="1"/>
    <col min="4" max="4" width="15.140625" style="119" customWidth="1"/>
    <col min="5" max="6" width="10.7109375" style="6" customWidth="1"/>
    <col min="7" max="7" width="31.140625" style="6" bestFit="1" customWidth="1"/>
    <col min="8" max="12" width="20.7109375" style="119" customWidth="1"/>
    <col min="13" max="13" width="17.00390625" style="6" customWidth="1"/>
    <col min="14" max="16384" width="9.140625" style="6" customWidth="1"/>
  </cols>
  <sheetData>
    <row r="1" spans="1:13" ht="63" customHeight="1">
      <c r="A1" s="115" t="s">
        <v>0</v>
      </c>
      <c r="B1" s="115" t="s">
        <v>110</v>
      </c>
      <c r="C1" s="116" t="s">
        <v>109</v>
      </c>
      <c r="D1" s="115" t="s">
        <v>108</v>
      </c>
      <c r="E1" s="116" t="s">
        <v>106</v>
      </c>
      <c r="F1" s="116" t="s">
        <v>107</v>
      </c>
      <c r="G1" s="116" t="s">
        <v>111</v>
      </c>
      <c r="H1" s="117" t="s">
        <v>71</v>
      </c>
      <c r="I1" s="117" t="s">
        <v>73</v>
      </c>
      <c r="J1" s="117" t="s">
        <v>72</v>
      </c>
      <c r="K1" s="117" t="s">
        <v>194</v>
      </c>
      <c r="L1" s="117" t="s">
        <v>304</v>
      </c>
      <c r="M1" s="117" t="s">
        <v>2</v>
      </c>
    </row>
    <row r="2" spans="1:13" ht="12.75">
      <c r="A2" s="5" t="s">
        <v>3</v>
      </c>
      <c r="B2" s="5" t="s">
        <v>113</v>
      </c>
      <c r="C2" s="5"/>
      <c r="D2" s="113" t="s">
        <v>104</v>
      </c>
      <c r="E2" s="5">
        <v>107</v>
      </c>
      <c r="F2" s="5">
        <v>44</v>
      </c>
      <c r="G2" s="5" t="s">
        <v>112</v>
      </c>
      <c r="H2" s="118">
        <f>POTSO2!H4/365</f>
        <v>3.5424657534246577</v>
      </c>
      <c r="I2" s="118">
        <f>POTSO2!I4/365</f>
        <v>3.5424657534246577</v>
      </c>
      <c r="J2" s="118">
        <f>POTSO2!J4/365</f>
        <v>3.5424657534246577</v>
      </c>
      <c r="K2" s="118">
        <f>POTSO2!K4/365</f>
        <v>3.54432</v>
      </c>
      <c r="L2" s="118"/>
      <c r="M2" s="5" t="s">
        <v>4</v>
      </c>
    </row>
    <row r="3" spans="1:13" ht="12.75">
      <c r="A3" s="5" t="s">
        <v>5</v>
      </c>
      <c r="B3" s="5" t="s">
        <v>114</v>
      </c>
      <c r="C3" s="5"/>
      <c r="D3" s="113" t="s">
        <v>104</v>
      </c>
      <c r="E3" s="5">
        <v>107</v>
      </c>
      <c r="F3" s="5">
        <v>44</v>
      </c>
      <c r="G3" s="5" t="s">
        <v>112</v>
      </c>
      <c r="H3" s="118">
        <f>POTSO2!H5/365</f>
        <v>3.5424657534246577</v>
      </c>
      <c r="I3" s="118">
        <f>POTSO2!I5/365</f>
        <v>3.5424657534246577</v>
      </c>
      <c r="J3" s="118">
        <f>POTSO2!J5/365</f>
        <v>3.5424657534246577</v>
      </c>
      <c r="K3" s="118">
        <f>POTSO2!K5/365</f>
        <v>3.54432</v>
      </c>
      <c r="L3" s="118"/>
      <c r="M3" s="5" t="s">
        <v>4</v>
      </c>
    </row>
    <row r="4" spans="1:13" ht="12.75">
      <c r="A4" s="8" t="s">
        <v>199</v>
      </c>
      <c r="B4" s="8" t="s">
        <v>117</v>
      </c>
      <c r="C4" s="8"/>
      <c r="D4" s="114" t="s">
        <v>124</v>
      </c>
      <c r="E4" s="8">
        <v>189</v>
      </c>
      <c r="F4" s="8">
        <v>114</v>
      </c>
      <c r="G4" s="8" t="s">
        <v>118</v>
      </c>
      <c r="H4" s="118">
        <f>POTSO2!H6/365</f>
        <v>0</v>
      </c>
      <c r="I4" s="118">
        <f>POTSO2!I6/365</f>
        <v>0</v>
      </c>
      <c r="J4" s="118">
        <f>POTSO2!J6/365</f>
        <v>0</v>
      </c>
      <c r="K4" s="118">
        <f>POTSO2!K6/365</f>
        <v>0.001232876712328767</v>
      </c>
      <c r="L4" s="118">
        <f>POTSO2!L6/365</f>
        <v>0.001232876712328767</v>
      </c>
      <c r="M4" s="5" t="s">
        <v>4</v>
      </c>
    </row>
    <row r="5" spans="1:13" ht="15.75" customHeight="1">
      <c r="A5" s="5" t="s">
        <v>6</v>
      </c>
      <c r="B5" s="5" t="s">
        <v>116</v>
      </c>
      <c r="C5" s="8"/>
      <c r="D5" s="113" t="s">
        <v>123</v>
      </c>
      <c r="E5" s="5">
        <v>213</v>
      </c>
      <c r="F5" s="5">
        <v>1</v>
      </c>
      <c r="G5" s="5" t="s">
        <v>112</v>
      </c>
      <c r="H5" s="118">
        <f>POTSO2!H7/365</f>
        <v>1.5172602739726027</v>
      </c>
      <c r="I5" s="118">
        <f>POTSO2!I7/365</f>
        <v>1.5172602739726027</v>
      </c>
      <c r="J5" s="118">
        <f>POTSO2!J7/365</f>
        <v>1.5172602739726027</v>
      </c>
      <c r="K5" s="118">
        <f>POTSO2!K7/365</f>
        <v>1.5172602739726027</v>
      </c>
      <c r="L5" s="118">
        <f>POTSO2!L7/365</f>
        <v>1.5172602739726027</v>
      </c>
      <c r="M5" s="5"/>
    </row>
    <row r="6" spans="1:13" ht="12.75">
      <c r="A6" s="8" t="s">
        <v>7</v>
      </c>
      <c r="B6" s="8"/>
      <c r="C6" s="8" t="s">
        <v>130</v>
      </c>
      <c r="D6" s="114" t="s">
        <v>102</v>
      </c>
      <c r="E6" s="8">
        <v>14</v>
      </c>
      <c r="F6" s="8">
        <v>4</v>
      </c>
      <c r="G6" s="5" t="s">
        <v>131</v>
      </c>
      <c r="H6" s="118">
        <f>POTSO2!H8/365</f>
        <v>3.564109589041096</v>
      </c>
      <c r="I6" s="118">
        <f>POTSO2!I8/365</f>
        <v>1.7808219178082192</v>
      </c>
      <c r="J6" s="118">
        <f>POTSO2!J8/365</f>
        <v>1.7808219178082192</v>
      </c>
      <c r="K6" s="118">
        <f>POTSO2!K8/365</f>
        <v>1.7808219178082192</v>
      </c>
      <c r="L6" s="118">
        <f>POTSO2!L8/365</f>
        <v>1.7808219178082192</v>
      </c>
      <c r="M6" s="5" t="s">
        <v>4</v>
      </c>
    </row>
    <row r="7" spans="1:13" s="9" customFormat="1" ht="12.75">
      <c r="A7" s="8" t="s">
        <v>8</v>
      </c>
      <c r="B7" s="8" t="s">
        <v>120</v>
      </c>
      <c r="C7" s="8"/>
      <c r="D7" s="114" t="s">
        <v>122</v>
      </c>
      <c r="E7" s="8">
        <v>15</v>
      </c>
      <c r="F7" s="8">
        <v>862</v>
      </c>
      <c r="G7" s="8" t="s">
        <v>119</v>
      </c>
      <c r="H7" s="118">
        <f>POTSO2!H9/365</f>
        <v>0.1110958904109589</v>
      </c>
      <c r="I7" s="118">
        <f>POTSO2!I9/365</f>
        <v>0.1110958904109589</v>
      </c>
      <c r="J7" s="118">
        <f>POTSO2!J9/365</f>
        <v>0.1110958904109589</v>
      </c>
      <c r="K7" s="118">
        <f>POTSO2!K9/365</f>
        <v>0.1110958904109589</v>
      </c>
      <c r="L7" s="118">
        <f>POTSO2!L9/365</f>
        <v>0.013561643835616439</v>
      </c>
      <c r="M7" s="8" t="s">
        <v>9</v>
      </c>
    </row>
    <row r="8" spans="1:13" s="9" customFormat="1" ht="12.75">
      <c r="A8" s="8" t="s">
        <v>10</v>
      </c>
      <c r="B8" s="8" t="s">
        <v>121</v>
      </c>
      <c r="C8" s="8"/>
      <c r="D8" s="114" t="s">
        <v>122</v>
      </c>
      <c r="E8" s="8">
        <v>15</v>
      </c>
      <c r="F8" s="8">
        <v>862</v>
      </c>
      <c r="G8" s="8" t="s">
        <v>119</v>
      </c>
      <c r="H8" s="118">
        <f>POTSO2!H10/365</f>
        <v>0.1110958904109589</v>
      </c>
      <c r="I8" s="118">
        <f>POTSO2!I10/365</f>
        <v>0.1110958904109589</v>
      </c>
      <c r="J8" s="118">
        <f>POTSO2!J10/365</f>
        <v>0.1110958904109589</v>
      </c>
      <c r="K8" s="118">
        <f>POTSO2!K10/365</f>
        <v>0.1110958904109589</v>
      </c>
      <c r="L8" s="118">
        <f>POTSO2!L10/365</f>
        <v>0.013561643835616439</v>
      </c>
      <c r="M8" s="8" t="s">
        <v>9</v>
      </c>
    </row>
    <row r="9" spans="1:13" ht="12.75">
      <c r="A9" s="5" t="s">
        <v>11</v>
      </c>
      <c r="B9" s="5"/>
      <c r="C9" s="5" t="s">
        <v>126</v>
      </c>
      <c r="D9" s="113" t="s">
        <v>122</v>
      </c>
      <c r="E9" s="5">
        <v>15</v>
      </c>
      <c r="F9" s="5">
        <v>45</v>
      </c>
      <c r="G9" s="5" t="s">
        <v>125</v>
      </c>
      <c r="H9" s="118">
        <f>POTSO2!H11/365</f>
        <v>23.561643835616437</v>
      </c>
      <c r="I9" s="118">
        <f>POTSO2!I11/365</f>
        <v>11.780821917808218</v>
      </c>
      <c r="J9" s="118">
        <f>POTSO2!J11/365</f>
        <v>7.068493150684931</v>
      </c>
      <c r="K9" s="118">
        <f>POTSO2!K11/365</f>
        <v>7.068493150684931</v>
      </c>
      <c r="L9" s="118"/>
      <c r="M9" s="5" t="s">
        <v>9</v>
      </c>
    </row>
    <row r="10" spans="1:13" ht="12.75">
      <c r="A10" s="20" t="s">
        <v>12</v>
      </c>
      <c r="B10" s="20" t="s">
        <v>127</v>
      </c>
      <c r="C10" s="20"/>
      <c r="D10" s="124" t="s">
        <v>122</v>
      </c>
      <c r="E10" s="20">
        <v>15</v>
      </c>
      <c r="F10" s="20">
        <v>45</v>
      </c>
      <c r="G10" s="20" t="s">
        <v>125</v>
      </c>
      <c r="H10" s="125">
        <f>POTSO2!H12/365</f>
        <v>49.895890410958906</v>
      </c>
      <c r="I10" s="125">
        <f>POTSO2!I12/365</f>
        <v>27.06027397260274</v>
      </c>
      <c r="J10" s="125">
        <f>POTSO2!J12/365</f>
        <v>16.235616438356164</v>
      </c>
      <c r="K10" s="125">
        <f>POTSO2!K12/365</f>
        <v>16.235616438356164</v>
      </c>
      <c r="L10" s="125">
        <f>POTSO2!L12/365</f>
        <v>16.235616438356164</v>
      </c>
      <c r="M10" s="20" t="s">
        <v>9</v>
      </c>
    </row>
    <row r="11" spans="1:13" ht="12.75">
      <c r="A11" s="5" t="s">
        <v>13</v>
      </c>
      <c r="B11" s="5"/>
      <c r="C11" s="5" t="s">
        <v>128</v>
      </c>
      <c r="D11" s="113" t="s">
        <v>122</v>
      </c>
      <c r="E11" s="5">
        <v>15</v>
      </c>
      <c r="F11" s="5">
        <v>45</v>
      </c>
      <c r="G11" s="5" t="s">
        <v>129</v>
      </c>
      <c r="H11" s="118">
        <f>POTSO2!H13/365</f>
        <v>3.9600000000000004</v>
      </c>
      <c r="I11" s="118">
        <f>POTSO2!I13/365</f>
        <v>1.9808219178082191</v>
      </c>
      <c r="J11" s="118">
        <f>POTSO2!J13/365</f>
        <v>1.9808219178082191</v>
      </c>
      <c r="K11" s="118">
        <f>POTSO2!K13/365</f>
        <v>1.9808219178082191</v>
      </c>
      <c r="L11" s="118">
        <f>POTSO2!L13/365</f>
        <v>1.9808219178082191</v>
      </c>
      <c r="M11" s="5" t="s">
        <v>4</v>
      </c>
    </row>
    <row r="12" spans="1:13" ht="12.75">
      <c r="A12" s="5" t="s">
        <v>14</v>
      </c>
      <c r="B12" s="5"/>
      <c r="C12" s="5" t="s">
        <v>132</v>
      </c>
      <c r="D12" s="113" t="s">
        <v>101</v>
      </c>
      <c r="E12" s="5">
        <v>75</v>
      </c>
      <c r="F12" s="5">
        <v>766</v>
      </c>
      <c r="G12" s="5" t="s">
        <v>112</v>
      </c>
      <c r="H12" s="118">
        <f>POTSO2!H14/365</f>
        <v>2.6041095890410957</v>
      </c>
      <c r="I12" s="118">
        <f>POTSO2!I14/365</f>
        <v>2.6041095890410957</v>
      </c>
      <c r="J12" s="118">
        <f>POTSO2!J14/365</f>
        <v>2.6041095890410957</v>
      </c>
      <c r="K12" s="118">
        <f>POTSO2!K14/365</f>
        <v>2.6041095890410957</v>
      </c>
      <c r="L12" s="118">
        <f>POTSO2!L14/365</f>
        <v>2.6041095890410957</v>
      </c>
      <c r="M12" s="5" t="s">
        <v>9</v>
      </c>
    </row>
    <row r="13" spans="1:13" ht="12.75">
      <c r="A13" s="126" t="s">
        <v>86</v>
      </c>
      <c r="B13" s="20"/>
      <c r="C13" s="127" t="s">
        <v>198</v>
      </c>
      <c r="D13" s="124" t="s">
        <v>133</v>
      </c>
      <c r="E13" s="20">
        <v>170</v>
      </c>
      <c r="F13" s="20">
        <v>2</v>
      </c>
      <c r="G13" s="20" t="s">
        <v>125</v>
      </c>
      <c r="H13" s="125">
        <f>POTSO2!H15/365</f>
        <v>3.6301369863013697</v>
      </c>
      <c r="I13" s="125">
        <f>POTSO2!I15/365</f>
        <v>1.8136986301369864</v>
      </c>
      <c r="J13" s="125">
        <f>POTSO2!J15/365</f>
        <v>1.8136986301369864</v>
      </c>
      <c r="K13" s="125">
        <f>POTSO2!K15/365</f>
        <v>1.8136986301369864</v>
      </c>
      <c r="L13" s="125">
        <f>POTSO2!L15/365</f>
        <v>1.8136986301369864</v>
      </c>
      <c r="M13" s="20" t="s">
        <v>4</v>
      </c>
    </row>
    <row r="14" spans="1:13" ht="12.75">
      <c r="A14" s="5" t="s">
        <v>16</v>
      </c>
      <c r="B14" s="5"/>
      <c r="C14" s="11" t="s">
        <v>134</v>
      </c>
      <c r="D14" s="114" t="s">
        <v>139</v>
      </c>
      <c r="E14" s="5">
        <v>67</v>
      </c>
      <c r="F14" s="5">
        <v>17</v>
      </c>
      <c r="G14" s="8" t="s">
        <v>118</v>
      </c>
      <c r="H14" s="118">
        <f>POTSO2!H16/365</f>
        <v>1.6821917808219178</v>
      </c>
      <c r="I14" s="118">
        <f>POTSO2!I16/365</f>
        <v>1.6821917808219178</v>
      </c>
      <c r="J14" s="118">
        <f>POTSO2!J16/365</f>
        <v>1.6821917808219178</v>
      </c>
      <c r="K14" s="118">
        <f>POTSO2!K16/365</f>
        <v>1.6821917808219178</v>
      </c>
      <c r="L14" s="118">
        <f>POTSO2!L16/365</f>
        <v>1.6821917808219178</v>
      </c>
      <c r="M14" s="5" t="s">
        <v>4</v>
      </c>
    </row>
    <row r="15" spans="1:13" ht="12.75">
      <c r="A15" s="5" t="s">
        <v>17</v>
      </c>
      <c r="B15" s="5"/>
      <c r="C15" s="11" t="s">
        <v>135</v>
      </c>
      <c r="D15" s="114" t="s">
        <v>139</v>
      </c>
      <c r="E15" s="5">
        <v>67</v>
      </c>
      <c r="F15" s="5">
        <v>17</v>
      </c>
      <c r="G15" s="8" t="s">
        <v>118</v>
      </c>
      <c r="H15" s="118">
        <f>POTSO2!H17/365</f>
        <v>1.6821917808219178</v>
      </c>
      <c r="I15" s="118">
        <f>POTSO2!I17/365</f>
        <v>1.6821917808219178</v>
      </c>
      <c r="J15" s="118">
        <f>POTSO2!J17/365</f>
        <v>1.6821917808219178</v>
      </c>
      <c r="K15" s="118">
        <f>POTSO2!K17/365</f>
        <v>1.6821917808219178</v>
      </c>
      <c r="L15" s="118">
        <f>POTSO2!L17/365</f>
        <v>1.6821917808219178</v>
      </c>
      <c r="M15" s="5" t="s">
        <v>4</v>
      </c>
    </row>
    <row r="16" spans="1:13" ht="12.75">
      <c r="A16" s="5" t="s">
        <v>18</v>
      </c>
      <c r="B16" s="5"/>
      <c r="C16" s="11" t="s">
        <v>136</v>
      </c>
      <c r="D16" s="114" t="s">
        <v>139</v>
      </c>
      <c r="E16" s="5">
        <v>67</v>
      </c>
      <c r="F16" s="5">
        <v>17</v>
      </c>
      <c r="G16" s="8" t="s">
        <v>118</v>
      </c>
      <c r="H16" s="118">
        <f>POTSO2!H18/365</f>
        <v>1.6821917808219178</v>
      </c>
      <c r="I16" s="118">
        <f>POTSO2!I18/365</f>
        <v>1.6821917808219178</v>
      </c>
      <c r="J16" s="118">
        <f>POTSO2!J18/365</f>
        <v>1.6821917808219178</v>
      </c>
      <c r="K16" s="118">
        <f>POTSO2!K18/365</f>
        <v>1.6821917808219178</v>
      </c>
      <c r="L16" s="118">
        <f>POTSO2!L18/365</f>
        <v>1.6821917808219178</v>
      </c>
      <c r="M16" s="5" t="s">
        <v>4</v>
      </c>
    </row>
    <row r="17" spans="1:13" ht="12.75">
      <c r="A17" s="8" t="s">
        <v>75</v>
      </c>
      <c r="B17" s="10" t="s">
        <v>137</v>
      </c>
      <c r="C17" s="8"/>
      <c r="D17" s="114" t="s">
        <v>139</v>
      </c>
      <c r="E17" s="5">
        <v>67</v>
      </c>
      <c r="F17" s="5">
        <v>17</v>
      </c>
      <c r="G17" s="8" t="s">
        <v>118</v>
      </c>
      <c r="H17" s="118">
        <f>POTSO2!H19/365</f>
        <v>0</v>
      </c>
      <c r="I17" s="118">
        <f>POTSO2!I19/365</f>
        <v>0</v>
      </c>
      <c r="J17" s="118">
        <f>POTSO2!J19/365</f>
        <v>0</v>
      </c>
      <c r="K17" s="118">
        <f>POTSO2!K19/365</f>
        <v>0.00023287671232876715</v>
      </c>
      <c r="L17" s="118">
        <f>POTSO2!L19/365</f>
        <v>0.00023287671232876715</v>
      </c>
      <c r="M17" s="5"/>
    </row>
    <row r="18" spans="1:13" ht="12.75">
      <c r="A18" s="8" t="s">
        <v>76</v>
      </c>
      <c r="B18" s="10" t="s">
        <v>138</v>
      </c>
      <c r="C18" s="8"/>
      <c r="D18" s="114" t="s">
        <v>139</v>
      </c>
      <c r="E18" s="5">
        <v>67</v>
      </c>
      <c r="F18" s="5">
        <v>17</v>
      </c>
      <c r="G18" s="8" t="s">
        <v>118</v>
      </c>
      <c r="H18" s="118">
        <f>POTSO2!H20/365</f>
        <v>0</v>
      </c>
      <c r="I18" s="118">
        <f>POTSO2!I20/365</f>
        <v>0</v>
      </c>
      <c r="J18" s="118">
        <f>POTSO2!J20/365</f>
        <v>0</v>
      </c>
      <c r="K18" s="118">
        <f>POTSO2!K20/365</f>
        <v>0.00023287671232876715</v>
      </c>
      <c r="L18" s="118">
        <f>POTSO2!L20/365</f>
        <v>0.00023287671232876715</v>
      </c>
      <c r="M18" s="5"/>
    </row>
    <row r="19" spans="1:13" ht="12.75">
      <c r="A19" s="5" t="s">
        <v>19</v>
      </c>
      <c r="B19" s="5"/>
      <c r="C19" s="5"/>
      <c r="D19" s="114" t="s">
        <v>140</v>
      </c>
      <c r="E19" s="5">
        <v>105</v>
      </c>
      <c r="F19" s="5">
        <v>14</v>
      </c>
      <c r="G19" s="5"/>
      <c r="H19" s="118">
        <f>POTSO2!H21/365</f>
        <v>15.035616438356165</v>
      </c>
      <c r="I19" s="118">
        <f>POTSO2!I21/365</f>
        <v>7.517808219178082</v>
      </c>
      <c r="J19" s="118">
        <f>POTSO2!J21/365</f>
        <v>4.50958904109589</v>
      </c>
      <c r="K19" s="118">
        <f>POTSO2!K21/365</f>
        <v>0</v>
      </c>
      <c r="L19" s="118"/>
      <c r="M19" s="5" t="s">
        <v>9</v>
      </c>
    </row>
    <row r="20" spans="1:13" ht="12.75">
      <c r="A20" s="5" t="s">
        <v>20</v>
      </c>
      <c r="B20" s="5"/>
      <c r="C20" s="5"/>
      <c r="D20" s="114" t="s">
        <v>140</v>
      </c>
      <c r="E20" s="5">
        <v>105</v>
      </c>
      <c r="F20" s="5">
        <v>14</v>
      </c>
      <c r="G20" s="5"/>
      <c r="H20" s="118">
        <f>POTSO2!H22/365</f>
        <v>15.035616438356165</v>
      </c>
      <c r="I20" s="118">
        <f>POTSO2!I22/365</f>
        <v>7.517808219178082</v>
      </c>
      <c r="J20" s="118">
        <f>POTSO2!J22/365</f>
        <v>4.50958904109589</v>
      </c>
      <c r="K20" s="118">
        <f>POTSO2!K22/365</f>
        <v>0</v>
      </c>
      <c r="L20" s="118"/>
      <c r="M20" s="5" t="s">
        <v>9</v>
      </c>
    </row>
    <row r="21" spans="1:13" ht="12.75">
      <c r="A21" s="5" t="s">
        <v>21</v>
      </c>
      <c r="B21" s="10" t="s">
        <v>148</v>
      </c>
      <c r="C21" s="5"/>
      <c r="D21" s="114" t="s">
        <v>140</v>
      </c>
      <c r="E21" s="5">
        <v>105</v>
      </c>
      <c r="F21" s="5">
        <v>14</v>
      </c>
      <c r="G21" s="8" t="s">
        <v>131</v>
      </c>
      <c r="H21" s="118">
        <f>POTSO2!H23/365</f>
        <v>0.06575342465753424</v>
      </c>
      <c r="I21" s="118">
        <f>POTSO2!I23/365</f>
        <v>0.03287671232876712</v>
      </c>
      <c r="J21" s="118">
        <f>POTSO2!J23/365</f>
        <v>0.03287671232876712</v>
      </c>
      <c r="K21" s="118">
        <f>POTSO2!K23/365</f>
        <v>0.03287671232876712</v>
      </c>
      <c r="L21" s="118">
        <f>POTSO2!L23/365</f>
        <v>0.03287671232876712</v>
      </c>
      <c r="M21" s="5" t="s">
        <v>4</v>
      </c>
    </row>
    <row r="22" spans="1:13" ht="12.75">
      <c r="A22" s="5" t="s">
        <v>22</v>
      </c>
      <c r="B22" s="10" t="s">
        <v>141</v>
      </c>
      <c r="C22" s="5"/>
      <c r="D22" s="114" t="s">
        <v>140</v>
      </c>
      <c r="E22" s="5">
        <v>105</v>
      </c>
      <c r="F22" s="5">
        <v>14</v>
      </c>
      <c r="G22" s="8" t="s">
        <v>118</v>
      </c>
      <c r="H22" s="118">
        <f>POTSO2!H24/365</f>
        <v>0.07287671232876712</v>
      </c>
      <c r="I22" s="118">
        <f>POTSO2!I24/365</f>
        <v>0.07287671232876712</v>
      </c>
      <c r="J22" s="118">
        <f>POTSO2!J24/365</f>
        <v>0.018221917808219176</v>
      </c>
      <c r="K22" s="118">
        <f>POTSO2!K24/365</f>
        <v>0.018221917808219176</v>
      </c>
      <c r="L22" s="118">
        <f>POTSO2!L24/365</f>
        <v>0.018221917808219176</v>
      </c>
      <c r="M22" s="5" t="s">
        <v>9</v>
      </c>
    </row>
    <row r="23" spans="1:13" ht="12.75">
      <c r="A23" s="5" t="s">
        <v>23</v>
      </c>
      <c r="B23" s="10" t="s">
        <v>142</v>
      </c>
      <c r="C23" s="5"/>
      <c r="D23" s="114" t="s">
        <v>140</v>
      </c>
      <c r="E23" s="5">
        <v>105</v>
      </c>
      <c r="F23" s="5">
        <v>14</v>
      </c>
      <c r="G23" s="8" t="s">
        <v>118</v>
      </c>
      <c r="H23" s="118">
        <f>POTSO2!H25/365</f>
        <v>0.07287671232876712</v>
      </c>
      <c r="I23" s="118">
        <f>POTSO2!I25/365</f>
        <v>0.07287671232876712</v>
      </c>
      <c r="J23" s="118">
        <f>POTSO2!J25/365</f>
        <v>0.018221917808219176</v>
      </c>
      <c r="K23" s="118">
        <f>POTSO2!K25/365</f>
        <v>0.018221917808219176</v>
      </c>
      <c r="L23" s="118">
        <f>POTSO2!L25/365</f>
        <v>0.018221917808219176</v>
      </c>
      <c r="M23" s="5" t="s">
        <v>9</v>
      </c>
    </row>
    <row r="24" spans="1:13" ht="12.75">
      <c r="A24" s="5" t="s">
        <v>24</v>
      </c>
      <c r="B24" s="10" t="s">
        <v>143</v>
      </c>
      <c r="C24" s="5"/>
      <c r="D24" s="114" t="s">
        <v>140</v>
      </c>
      <c r="E24" s="5">
        <v>105</v>
      </c>
      <c r="F24" s="5">
        <v>14</v>
      </c>
      <c r="G24" s="8" t="s">
        <v>118</v>
      </c>
      <c r="H24" s="118">
        <f>POTSO2!H26/365</f>
        <v>0.07287671232876712</v>
      </c>
      <c r="I24" s="118">
        <f>POTSO2!I26/365</f>
        <v>0.07287671232876712</v>
      </c>
      <c r="J24" s="118">
        <f>POTSO2!J26/365</f>
        <v>0.018221917808219176</v>
      </c>
      <c r="K24" s="118">
        <f>POTSO2!K26/365</f>
        <v>0.018221917808219176</v>
      </c>
      <c r="L24" s="118">
        <f>POTSO2!L26/365</f>
        <v>0.018221917808219176</v>
      </c>
      <c r="M24" s="5" t="s">
        <v>9</v>
      </c>
    </row>
    <row r="25" spans="1:13" ht="12.75">
      <c r="A25" s="5" t="s">
        <v>25</v>
      </c>
      <c r="B25" s="10" t="s">
        <v>144</v>
      </c>
      <c r="C25" s="5"/>
      <c r="D25" s="114" t="s">
        <v>140</v>
      </c>
      <c r="E25" s="5">
        <v>105</v>
      </c>
      <c r="F25" s="5">
        <v>14</v>
      </c>
      <c r="G25" s="8" t="s">
        <v>118</v>
      </c>
      <c r="H25" s="118">
        <f>POTSO2!H27/365</f>
        <v>0.07287671232876712</v>
      </c>
      <c r="I25" s="118">
        <f>POTSO2!I27/365</f>
        <v>0.07287671232876712</v>
      </c>
      <c r="J25" s="118">
        <f>POTSO2!J27/365</f>
        <v>0.018221917808219176</v>
      </c>
      <c r="K25" s="118">
        <f>POTSO2!K27/365</f>
        <v>0.018221917808219176</v>
      </c>
      <c r="L25" s="118">
        <f>POTSO2!L27/365</f>
        <v>0.018221917808219176</v>
      </c>
      <c r="M25" s="5" t="s">
        <v>9</v>
      </c>
    </row>
    <row r="26" spans="1:13" ht="12.75">
      <c r="A26" s="8" t="s">
        <v>77</v>
      </c>
      <c r="B26" s="10" t="s">
        <v>138</v>
      </c>
      <c r="C26" s="8"/>
      <c r="D26" s="114" t="s">
        <v>140</v>
      </c>
      <c r="E26" s="5">
        <v>105</v>
      </c>
      <c r="F26" s="5">
        <v>14</v>
      </c>
      <c r="G26" s="8" t="s">
        <v>118</v>
      </c>
      <c r="H26" s="118">
        <f>POTSO2!H28/365</f>
        <v>0</v>
      </c>
      <c r="I26" s="118">
        <f>POTSO2!I28/365</f>
        <v>0</v>
      </c>
      <c r="J26" s="118">
        <f>POTSO2!J28/365</f>
        <v>0</v>
      </c>
      <c r="K26" s="118">
        <f>POTSO2!K28/365</f>
        <v>0.0006164383561643835</v>
      </c>
      <c r="L26" s="118">
        <f>POTSO2!L28/365</f>
        <v>0.0006164383561643835</v>
      </c>
      <c r="M26" s="5"/>
    </row>
    <row r="27" spans="1:13" ht="12.75">
      <c r="A27" s="8" t="s">
        <v>78</v>
      </c>
      <c r="B27" s="10" t="s">
        <v>145</v>
      </c>
      <c r="C27" s="8"/>
      <c r="D27" s="114" t="s">
        <v>140</v>
      </c>
      <c r="E27" s="5">
        <v>105</v>
      </c>
      <c r="F27" s="5">
        <v>14</v>
      </c>
      <c r="G27" s="8" t="s">
        <v>118</v>
      </c>
      <c r="H27" s="118">
        <f>POTSO2!H29/365</f>
        <v>0</v>
      </c>
      <c r="I27" s="118">
        <f>POTSO2!I29/365</f>
        <v>0</v>
      </c>
      <c r="J27" s="118">
        <f>POTSO2!J29/365</f>
        <v>0</v>
      </c>
      <c r="K27" s="118">
        <f>POTSO2!K29/365</f>
        <v>0.0006164383561643835</v>
      </c>
      <c r="L27" s="118">
        <f>POTSO2!L29/365</f>
        <v>0.0006164383561643835</v>
      </c>
      <c r="M27" s="5"/>
    </row>
    <row r="28" spans="1:13" ht="12.75">
      <c r="A28" s="8" t="s">
        <v>79</v>
      </c>
      <c r="B28" s="10" t="s">
        <v>146</v>
      </c>
      <c r="C28" s="8"/>
      <c r="D28" s="114" t="s">
        <v>140</v>
      </c>
      <c r="E28" s="5">
        <v>105</v>
      </c>
      <c r="F28" s="5">
        <v>14</v>
      </c>
      <c r="G28" s="8" t="s">
        <v>118</v>
      </c>
      <c r="H28" s="118">
        <f>POTSO2!H30/365</f>
        <v>0</v>
      </c>
      <c r="I28" s="118">
        <f>POTSO2!I30/365</f>
        <v>0</v>
      </c>
      <c r="J28" s="118">
        <f>POTSO2!J30/365</f>
        <v>0</v>
      </c>
      <c r="K28" s="118">
        <f>POTSO2!K30/365</f>
        <v>0.0006164383561643835</v>
      </c>
      <c r="L28" s="118">
        <f>POTSO2!L30/365</f>
        <v>0.0006164383561643835</v>
      </c>
      <c r="M28" s="5"/>
    </row>
    <row r="29" spans="1:13" ht="12.75">
      <c r="A29" s="8" t="s">
        <v>96</v>
      </c>
      <c r="B29" s="10" t="s">
        <v>147</v>
      </c>
      <c r="C29" s="8"/>
      <c r="D29" s="114" t="s">
        <v>140</v>
      </c>
      <c r="E29" s="5">
        <v>105</v>
      </c>
      <c r="F29" s="5">
        <v>14</v>
      </c>
      <c r="G29" s="8" t="s">
        <v>118</v>
      </c>
      <c r="H29" s="118">
        <f>POTSO2!H31/365</f>
        <v>0</v>
      </c>
      <c r="I29" s="118">
        <f>POTSO2!I31/365</f>
        <v>0</v>
      </c>
      <c r="J29" s="118">
        <f>POTSO2!J31/365</f>
        <v>0</v>
      </c>
      <c r="K29" s="118">
        <f>POTSO2!K31/365</f>
        <v>0.0006164383561643835</v>
      </c>
      <c r="L29" s="118">
        <f>POTSO2!L31/365</f>
        <v>0.0006164383561643835</v>
      </c>
      <c r="M29" s="5"/>
    </row>
    <row r="30" spans="1:13" ht="12.75">
      <c r="A30" s="5" t="s">
        <v>26</v>
      </c>
      <c r="B30" s="5"/>
      <c r="C30" s="11" t="s">
        <v>150</v>
      </c>
      <c r="D30" s="114" t="s">
        <v>149</v>
      </c>
      <c r="E30" s="5">
        <v>183</v>
      </c>
      <c r="F30" s="5">
        <v>24</v>
      </c>
      <c r="G30" s="8" t="s">
        <v>131</v>
      </c>
      <c r="H30" s="118">
        <f>POTSO2!H32/365</f>
        <v>3.0356164383561643</v>
      </c>
      <c r="I30" s="118">
        <f>POTSO2!I32/365</f>
        <v>1.5178082191780822</v>
      </c>
      <c r="J30" s="118">
        <f>POTSO2!J32/365</f>
        <v>1.5178082191780822</v>
      </c>
      <c r="K30" s="118">
        <f>POTSO2!K32/365</f>
        <v>1.5178082191780822</v>
      </c>
      <c r="L30" s="118">
        <f>POTSO2!L32/365</f>
        <v>1.5178082191780822</v>
      </c>
      <c r="M30" s="5" t="s">
        <v>4</v>
      </c>
    </row>
    <row r="31" spans="1:13" ht="12.75">
      <c r="A31" s="8" t="s">
        <v>81</v>
      </c>
      <c r="B31" s="84" t="s">
        <v>151</v>
      </c>
      <c r="C31" s="8"/>
      <c r="D31" s="114" t="s">
        <v>103</v>
      </c>
      <c r="E31" s="8">
        <v>104</v>
      </c>
      <c r="F31" s="8">
        <v>246</v>
      </c>
      <c r="G31" s="8" t="s">
        <v>119</v>
      </c>
      <c r="H31" s="118">
        <f>POTSO2!H33/365</f>
        <v>0</v>
      </c>
      <c r="I31" s="118">
        <f>POTSO2!I33/365</f>
        <v>0</v>
      </c>
      <c r="J31" s="118">
        <f>POTSO2!J33/365</f>
        <v>0</v>
      </c>
      <c r="K31" s="118">
        <f>POTSO2!K33/365</f>
        <v>0.057260273972602735</v>
      </c>
      <c r="L31" s="118">
        <f>POTSO2!L33/365</f>
        <v>0.057260273972602735</v>
      </c>
      <c r="M31" s="5"/>
    </row>
    <row r="32" spans="1:13" ht="12.75">
      <c r="A32" s="8" t="s">
        <v>82</v>
      </c>
      <c r="B32" s="10" t="s">
        <v>152</v>
      </c>
      <c r="C32" s="8"/>
      <c r="D32" s="114" t="s">
        <v>103</v>
      </c>
      <c r="E32" s="8">
        <v>104</v>
      </c>
      <c r="F32" s="8">
        <v>246</v>
      </c>
      <c r="G32" s="8" t="s">
        <v>119</v>
      </c>
      <c r="H32" s="118">
        <f>POTSO2!H34/365</f>
        <v>0</v>
      </c>
      <c r="I32" s="118">
        <f>POTSO2!I34/365</f>
        <v>0</v>
      </c>
      <c r="J32" s="118">
        <f>POTSO2!J34/365</f>
        <v>0</v>
      </c>
      <c r="K32" s="118">
        <f>POTSO2!K34/365</f>
        <v>0.057260273972602735</v>
      </c>
      <c r="L32" s="118">
        <f>POTSO2!L34/365</f>
        <v>0.057260273972602735</v>
      </c>
      <c r="M32" s="5"/>
    </row>
    <row r="33" spans="1:13" ht="12.75">
      <c r="A33" s="5" t="s">
        <v>27</v>
      </c>
      <c r="B33" s="84" t="s">
        <v>153</v>
      </c>
      <c r="C33" s="5"/>
      <c r="D33" s="114" t="s">
        <v>156</v>
      </c>
      <c r="E33" s="5">
        <v>89</v>
      </c>
      <c r="F33" s="5">
        <v>80</v>
      </c>
      <c r="G33" s="8" t="s">
        <v>119</v>
      </c>
      <c r="H33" s="118">
        <f>POTSO2!H35/365</f>
        <v>0.16712328767123288</v>
      </c>
      <c r="I33" s="118">
        <f>POTSO2!I35/365</f>
        <v>0.16712328767123288</v>
      </c>
      <c r="J33" s="118">
        <f>POTSO2!J35/365</f>
        <v>0.16712328767123288</v>
      </c>
      <c r="K33" s="118">
        <f>POTSO2!K35/365</f>
        <v>0.16712328767123288</v>
      </c>
      <c r="L33" s="118">
        <f>POTSO2!L35/365</f>
        <v>0.16712328767123288</v>
      </c>
      <c r="M33" s="5" t="s">
        <v>9</v>
      </c>
    </row>
    <row r="34" spans="1:13" ht="12.75">
      <c r="A34" s="5" t="s">
        <v>28</v>
      </c>
      <c r="B34" s="10" t="s">
        <v>154</v>
      </c>
      <c r="C34" s="5"/>
      <c r="D34" s="114" t="s">
        <v>156</v>
      </c>
      <c r="E34" s="5">
        <v>89</v>
      </c>
      <c r="F34" s="5">
        <v>80</v>
      </c>
      <c r="G34" s="8" t="s">
        <v>119</v>
      </c>
      <c r="H34" s="118">
        <f>POTSO2!H36/365</f>
        <v>0.16712328767123288</v>
      </c>
      <c r="I34" s="118">
        <f>POTSO2!I36/365</f>
        <v>0.16712328767123288</v>
      </c>
      <c r="J34" s="118">
        <f>POTSO2!J36/365</f>
        <v>0.16712328767123288</v>
      </c>
      <c r="K34" s="118">
        <f>POTSO2!K36/365</f>
        <v>0.16712328767123288</v>
      </c>
      <c r="L34" s="118">
        <f>POTSO2!L36/365</f>
        <v>0.16712328767123288</v>
      </c>
      <c r="M34" s="5" t="s">
        <v>9</v>
      </c>
    </row>
    <row r="35" spans="1:13" ht="12.75">
      <c r="A35" s="5" t="s">
        <v>29</v>
      </c>
      <c r="B35" s="84" t="s">
        <v>155</v>
      </c>
      <c r="C35" s="5"/>
      <c r="D35" s="114" t="s">
        <v>156</v>
      </c>
      <c r="E35" s="5">
        <v>89</v>
      </c>
      <c r="F35" s="5">
        <v>80</v>
      </c>
      <c r="G35" s="8" t="s">
        <v>119</v>
      </c>
      <c r="H35" s="118">
        <f>POTSO2!H37/365</f>
        <v>0</v>
      </c>
      <c r="I35" s="118">
        <f>POTSO2!I37/365</f>
        <v>0.16712328767123288</v>
      </c>
      <c r="J35" s="118">
        <f>POTSO2!J37/365</f>
        <v>0.16712328767123288</v>
      </c>
      <c r="K35" s="118">
        <f>POTSO2!K37/365</f>
        <v>0.16712328767123288</v>
      </c>
      <c r="L35" s="118">
        <f>POTSO2!L37/365</f>
        <v>0.16712328767123288</v>
      </c>
      <c r="M35" s="5" t="s">
        <v>9</v>
      </c>
    </row>
    <row r="36" spans="1:13" ht="12.75">
      <c r="A36" s="5" t="s">
        <v>30</v>
      </c>
      <c r="B36" s="10"/>
      <c r="C36" s="11" t="s">
        <v>161</v>
      </c>
      <c r="D36" s="114" t="s">
        <v>103</v>
      </c>
      <c r="E36" s="5">
        <v>104</v>
      </c>
      <c r="F36" s="5">
        <v>24</v>
      </c>
      <c r="G36" s="8" t="s">
        <v>119</v>
      </c>
      <c r="H36" s="118">
        <f>POTSO2!H38/365</f>
        <v>7.920547945205479</v>
      </c>
      <c r="I36" s="118">
        <f>POTSO2!I38/365</f>
        <v>7.920547945205479</v>
      </c>
      <c r="J36" s="118">
        <f>POTSO2!J38/365</f>
        <v>4.750684931506849</v>
      </c>
      <c r="K36" s="118">
        <f>POTSO2!K38/365</f>
        <v>4.750684931506849</v>
      </c>
      <c r="L36" s="118">
        <f>POTSO2!L38/365</f>
        <v>4.750684931506849</v>
      </c>
      <c r="M36" s="5" t="s">
        <v>9</v>
      </c>
    </row>
    <row r="37" spans="1:13" ht="12.75">
      <c r="A37" s="20" t="s">
        <v>31</v>
      </c>
      <c r="B37" s="20"/>
      <c r="C37" s="128" t="s">
        <v>162</v>
      </c>
      <c r="D37" s="129" t="s">
        <v>103</v>
      </c>
      <c r="E37" s="20">
        <v>104</v>
      </c>
      <c r="F37" s="20">
        <v>24</v>
      </c>
      <c r="G37" s="20"/>
      <c r="H37" s="125">
        <f>POTSO2!H39/365</f>
        <v>15.64109589041096</v>
      </c>
      <c r="I37" s="125">
        <f>POTSO2!I39/365</f>
        <v>15.64109589041096</v>
      </c>
      <c r="J37" s="125">
        <f>POTSO2!J39/365</f>
        <v>9.386301369863014</v>
      </c>
      <c r="K37" s="125">
        <f>POTSO2!K39/365</f>
        <v>9.386301369863014</v>
      </c>
      <c r="L37" s="125">
        <f>POTSO2!L39/365</f>
        <v>9.386301369863014</v>
      </c>
      <c r="M37" s="20" t="s">
        <v>9</v>
      </c>
    </row>
    <row r="38" spans="1:13" ht="12.75">
      <c r="A38" s="20" t="s">
        <v>32</v>
      </c>
      <c r="B38" s="127" t="s">
        <v>200</v>
      </c>
      <c r="C38" s="20"/>
      <c r="D38" s="129" t="s">
        <v>103</v>
      </c>
      <c r="E38" s="20">
        <v>104</v>
      </c>
      <c r="F38" s="20">
        <v>24</v>
      </c>
      <c r="G38" s="20"/>
      <c r="H38" s="125">
        <f>POTSO2!H40/365</f>
        <v>30.915068493150685</v>
      </c>
      <c r="I38" s="125">
        <f>POTSO2!I40/365</f>
        <v>30.915068493150685</v>
      </c>
      <c r="J38" s="125">
        <f>POTSO2!J40/365</f>
        <v>18.54794520547945</v>
      </c>
      <c r="K38" s="125">
        <f>POTSO2!K40/365</f>
        <v>18.54794520547945</v>
      </c>
      <c r="L38" s="125">
        <f>POTSO2!L40/365</f>
        <v>18.54794520547945</v>
      </c>
      <c r="M38" s="20" t="s">
        <v>9</v>
      </c>
    </row>
    <row r="39" spans="1:13" ht="12.75">
      <c r="A39" s="5" t="s">
        <v>33</v>
      </c>
      <c r="B39" s="5"/>
      <c r="C39" s="8" t="s">
        <v>201</v>
      </c>
      <c r="D39" s="114" t="s">
        <v>103</v>
      </c>
      <c r="E39" s="5">
        <v>104</v>
      </c>
      <c r="F39" s="5">
        <v>24</v>
      </c>
      <c r="G39" s="8" t="s">
        <v>131</v>
      </c>
      <c r="H39" s="118">
        <f>POTSO2!H41/365</f>
        <v>0.057534246575342465</v>
      </c>
      <c r="I39" s="118">
        <f>POTSO2!I41/365</f>
        <v>0.030136986301369864</v>
      </c>
      <c r="J39" s="118">
        <f>POTSO2!J41/365</f>
        <v>0.030136986301369864</v>
      </c>
      <c r="K39" s="118">
        <f>POTSO2!K41/365</f>
        <v>0.0006164383561643835</v>
      </c>
      <c r="L39" s="118">
        <f>POTSO2!L41/365</f>
        <v>0.0006164383561643835</v>
      </c>
      <c r="M39" s="5" t="s">
        <v>4</v>
      </c>
    </row>
    <row r="40" spans="1:13" ht="12.75">
      <c r="A40" s="8" t="s">
        <v>83</v>
      </c>
      <c r="B40" s="10" t="s">
        <v>157</v>
      </c>
      <c r="C40" s="8"/>
      <c r="D40" s="114" t="s">
        <v>103</v>
      </c>
      <c r="E40" s="5">
        <v>104</v>
      </c>
      <c r="F40" s="5">
        <v>24</v>
      </c>
      <c r="G40" s="8" t="s">
        <v>118</v>
      </c>
      <c r="H40" s="118">
        <f>POTSO2!H42/365</f>
        <v>0</v>
      </c>
      <c r="I40" s="118">
        <f>POTSO2!I42/365</f>
        <v>0</v>
      </c>
      <c r="J40" s="118">
        <f>POTSO2!J42/365</f>
        <v>0</v>
      </c>
      <c r="K40" s="118">
        <f>POTSO2!K42/365</f>
        <v>0.002465753424657534</v>
      </c>
      <c r="L40" s="118">
        <f>POTSO2!L42/365</f>
        <v>0.002465753424657534</v>
      </c>
      <c r="M40" s="5"/>
    </row>
    <row r="41" spans="1:13" ht="12.75">
      <c r="A41" s="8" t="s">
        <v>84</v>
      </c>
      <c r="B41" s="10" t="s">
        <v>158</v>
      </c>
      <c r="C41" s="8"/>
      <c r="D41" s="114" t="s">
        <v>103</v>
      </c>
      <c r="E41" s="5">
        <v>104</v>
      </c>
      <c r="F41" s="5">
        <v>24</v>
      </c>
      <c r="G41" s="8" t="s">
        <v>118</v>
      </c>
      <c r="H41" s="118">
        <f>POTSO2!H43/365</f>
        <v>0</v>
      </c>
      <c r="I41" s="118">
        <f>POTSO2!I43/365</f>
        <v>0</v>
      </c>
      <c r="J41" s="118">
        <f>POTSO2!J43/365</f>
        <v>0</v>
      </c>
      <c r="K41" s="118">
        <f>POTSO2!K43/365</f>
        <v>0.002465753424657534</v>
      </c>
      <c r="L41" s="118">
        <f>POTSO2!L43/365</f>
        <v>0.002465753424657534</v>
      </c>
      <c r="M41" s="5"/>
    </row>
    <row r="42" spans="1:13" ht="12.75">
      <c r="A42" s="8" t="s">
        <v>85</v>
      </c>
      <c r="B42" s="10" t="s">
        <v>159</v>
      </c>
      <c r="C42" s="8"/>
      <c r="D42" s="114" t="s">
        <v>103</v>
      </c>
      <c r="E42" s="5">
        <v>104</v>
      </c>
      <c r="F42" s="5">
        <v>24</v>
      </c>
      <c r="G42" s="8" t="s">
        <v>118</v>
      </c>
      <c r="H42" s="118">
        <f>POTSO2!H44/365</f>
        <v>0</v>
      </c>
      <c r="I42" s="118">
        <f>POTSO2!I44/365</f>
        <v>0</v>
      </c>
      <c r="J42" s="118">
        <f>POTSO2!J44/365</f>
        <v>0</v>
      </c>
      <c r="K42" s="118">
        <f>POTSO2!K44/365</f>
        <v>0.002465753424657534</v>
      </c>
      <c r="L42" s="118">
        <f>POTSO2!L44/365</f>
        <v>0.002465753424657534</v>
      </c>
      <c r="M42" s="5"/>
    </row>
    <row r="43" spans="1:13" ht="12.75">
      <c r="A43" s="8" t="s">
        <v>90</v>
      </c>
      <c r="B43" s="10" t="s">
        <v>160</v>
      </c>
      <c r="C43" s="8"/>
      <c r="D43" s="114" t="s">
        <v>103</v>
      </c>
      <c r="E43" s="5">
        <v>104</v>
      </c>
      <c r="F43" s="5">
        <v>24</v>
      </c>
      <c r="G43" s="8" t="s">
        <v>118</v>
      </c>
      <c r="H43" s="118">
        <f>POTSO2!H45/365</f>
        <v>0</v>
      </c>
      <c r="I43" s="118">
        <f>POTSO2!I45/365</f>
        <v>0</v>
      </c>
      <c r="J43" s="118">
        <f>POTSO2!J45/365</f>
        <v>0</v>
      </c>
      <c r="K43" s="118">
        <f>POTSO2!K45/365</f>
        <v>0.002465753424657534</v>
      </c>
      <c r="L43" s="118">
        <f>POTSO2!L45/365</f>
        <v>0.002465753424657534</v>
      </c>
      <c r="M43" s="5"/>
    </row>
    <row r="44" spans="1:13" ht="12.75">
      <c r="A44" s="5" t="s">
        <v>34</v>
      </c>
      <c r="B44" s="10" t="s">
        <v>154</v>
      </c>
      <c r="C44" s="5"/>
      <c r="D44" s="114" t="s">
        <v>140</v>
      </c>
      <c r="E44" s="5">
        <v>105</v>
      </c>
      <c r="F44" s="5">
        <v>251</v>
      </c>
      <c r="G44" s="8" t="s">
        <v>119</v>
      </c>
      <c r="H44" s="118">
        <f>POTSO2!H46/365</f>
        <v>0</v>
      </c>
      <c r="I44" s="118">
        <f>POTSO2!I46/365</f>
        <v>0.1506849315068493</v>
      </c>
      <c r="J44" s="118">
        <f>POTSO2!J46/365</f>
        <v>0.1506849315068493</v>
      </c>
      <c r="K44" s="118">
        <f>POTSO2!K46/365</f>
        <v>0.1506849315068493</v>
      </c>
      <c r="L44" s="118">
        <f>POTSO2!L46/365</f>
        <v>0.1506849315068493</v>
      </c>
      <c r="M44" s="5" t="s">
        <v>9</v>
      </c>
    </row>
    <row r="45" spans="1:13" ht="12.75">
      <c r="A45" s="5" t="s">
        <v>35</v>
      </c>
      <c r="B45" s="10" t="s">
        <v>155</v>
      </c>
      <c r="C45" s="5"/>
      <c r="D45" s="114" t="s">
        <v>140</v>
      </c>
      <c r="E45" s="5">
        <v>105</v>
      </c>
      <c r="F45" s="5">
        <v>251</v>
      </c>
      <c r="G45" s="8" t="s">
        <v>119</v>
      </c>
      <c r="H45" s="118">
        <f>POTSO2!H47/365</f>
        <v>0</v>
      </c>
      <c r="I45" s="118">
        <f>POTSO2!I47/365</f>
        <v>0.1506849315068493</v>
      </c>
      <c r="J45" s="118">
        <f>POTSO2!J47/365</f>
        <v>0.1506849315068493</v>
      </c>
      <c r="K45" s="118">
        <f>POTSO2!K47/365</f>
        <v>0.1506849315068493</v>
      </c>
      <c r="L45" s="118">
        <f>POTSO2!L47/365</f>
        <v>0.1506849315068493</v>
      </c>
      <c r="M45" s="5" t="s">
        <v>9</v>
      </c>
    </row>
    <row r="46" spans="1:13" ht="12.75">
      <c r="A46" s="5" t="s">
        <v>36</v>
      </c>
      <c r="B46" s="5"/>
      <c r="C46" s="7" t="s">
        <v>195</v>
      </c>
      <c r="D46" s="114" t="s">
        <v>104</v>
      </c>
      <c r="E46" s="5">
        <v>107</v>
      </c>
      <c r="F46" s="5">
        <v>5</v>
      </c>
      <c r="G46" s="8" t="s">
        <v>125</v>
      </c>
      <c r="H46" s="118">
        <f>POTSO2!H48/365</f>
        <v>13.134246575342466</v>
      </c>
      <c r="I46" s="118">
        <f>POTSO2!I48/365</f>
        <v>6.567123287671233</v>
      </c>
      <c r="J46" s="118">
        <f>POTSO2!J48/365</f>
        <v>3.7424657534246575</v>
      </c>
      <c r="K46" s="118">
        <f>POTSO2!K48/365</f>
        <v>3.7424657534246575</v>
      </c>
      <c r="L46" s="118">
        <f>POTSO2!L48/365</f>
        <v>3.7424657534246575</v>
      </c>
      <c r="M46" s="5" t="s">
        <v>9</v>
      </c>
    </row>
    <row r="47" spans="1:13" ht="12.75">
      <c r="A47" s="20" t="s">
        <v>37</v>
      </c>
      <c r="B47" s="20"/>
      <c r="C47" s="130" t="s">
        <v>196</v>
      </c>
      <c r="D47" s="129" t="s">
        <v>104</v>
      </c>
      <c r="E47" s="20">
        <v>107</v>
      </c>
      <c r="F47" s="20">
        <v>5</v>
      </c>
      <c r="G47" s="127" t="s">
        <v>125</v>
      </c>
      <c r="H47" s="125">
        <f>POTSO2!H49/365</f>
        <v>61.484931506849314</v>
      </c>
      <c r="I47" s="125">
        <f>POTSO2!I49/365</f>
        <v>30.742465753424657</v>
      </c>
      <c r="J47" s="125">
        <f>POTSO2!J49/365</f>
        <v>18.446575342465753</v>
      </c>
      <c r="K47" s="125">
        <f>POTSO2!K49/365</f>
        <v>18.446575342465753</v>
      </c>
      <c r="L47" s="125">
        <f>POTSO2!L49/365</f>
        <v>18.446575342465753</v>
      </c>
      <c r="M47" s="20" t="s">
        <v>9</v>
      </c>
    </row>
    <row r="48" spans="1:13" ht="12.75">
      <c r="A48" s="20" t="s">
        <v>38</v>
      </c>
      <c r="B48" s="131" t="s">
        <v>163</v>
      </c>
      <c r="C48" s="20"/>
      <c r="D48" s="129" t="s">
        <v>100</v>
      </c>
      <c r="E48" s="20">
        <v>117</v>
      </c>
      <c r="F48" s="20">
        <v>551</v>
      </c>
      <c r="G48" s="127" t="s">
        <v>125</v>
      </c>
      <c r="H48" s="125">
        <f>POTSO2!H50/365</f>
        <v>56.18630136986302</v>
      </c>
      <c r="I48" s="125">
        <f>POTSO2!I50/365</f>
        <v>28.16986301369863</v>
      </c>
      <c r="J48" s="125">
        <f>POTSO2!J50/365</f>
        <v>16.9013698630137</v>
      </c>
      <c r="K48" s="125">
        <f>POTSO2!K50/365</f>
        <v>16.9013698630137</v>
      </c>
      <c r="L48" s="125">
        <f>POTSO2!L50/365</f>
        <v>16.9013698630137</v>
      </c>
      <c r="M48" s="20" t="s">
        <v>9</v>
      </c>
    </row>
    <row r="49" spans="1:13" ht="12.75">
      <c r="A49" s="5" t="s">
        <v>39</v>
      </c>
      <c r="B49" s="5"/>
      <c r="C49" s="11" t="s">
        <v>165</v>
      </c>
      <c r="D49" s="114" t="s">
        <v>164</v>
      </c>
      <c r="E49" s="5">
        <v>137</v>
      </c>
      <c r="F49" s="5">
        <v>14</v>
      </c>
      <c r="G49" s="8" t="s">
        <v>125</v>
      </c>
      <c r="H49" s="118">
        <f>POTSO2!H51/365</f>
        <v>23.443835616438356</v>
      </c>
      <c r="I49" s="118">
        <f>POTSO2!I51/365</f>
        <v>11.72054794520548</v>
      </c>
      <c r="J49" s="118">
        <f>POTSO2!J51/365</f>
        <v>7.032876712328767</v>
      </c>
      <c r="K49" s="118">
        <f>POTSO2!K51/365</f>
        <v>7.032876712328767</v>
      </c>
      <c r="L49" s="118">
        <f>POTSO2!L51/365</f>
        <v>7.032876712328767</v>
      </c>
      <c r="M49" s="5" t="s">
        <v>9</v>
      </c>
    </row>
    <row r="50" spans="1:13" ht="12.75">
      <c r="A50" s="20" t="s">
        <v>40</v>
      </c>
      <c r="B50" s="20"/>
      <c r="C50" s="132" t="s">
        <v>166</v>
      </c>
      <c r="D50" s="129" t="s">
        <v>164</v>
      </c>
      <c r="E50" s="20">
        <v>137</v>
      </c>
      <c r="F50" s="20">
        <v>14</v>
      </c>
      <c r="G50" s="127" t="s">
        <v>125</v>
      </c>
      <c r="H50" s="125">
        <f>POTSO2!H52/365</f>
        <v>23.443835616438356</v>
      </c>
      <c r="I50" s="125">
        <f>POTSO2!I52/365</f>
        <v>11.72054794520548</v>
      </c>
      <c r="J50" s="125">
        <f>POTSO2!J52/365</f>
        <v>7.032876712328767</v>
      </c>
      <c r="K50" s="125">
        <f>POTSO2!K52/365</f>
        <v>7.032876712328767</v>
      </c>
      <c r="L50" s="125" t="e">
        <f>POTSO2!L52/365</f>
        <v>#VALUE!</v>
      </c>
      <c r="M50" s="20" t="s">
        <v>9</v>
      </c>
    </row>
    <row r="51" spans="1:13" ht="12.75">
      <c r="A51" s="5" t="s">
        <v>41</v>
      </c>
      <c r="B51" s="5"/>
      <c r="C51" s="11" t="s">
        <v>167</v>
      </c>
      <c r="D51" s="114" t="s">
        <v>164</v>
      </c>
      <c r="E51" s="5">
        <v>137</v>
      </c>
      <c r="F51" s="5">
        <v>14</v>
      </c>
      <c r="G51" s="8" t="s">
        <v>131</v>
      </c>
      <c r="H51" s="118">
        <f>POTSO2!H53/365</f>
        <v>2.7726027397260276</v>
      </c>
      <c r="I51" s="118">
        <f>POTSO2!I53/365</f>
        <v>1.3863013698630138</v>
      </c>
      <c r="J51" s="118">
        <f>POTSO2!J53/365</f>
        <v>1.3863013698630138</v>
      </c>
      <c r="K51" s="118">
        <f>POTSO2!K53/365</f>
        <v>1.3863013698630138</v>
      </c>
      <c r="L51" s="118">
        <f>POTSO2!L53/365</f>
        <v>1.3863013698630138</v>
      </c>
      <c r="M51" s="5" t="s">
        <v>4</v>
      </c>
    </row>
    <row r="52" spans="1:13" ht="12.75">
      <c r="A52" s="5" t="s">
        <v>42</v>
      </c>
      <c r="B52" s="5"/>
      <c r="C52" s="11" t="s">
        <v>168</v>
      </c>
      <c r="D52" s="114" t="s">
        <v>105</v>
      </c>
      <c r="E52" s="5">
        <v>139</v>
      </c>
      <c r="F52" s="5">
        <v>105</v>
      </c>
      <c r="G52" s="8" t="s">
        <v>131</v>
      </c>
      <c r="H52" s="118">
        <f>POTSO2!H54/365</f>
        <v>3.286849315068493</v>
      </c>
      <c r="I52" s="118">
        <f>POTSO2!I54/365</f>
        <v>1.643835616438356</v>
      </c>
      <c r="J52" s="118">
        <f>POTSO2!J54/365</f>
        <v>1.643835616438356</v>
      </c>
      <c r="K52" s="118">
        <f>POTSO2!K54/365</f>
        <v>1.643835616438356</v>
      </c>
      <c r="L52" s="118">
        <f>POTSO2!L54/365</f>
        <v>1.643835616438356</v>
      </c>
      <c r="M52" s="5" t="s">
        <v>4</v>
      </c>
    </row>
    <row r="53" spans="1:13" ht="12.75">
      <c r="A53" s="5" t="s">
        <v>43</v>
      </c>
      <c r="B53" s="5"/>
      <c r="C53" s="8" t="s">
        <v>197</v>
      </c>
      <c r="D53" s="114" t="s">
        <v>169</v>
      </c>
      <c r="E53" s="5">
        <v>70</v>
      </c>
      <c r="F53" s="5">
        <v>4</v>
      </c>
      <c r="G53" s="8" t="s">
        <v>125</v>
      </c>
      <c r="H53" s="118">
        <f>POTSO2!H55/365</f>
        <v>5.266849315068494</v>
      </c>
      <c r="I53" s="118">
        <f>POTSO2!I55/365</f>
        <v>2.632876712328767</v>
      </c>
      <c r="J53" s="118">
        <f>POTSO2!J55/365</f>
        <v>2.632876712328767</v>
      </c>
      <c r="K53" s="118">
        <f>POTSO2!K55/365</f>
        <v>2.632876712328767</v>
      </c>
      <c r="L53" s="118">
        <f>POTSO2!L55/365</f>
        <v>2.632876712328767</v>
      </c>
      <c r="M53" s="5" t="s">
        <v>4</v>
      </c>
    </row>
    <row r="54" spans="1:13" ht="12.75">
      <c r="A54" s="5" t="s">
        <v>44</v>
      </c>
      <c r="B54" s="5"/>
      <c r="C54" s="5"/>
      <c r="D54" s="114" t="s">
        <v>169</v>
      </c>
      <c r="E54" s="5">
        <v>70</v>
      </c>
      <c r="F54" s="5"/>
      <c r="G54" s="8" t="s">
        <v>125</v>
      </c>
      <c r="H54" s="118">
        <f>POTSO2!H56/365</f>
        <v>0.7736986301369863</v>
      </c>
      <c r="I54" s="118">
        <f>POTSO2!I56/365</f>
        <v>0.3868493150684931</v>
      </c>
      <c r="J54" s="118">
        <f>POTSO2!J56/365</f>
        <v>0.3868493150684931</v>
      </c>
      <c r="K54" s="118">
        <f>POTSO2!K56/365</f>
        <v>0</v>
      </c>
      <c r="L54" s="118"/>
      <c r="M54" s="5" t="s">
        <v>4</v>
      </c>
    </row>
    <row r="55" spans="1:13" ht="27.75" customHeight="1">
      <c r="A55" s="5" t="s">
        <v>45</v>
      </c>
      <c r="B55" s="10" t="s">
        <v>171</v>
      </c>
      <c r="C55" s="5"/>
      <c r="D55" s="114" t="s">
        <v>170</v>
      </c>
      <c r="E55" s="5">
        <v>53</v>
      </c>
      <c r="F55" s="5"/>
      <c r="G55" s="8" t="s">
        <v>112</v>
      </c>
      <c r="H55" s="118">
        <f>POTSO2!H57/365</f>
        <v>0.21506849315068494</v>
      </c>
      <c r="I55" s="118">
        <f>POTSO2!I57/365</f>
        <v>0.10191780821917809</v>
      </c>
      <c r="J55" s="118">
        <f>POTSO2!J57/365</f>
        <v>0.11616438356164384</v>
      </c>
      <c r="K55" s="118">
        <f>POTSO2!K57/365</f>
        <v>0.00263013698630137</v>
      </c>
      <c r="L55" s="118">
        <f>POTSO2!L57/365</f>
        <v>0.00263013698630137</v>
      </c>
      <c r="M55" s="5" t="s">
        <v>4</v>
      </c>
    </row>
    <row r="56" spans="1:13" ht="12.75">
      <c r="A56" s="5" t="s">
        <v>46</v>
      </c>
      <c r="B56" s="5"/>
      <c r="C56" s="11" t="s">
        <v>172</v>
      </c>
      <c r="D56" s="114" t="s">
        <v>101</v>
      </c>
      <c r="E56" s="5">
        <v>75</v>
      </c>
      <c r="F56" s="5">
        <v>158</v>
      </c>
      <c r="G56" s="8" t="s">
        <v>131</v>
      </c>
      <c r="H56" s="118">
        <f>POTSO2!H58/365</f>
        <v>3.366027397260274</v>
      </c>
      <c r="I56" s="118">
        <f>POTSO2!I58/365</f>
        <v>1.6821917808219178</v>
      </c>
      <c r="J56" s="118">
        <f>POTSO2!J58/365</f>
        <v>1.6821917808219178</v>
      </c>
      <c r="K56" s="118">
        <f>POTSO2!K58/365</f>
        <v>1.6821917808219178</v>
      </c>
      <c r="L56" s="118">
        <f>POTSO2!L58/365</f>
        <v>1.6821917808219178</v>
      </c>
      <c r="M56" s="5" t="s">
        <v>4</v>
      </c>
    </row>
    <row r="57" spans="1:13" ht="12.75">
      <c r="A57" s="5" t="s">
        <v>47</v>
      </c>
      <c r="B57" s="5"/>
      <c r="C57" s="11" t="s">
        <v>173</v>
      </c>
      <c r="D57" s="114" t="s">
        <v>101</v>
      </c>
      <c r="E57" s="5">
        <v>75</v>
      </c>
      <c r="F57" s="5">
        <v>158</v>
      </c>
      <c r="G57" s="8" t="s">
        <v>131</v>
      </c>
      <c r="H57" s="118">
        <f>POTSO2!H59/365</f>
        <v>3.366027397260274</v>
      </c>
      <c r="I57" s="118">
        <f>POTSO2!I59/365</f>
        <v>1.6821917808219178</v>
      </c>
      <c r="J57" s="118">
        <f>POTSO2!J59/365</f>
        <v>1.6821917808219178</v>
      </c>
      <c r="K57" s="118">
        <f>POTSO2!K59/365</f>
        <v>1.6821917808219178</v>
      </c>
      <c r="L57" s="118">
        <f>POTSO2!L59/365</f>
        <v>1.6821917808219178</v>
      </c>
      <c r="M57" s="5" t="s">
        <v>4</v>
      </c>
    </row>
    <row r="58" spans="1:13" ht="12.75">
      <c r="A58" s="5" t="s">
        <v>48</v>
      </c>
      <c r="B58" s="5"/>
      <c r="C58" s="11" t="s">
        <v>174</v>
      </c>
      <c r="D58" s="114" t="s">
        <v>101</v>
      </c>
      <c r="E58" s="5">
        <v>75</v>
      </c>
      <c r="F58" s="5">
        <v>158</v>
      </c>
      <c r="G58" s="8" t="s">
        <v>131</v>
      </c>
      <c r="H58" s="118">
        <f>POTSO2!H60/365</f>
        <v>3.366027397260274</v>
      </c>
      <c r="I58" s="118">
        <f>POTSO2!I60/365</f>
        <v>1.6821917808219178</v>
      </c>
      <c r="J58" s="118">
        <f>POTSO2!J60/365</f>
        <v>1.6821917808219178</v>
      </c>
      <c r="K58" s="118">
        <f>POTSO2!K60/365</f>
        <v>1.6821917808219178</v>
      </c>
      <c r="L58" s="118">
        <f>POTSO2!L60/365</f>
        <v>1.6821917808219178</v>
      </c>
      <c r="M58" s="5" t="s">
        <v>4</v>
      </c>
    </row>
    <row r="59" spans="1:13" ht="12.75">
      <c r="A59" s="5" t="s">
        <v>49</v>
      </c>
      <c r="B59" s="5"/>
      <c r="C59" s="11" t="s">
        <v>175</v>
      </c>
      <c r="D59" s="114" t="s">
        <v>101</v>
      </c>
      <c r="E59" s="5">
        <v>75</v>
      </c>
      <c r="F59" s="5">
        <v>158</v>
      </c>
      <c r="G59" s="8" t="s">
        <v>131</v>
      </c>
      <c r="H59" s="118">
        <f>POTSO2!H61/365</f>
        <v>3.366027397260274</v>
      </c>
      <c r="I59" s="118">
        <f>POTSO2!I61/365</f>
        <v>1.6821917808219178</v>
      </c>
      <c r="J59" s="118">
        <f>POTSO2!J61/365</f>
        <v>1.6821917808219178</v>
      </c>
      <c r="K59" s="118">
        <f>POTSO2!K61/365</f>
        <v>1.6821917808219178</v>
      </c>
      <c r="L59" s="118">
        <f>POTSO2!L61/365</f>
        <v>1.6821917808219178</v>
      </c>
      <c r="M59" s="5" t="s">
        <v>4</v>
      </c>
    </row>
    <row r="60" spans="1:13" ht="12.75">
      <c r="A60" s="5" t="s">
        <v>50</v>
      </c>
      <c r="B60" s="5"/>
      <c r="C60" s="11" t="s">
        <v>176</v>
      </c>
      <c r="D60" s="114" t="s">
        <v>101</v>
      </c>
      <c r="E60" s="5">
        <v>75</v>
      </c>
      <c r="F60" s="5">
        <v>158</v>
      </c>
      <c r="G60" s="8" t="s">
        <v>131</v>
      </c>
      <c r="H60" s="118">
        <f>POTSO2!H62/365</f>
        <v>3.366027397260274</v>
      </c>
      <c r="I60" s="118">
        <f>POTSO2!I62/365</f>
        <v>1.6821917808219178</v>
      </c>
      <c r="J60" s="118">
        <f>POTSO2!J62/365</f>
        <v>1.6821917808219178</v>
      </c>
      <c r="K60" s="118">
        <f>POTSO2!K62/365</f>
        <v>1.6821917808219178</v>
      </c>
      <c r="L60" s="118">
        <f>POTSO2!L62/365</f>
        <v>1.6821917808219178</v>
      </c>
      <c r="M60" s="5" t="s">
        <v>4</v>
      </c>
    </row>
    <row r="61" spans="1:13" ht="12.75">
      <c r="A61" s="5" t="s">
        <v>51</v>
      </c>
      <c r="B61" s="5"/>
      <c r="C61" s="11" t="s">
        <v>177</v>
      </c>
      <c r="D61" s="114" t="s">
        <v>101</v>
      </c>
      <c r="E61" s="5">
        <v>75</v>
      </c>
      <c r="F61" s="5">
        <v>158</v>
      </c>
      <c r="G61" s="8" t="s">
        <v>131</v>
      </c>
      <c r="H61" s="118">
        <f>POTSO2!H63/365</f>
        <v>3.366027397260274</v>
      </c>
      <c r="I61" s="118">
        <f>POTSO2!I63/365</f>
        <v>1.6821917808219178</v>
      </c>
      <c r="J61" s="118">
        <f>POTSO2!J63/365</f>
        <v>1.6821917808219178</v>
      </c>
      <c r="K61" s="118">
        <f>POTSO2!K63/365</f>
        <v>1.6821917808219178</v>
      </c>
      <c r="L61" s="118">
        <f>POTSO2!L63/365</f>
        <v>1.6821917808219178</v>
      </c>
      <c r="M61" s="5" t="s">
        <v>4</v>
      </c>
    </row>
    <row r="62" spans="1:13" ht="12.75">
      <c r="A62" s="5" t="s">
        <v>52</v>
      </c>
      <c r="B62" s="5"/>
      <c r="C62" s="11" t="s">
        <v>178</v>
      </c>
      <c r="D62" s="114" t="s">
        <v>101</v>
      </c>
      <c r="E62" s="5">
        <v>75</v>
      </c>
      <c r="F62" s="5">
        <v>158</v>
      </c>
      <c r="G62" s="8" t="s">
        <v>131</v>
      </c>
      <c r="H62" s="118">
        <f>POTSO2!H64/365</f>
        <v>3.366027397260274</v>
      </c>
      <c r="I62" s="118">
        <f>POTSO2!I64/365</f>
        <v>1.6821917808219178</v>
      </c>
      <c r="J62" s="118">
        <f>POTSO2!J64/365</f>
        <v>1.6821917808219178</v>
      </c>
      <c r="K62" s="118">
        <f>POTSO2!K64/365</f>
        <v>1.6821917808219178</v>
      </c>
      <c r="L62" s="118">
        <f>POTSO2!L64/365</f>
        <v>1.6821917808219178</v>
      </c>
      <c r="M62" s="5" t="s">
        <v>4</v>
      </c>
    </row>
    <row r="63" spans="1:13" ht="12.75">
      <c r="A63" s="5" t="s">
        <v>53</v>
      </c>
      <c r="B63" s="5"/>
      <c r="C63" s="11" t="s">
        <v>179</v>
      </c>
      <c r="D63" s="114" t="s">
        <v>101</v>
      </c>
      <c r="E63" s="5">
        <v>75</v>
      </c>
      <c r="F63" s="5">
        <v>158</v>
      </c>
      <c r="G63" s="8" t="s">
        <v>131</v>
      </c>
      <c r="H63" s="118">
        <f>POTSO2!H65/365</f>
        <v>3.366027397260274</v>
      </c>
      <c r="I63" s="118">
        <f>POTSO2!I65/365</f>
        <v>1.6821917808219178</v>
      </c>
      <c r="J63" s="118">
        <f>POTSO2!J65/365</f>
        <v>1.6821917808219178</v>
      </c>
      <c r="K63" s="118">
        <f>POTSO2!K65/365</f>
        <v>1.6821917808219178</v>
      </c>
      <c r="L63" s="118">
        <f>POTSO2!L65/365</f>
        <v>1.6821917808219178</v>
      </c>
      <c r="M63" s="5" t="s">
        <v>4</v>
      </c>
    </row>
    <row r="64" spans="1:13" ht="12.75">
      <c r="A64" s="5" t="s">
        <v>54</v>
      </c>
      <c r="B64" s="5"/>
      <c r="C64" s="11" t="s">
        <v>180</v>
      </c>
      <c r="D64" s="114" t="s">
        <v>149</v>
      </c>
      <c r="E64" s="5">
        <v>183</v>
      </c>
      <c r="F64" s="5">
        <v>43</v>
      </c>
      <c r="G64" s="8" t="s">
        <v>131</v>
      </c>
      <c r="H64" s="118">
        <f>POTSO2!H66/365</f>
        <v>3.0356164383561643</v>
      </c>
      <c r="I64" s="118">
        <f>POTSO2!I66/365</f>
        <v>1.5178082191780822</v>
      </c>
      <c r="J64" s="118">
        <f>POTSO2!J66/365</f>
        <v>1.5178082191780822</v>
      </c>
      <c r="K64" s="118">
        <f>POTSO2!K66/365</f>
        <v>1.5178082191780822</v>
      </c>
      <c r="L64" s="118">
        <f>POTSO2!L66/365</f>
        <v>1.5178082191780822</v>
      </c>
      <c r="M64" s="5" t="s">
        <v>4</v>
      </c>
    </row>
    <row r="65" spans="1:13" ht="12.75">
      <c r="A65" s="5" t="s">
        <v>55</v>
      </c>
      <c r="B65" s="5"/>
      <c r="C65" s="11" t="s">
        <v>182</v>
      </c>
      <c r="D65" s="114" t="s">
        <v>181</v>
      </c>
      <c r="E65" s="5">
        <v>150</v>
      </c>
      <c r="F65" s="5">
        <v>1</v>
      </c>
      <c r="G65" s="8" t="s">
        <v>131</v>
      </c>
      <c r="H65" s="118">
        <f>POTSO2!H67/365</f>
        <v>3.0356164383561643</v>
      </c>
      <c r="I65" s="118">
        <f>POTSO2!I67/365</f>
        <v>1.5178082191780822</v>
      </c>
      <c r="J65" s="118">
        <f>POTSO2!J67/365</f>
        <v>1.5178082191780822</v>
      </c>
      <c r="K65" s="118">
        <f>POTSO2!K67/365</f>
        <v>1.5178082191780822</v>
      </c>
      <c r="L65" s="118">
        <f>POTSO2!L67/365</f>
        <v>1.5178082191780822</v>
      </c>
      <c r="M65" s="5" t="s">
        <v>4</v>
      </c>
    </row>
    <row r="66" spans="1:13" ht="12.75">
      <c r="A66" s="5" t="s">
        <v>56</v>
      </c>
      <c r="B66" s="10" t="s">
        <v>183</v>
      </c>
      <c r="C66" s="5"/>
      <c r="D66" s="114" t="s">
        <v>124</v>
      </c>
      <c r="E66" s="5">
        <v>189</v>
      </c>
      <c r="F66" s="5">
        <v>114</v>
      </c>
      <c r="G66" s="8" t="s">
        <v>118</v>
      </c>
      <c r="H66" s="118">
        <f>POTSO2!H68/365</f>
        <v>0.00684931506849315</v>
      </c>
      <c r="I66" s="118">
        <f>POTSO2!I68/365</f>
        <v>0.00684931506849315</v>
      </c>
      <c r="J66" s="118">
        <f>POTSO2!J68/365</f>
        <v>0.00684931506849315</v>
      </c>
      <c r="K66" s="118">
        <f>POTSO2!K68/365</f>
        <v>0.00684931506849315</v>
      </c>
      <c r="L66" s="118">
        <f>POTSO2!L68/365</f>
        <v>0.00684931506849315</v>
      </c>
      <c r="M66" s="5" t="s">
        <v>9</v>
      </c>
    </row>
    <row r="67" spans="1:13" ht="12.75">
      <c r="A67" s="5" t="s">
        <v>57</v>
      </c>
      <c r="B67" s="10" t="s">
        <v>184</v>
      </c>
      <c r="C67" s="5"/>
      <c r="D67" s="114" t="s">
        <v>124</v>
      </c>
      <c r="E67" s="5">
        <v>189</v>
      </c>
      <c r="F67" s="5">
        <v>114</v>
      </c>
      <c r="G67" s="8" t="s">
        <v>118</v>
      </c>
      <c r="H67" s="118">
        <f>POTSO2!H69/365</f>
        <v>0.00684931506849315</v>
      </c>
      <c r="I67" s="118">
        <f>POTSO2!I69/365</f>
        <v>0.00684931506849315</v>
      </c>
      <c r="J67" s="118">
        <f>POTSO2!J69/365</f>
        <v>0.00684931506849315</v>
      </c>
      <c r="K67" s="118">
        <f>POTSO2!K69/365</f>
        <v>0.00684931506849315</v>
      </c>
      <c r="L67" s="118">
        <f>POTSO2!L69/365</f>
        <v>0.00684931506849315</v>
      </c>
      <c r="M67" s="5" t="s">
        <v>9</v>
      </c>
    </row>
    <row r="68" spans="1:13" ht="12.75">
      <c r="A68" s="5" t="s">
        <v>58</v>
      </c>
      <c r="B68" s="10" t="s">
        <v>185</v>
      </c>
      <c r="C68" s="5"/>
      <c r="D68" s="114" t="s">
        <v>124</v>
      </c>
      <c r="E68" s="5">
        <v>189</v>
      </c>
      <c r="F68" s="5">
        <v>114</v>
      </c>
      <c r="G68" s="8" t="s">
        <v>118</v>
      </c>
      <c r="H68" s="118">
        <f>POTSO2!H70/365</f>
        <v>0.00684931506849315</v>
      </c>
      <c r="I68" s="118">
        <f>POTSO2!I70/365</f>
        <v>0.00684931506849315</v>
      </c>
      <c r="J68" s="118">
        <f>POTSO2!J70/365</f>
        <v>0.00684931506849315</v>
      </c>
      <c r="K68" s="118">
        <f>POTSO2!K70/365</f>
        <v>0.00684931506849315</v>
      </c>
      <c r="L68" s="118">
        <f>POTSO2!L70/365</f>
        <v>0.00684931506849315</v>
      </c>
      <c r="M68" s="5" t="s">
        <v>9</v>
      </c>
    </row>
    <row r="69" spans="1:13" ht="12.75">
      <c r="A69" s="5" t="s">
        <v>59</v>
      </c>
      <c r="B69" s="10" t="s">
        <v>186</v>
      </c>
      <c r="C69" s="5"/>
      <c r="D69" s="114" t="s">
        <v>124</v>
      </c>
      <c r="E69" s="5">
        <v>189</v>
      </c>
      <c r="F69" s="5">
        <v>114</v>
      </c>
      <c r="G69" s="8" t="s">
        <v>118</v>
      </c>
      <c r="H69" s="118">
        <f>POTSO2!H71/365</f>
        <v>0.00684931506849315</v>
      </c>
      <c r="I69" s="118">
        <f>POTSO2!I71/365</f>
        <v>0.00684931506849315</v>
      </c>
      <c r="J69" s="118">
        <f>POTSO2!J71/365</f>
        <v>0.00684931506849315</v>
      </c>
      <c r="K69" s="118">
        <f>POTSO2!K71/365</f>
        <v>0.00684931506849315</v>
      </c>
      <c r="L69" s="118">
        <f>POTSO2!L71/365</f>
        <v>0.00684931506849315</v>
      </c>
      <c r="M69" s="5" t="s">
        <v>9</v>
      </c>
    </row>
    <row r="70" spans="1:13" ht="12.75">
      <c r="A70" s="5" t="s">
        <v>60</v>
      </c>
      <c r="B70" s="10" t="s">
        <v>187</v>
      </c>
      <c r="C70" s="5"/>
      <c r="D70" s="114" t="s">
        <v>124</v>
      </c>
      <c r="E70" s="5">
        <v>189</v>
      </c>
      <c r="F70" s="5">
        <v>114</v>
      </c>
      <c r="G70" s="8" t="s">
        <v>118</v>
      </c>
      <c r="H70" s="118">
        <f>POTSO2!H72/365</f>
        <v>0.00684931506849315</v>
      </c>
      <c r="I70" s="118">
        <f>POTSO2!I72/365</f>
        <v>0.00684931506849315</v>
      </c>
      <c r="J70" s="118">
        <f>POTSO2!J72/365</f>
        <v>0.00684931506849315</v>
      </c>
      <c r="K70" s="118">
        <f>POTSO2!K72/365</f>
        <v>0.00684931506849315</v>
      </c>
      <c r="L70" s="118">
        <f>POTSO2!L72/365</f>
        <v>0.00684931506849315</v>
      </c>
      <c r="M70" s="5" t="s">
        <v>9</v>
      </c>
    </row>
    <row r="71" spans="1:13" ht="12.75">
      <c r="A71" s="8" t="s">
        <v>87</v>
      </c>
      <c r="B71" s="10" t="s">
        <v>188</v>
      </c>
      <c r="C71" s="8"/>
      <c r="D71" s="114" t="s">
        <v>189</v>
      </c>
      <c r="E71" s="8">
        <v>192</v>
      </c>
      <c r="F71" s="8">
        <v>5</v>
      </c>
      <c r="G71" s="8" t="s">
        <v>118</v>
      </c>
      <c r="H71" s="118">
        <f>POTSO2!H73/365</f>
        <v>0</v>
      </c>
      <c r="I71" s="118">
        <f>POTSO2!I73/365</f>
        <v>0</v>
      </c>
      <c r="J71" s="118">
        <f>POTSO2!J73/365</f>
        <v>0</v>
      </c>
      <c r="K71" s="118">
        <f>POTSO2!K73/365</f>
        <v>0.02054794520547945</v>
      </c>
      <c r="L71" s="118">
        <f>POTSO2!L73/365</f>
        <v>0.02054794520547945</v>
      </c>
      <c r="M71" s="5"/>
    </row>
    <row r="72" spans="1:13" ht="12.75">
      <c r="A72" s="5" t="s">
        <v>61</v>
      </c>
      <c r="B72" s="10" t="s">
        <v>191</v>
      </c>
      <c r="C72" s="5"/>
      <c r="D72" s="114" t="s">
        <v>190</v>
      </c>
      <c r="E72" s="5">
        <v>172</v>
      </c>
      <c r="F72" s="5">
        <v>26</v>
      </c>
      <c r="G72" s="8" t="s">
        <v>118</v>
      </c>
      <c r="H72" s="118">
        <f>POTSO2!H74/365</f>
        <v>0</v>
      </c>
      <c r="I72" s="118">
        <f>POTSO2!I74/365</f>
        <v>0</v>
      </c>
      <c r="J72" s="118">
        <f>POTSO2!J74/365</f>
        <v>0.0005479452054794521</v>
      </c>
      <c r="K72" s="118">
        <f>POTSO2!K74/365</f>
        <v>0.0015890410958904109</v>
      </c>
      <c r="L72" s="118">
        <f>POTSO2!L74/365</f>
        <v>0.0015890410958904109</v>
      </c>
      <c r="M72" s="5" t="s">
        <v>4</v>
      </c>
    </row>
    <row r="73" spans="1:13" ht="12.75">
      <c r="A73" s="5" t="s">
        <v>62</v>
      </c>
      <c r="B73" s="10" t="s">
        <v>192</v>
      </c>
      <c r="C73" s="5"/>
      <c r="D73" s="114" t="s">
        <v>190</v>
      </c>
      <c r="E73" s="5">
        <v>172</v>
      </c>
      <c r="F73" s="5">
        <v>26</v>
      </c>
      <c r="G73" s="8" t="s">
        <v>118</v>
      </c>
      <c r="H73" s="118">
        <f>POTSO2!H75/365</f>
        <v>0</v>
      </c>
      <c r="I73" s="118">
        <f>POTSO2!I75/365</f>
        <v>0</v>
      </c>
      <c r="J73" s="118">
        <f>POTSO2!J75/365</f>
        <v>0.0005479452054794521</v>
      </c>
      <c r="K73" s="118">
        <f>POTSO2!K75/365</f>
        <v>0.0015890410958904109</v>
      </c>
      <c r="L73" s="118">
        <f>POTSO2!L75/365</f>
        <v>0.0015890410958904109</v>
      </c>
      <c r="M73" s="5" t="s">
        <v>4</v>
      </c>
    </row>
    <row r="74" spans="1:13" ht="12.75">
      <c r="A74" s="5" t="s">
        <v>63</v>
      </c>
      <c r="B74" s="10" t="s">
        <v>193</v>
      </c>
      <c r="C74" s="5"/>
      <c r="D74" s="114" t="s">
        <v>190</v>
      </c>
      <c r="E74" s="5">
        <v>172</v>
      </c>
      <c r="F74" s="5">
        <v>26</v>
      </c>
      <c r="G74" s="8" t="s">
        <v>118</v>
      </c>
      <c r="H74" s="118">
        <f>POTSO2!H76/365</f>
        <v>0</v>
      </c>
      <c r="I74" s="118">
        <f>POTSO2!I76/365</f>
        <v>0</v>
      </c>
      <c r="J74" s="118">
        <f>POTSO2!J76/365</f>
        <v>0.0005479452054794521</v>
      </c>
      <c r="K74" s="118">
        <f>POTSO2!K76/365</f>
        <v>0.0015890410958904109</v>
      </c>
      <c r="L74" s="118">
        <f>POTSO2!L76/365</f>
        <v>0.0015890410958904109</v>
      </c>
      <c r="M74" s="5" t="s">
        <v>4</v>
      </c>
    </row>
    <row r="75" spans="7:12" ht="18">
      <c r="G75" s="120" t="s">
        <v>289</v>
      </c>
      <c r="H75" s="121">
        <f>SUM(H2:H74)</f>
        <v>412.4613698630138</v>
      </c>
      <c r="I75" s="121">
        <f>SUM(I2:I74)</f>
        <v>244.67863013698627</v>
      </c>
      <c r="J75" s="121">
        <f>SUM(J2:J74)</f>
        <v>165.36631232876712</v>
      </c>
      <c r="K75" s="121">
        <f>SUM(K2:K74)</f>
        <v>155.97315780821916</v>
      </c>
      <c r="L75" s="121" t="e">
        <f>SUM(L2:L74)</f>
        <v>#VALUE!</v>
      </c>
    </row>
    <row r="76" spans="7:12" ht="18">
      <c r="G76" s="122" t="s">
        <v>290</v>
      </c>
      <c r="H76" s="123">
        <f>SUM(H50,H47:H48,H37:H38,H13,H10)</f>
        <v>241.19726027397263</v>
      </c>
      <c r="I76" s="123">
        <f>SUM(I50,I47:I48,I37:I38,I13,I10)</f>
        <v>146.06301369863013</v>
      </c>
      <c r="J76" s="123">
        <f>SUM(J50,J47:J48,J37:J38,J13,J10)</f>
        <v>88.36438356164382</v>
      </c>
      <c r="K76" s="123">
        <f>SUM(K50,K47:K48,K37:K38,K13,K10)</f>
        <v>88.36438356164382</v>
      </c>
      <c r="L76" s="123" t="e">
        <f>SUM(L50,L47:L48,L37:L38,L13,L10)</f>
        <v>#VALUE!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9"/>
  <sheetViews>
    <sheetView zoomScale="75" zoomScaleNormal="75" zoomScalePageLayoutView="0" workbookViewId="0" topLeftCell="A52">
      <selection activeCell="A77" sqref="A77:IV77"/>
    </sheetView>
  </sheetViews>
  <sheetFormatPr defaultColWidth="9.140625" defaultRowHeight="12.75"/>
  <cols>
    <col min="1" max="1" width="56.8515625" style="0" customWidth="1"/>
    <col min="2" max="6" width="29.7109375" style="0" bestFit="1" customWidth="1"/>
    <col min="7" max="7" width="24.421875" style="0" customWidth="1"/>
    <col min="8" max="8" width="24.421875" style="0" bestFit="1" customWidth="1"/>
    <col min="9" max="9" width="26.28125" style="0" bestFit="1" customWidth="1"/>
  </cols>
  <sheetData>
    <row r="1" spans="1:11" ht="189">
      <c r="A1" s="34" t="s">
        <v>0</v>
      </c>
      <c r="B1" s="31" t="s">
        <v>69</v>
      </c>
      <c r="C1" s="31" t="s">
        <v>65</v>
      </c>
      <c r="D1" s="31" t="s">
        <v>70</v>
      </c>
      <c r="E1" s="31" t="s">
        <v>74</v>
      </c>
      <c r="F1" s="31" t="s">
        <v>279</v>
      </c>
      <c r="G1" s="31" t="s">
        <v>286</v>
      </c>
      <c r="H1" s="32" t="s">
        <v>285</v>
      </c>
      <c r="I1" s="33" t="s">
        <v>281</v>
      </c>
      <c r="K1" s="25"/>
    </row>
    <row r="2" spans="1:9" ht="12.75">
      <c r="A2" s="1" t="s">
        <v>3</v>
      </c>
      <c r="B2" s="1">
        <v>247.3</v>
      </c>
      <c r="C2" s="1">
        <v>248.6</v>
      </c>
      <c r="D2" s="1">
        <v>245.9</v>
      </c>
      <c r="E2" s="1">
        <v>18.58</v>
      </c>
      <c r="F2" s="22" t="s">
        <v>277</v>
      </c>
      <c r="G2" s="22" t="str">
        <f>IF(B2="NA","New Unit",(IF(ISNUMBER(F2),(F2-B2)/B2,"-100%")))</f>
        <v>-100%</v>
      </c>
      <c r="H2" s="23" t="str">
        <f>IF(C2="NA","New Unit",(IF(ISNUMBER(F2),(F2-C2)/C2,"-100%")))</f>
        <v>-100%</v>
      </c>
      <c r="I2" s="22" t="s">
        <v>280</v>
      </c>
    </row>
    <row r="3" spans="1:9" ht="12.75">
      <c r="A3" s="1" t="s">
        <v>5</v>
      </c>
      <c r="B3" s="1">
        <v>180.8</v>
      </c>
      <c r="C3" s="1">
        <v>215.9</v>
      </c>
      <c r="D3" s="1">
        <v>241.5</v>
      </c>
      <c r="E3" s="1">
        <v>8.33</v>
      </c>
      <c r="F3" s="22" t="s">
        <v>278</v>
      </c>
      <c r="G3" s="22" t="str">
        <f aca="true" t="shared" si="0" ref="G3:G66">IF(B3="NA","New Unit",(IF(ISNUMBER(F3),(F3-B3)/B3,"-100%")))</f>
        <v>-100%</v>
      </c>
      <c r="H3" s="23" t="str">
        <f aca="true" t="shared" si="1" ref="H3:H66">IF(C3="NA","New Unit",(IF(ISNUMBER(F3),(F3-C3)/C3,"-100%")))</f>
        <v>-100%</v>
      </c>
      <c r="I3" s="22" t="s">
        <v>280</v>
      </c>
    </row>
    <row r="4" spans="1:9" ht="12.75">
      <c r="A4" s="2" t="s">
        <v>88</v>
      </c>
      <c r="B4" s="2" t="s">
        <v>68</v>
      </c>
      <c r="C4" s="2" t="s">
        <v>68</v>
      </c>
      <c r="D4" s="2" t="s">
        <v>68</v>
      </c>
      <c r="E4" s="1">
        <v>1.69</v>
      </c>
      <c r="F4" s="1">
        <v>4.296</v>
      </c>
      <c r="G4" s="22" t="str">
        <f t="shared" si="0"/>
        <v>New Unit</v>
      </c>
      <c r="H4" s="23" t="str">
        <f t="shared" si="1"/>
        <v>New Unit</v>
      </c>
      <c r="I4" s="22" t="s">
        <v>280</v>
      </c>
    </row>
    <row r="5" spans="1:9" ht="12.75">
      <c r="A5" s="1" t="s">
        <v>6</v>
      </c>
      <c r="B5" s="1">
        <v>262.5</v>
      </c>
      <c r="C5" s="1">
        <v>272.5</v>
      </c>
      <c r="D5" s="1">
        <v>261.3</v>
      </c>
      <c r="E5" s="1">
        <v>262.25</v>
      </c>
      <c r="F5" s="1">
        <v>8.984</v>
      </c>
      <c r="G5" s="22">
        <f t="shared" si="0"/>
        <v>-0.965775238095238</v>
      </c>
      <c r="H5" s="23">
        <f t="shared" si="1"/>
        <v>-0.9670311926605505</v>
      </c>
      <c r="I5" s="22" t="s">
        <v>280</v>
      </c>
    </row>
    <row r="6" spans="1:9" ht="15">
      <c r="A6" s="1" t="s">
        <v>7</v>
      </c>
      <c r="B6" s="1">
        <v>6.1</v>
      </c>
      <c r="C6" s="1">
        <v>3.9</v>
      </c>
      <c r="D6" s="1">
        <v>3.9</v>
      </c>
      <c r="E6" s="1">
        <v>3.95</v>
      </c>
      <c r="F6" s="19">
        <v>3.588192</v>
      </c>
      <c r="G6" s="22">
        <f t="shared" si="0"/>
        <v>-0.4117718032786885</v>
      </c>
      <c r="H6" s="23">
        <f t="shared" si="1"/>
        <v>-0.07995076923076926</v>
      </c>
      <c r="I6" s="22" t="s">
        <v>282</v>
      </c>
    </row>
    <row r="7" spans="1:9" ht="12.75">
      <c r="A7" s="1" t="s">
        <v>8</v>
      </c>
      <c r="B7" s="1" t="s">
        <v>68</v>
      </c>
      <c r="C7" s="1">
        <v>97.7</v>
      </c>
      <c r="D7" s="1">
        <v>86.5</v>
      </c>
      <c r="E7" s="1">
        <v>88.7</v>
      </c>
      <c r="F7" s="1">
        <v>75.49</v>
      </c>
      <c r="G7" s="22" t="str">
        <f t="shared" si="0"/>
        <v>New Unit</v>
      </c>
      <c r="H7" s="23">
        <f t="shared" si="1"/>
        <v>-0.22732855680655073</v>
      </c>
      <c r="I7" s="22" t="s">
        <v>280</v>
      </c>
    </row>
    <row r="8" spans="1:9" ht="12.75">
      <c r="A8" s="1" t="s">
        <v>10</v>
      </c>
      <c r="B8" s="1" t="s">
        <v>68</v>
      </c>
      <c r="C8" s="1">
        <v>94.1</v>
      </c>
      <c r="D8" s="1">
        <v>75</v>
      </c>
      <c r="E8" s="1">
        <v>84.7</v>
      </c>
      <c r="F8" s="1">
        <v>83.909</v>
      </c>
      <c r="G8" s="22" t="str">
        <f t="shared" si="0"/>
        <v>New Unit</v>
      </c>
      <c r="H8" s="23">
        <f t="shared" si="1"/>
        <v>-0.10829968119022305</v>
      </c>
      <c r="I8" s="22" t="s">
        <v>280</v>
      </c>
    </row>
    <row r="9" spans="1:9" ht="12.75">
      <c r="A9" s="1" t="s">
        <v>11</v>
      </c>
      <c r="B9" s="1">
        <v>318.3</v>
      </c>
      <c r="C9" s="1">
        <v>47</v>
      </c>
      <c r="D9" s="1">
        <v>91.6</v>
      </c>
      <c r="E9" s="1">
        <v>0.2</v>
      </c>
      <c r="F9" s="22" t="s">
        <v>278</v>
      </c>
      <c r="G9" s="22" t="str">
        <f t="shared" si="0"/>
        <v>-100%</v>
      </c>
      <c r="H9" s="23" t="str">
        <f t="shared" si="1"/>
        <v>-100%</v>
      </c>
      <c r="I9" s="22" t="s">
        <v>280</v>
      </c>
    </row>
    <row r="10" spans="1:9" ht="12.75">
      <c r="A10" s="3" t="s">
        <v>12</v>
      </c>
      <c r="B10" s="3">
        <v>3653.6</v>
      </c>
      <c r="C10" s="3">
        <v>1688.6</v>
      </c>
      <c r="D10" s="3">
        <v>2085.1</v>
      </c>
      <c r="E10" s="20">
        <v>372.3</v>
      </c>
      <c r="F10" s="20">
        <v>591.308</v>
      </c>
      <c r="G10" s="29">
        <f t="shared" si="0"/>
        <v>-0.8381574337639588</v>
      </c>
      <c r="H10" s="30">
        <f t="shared" si="1"/>
        <v>-0.6498235224446287</v>
      </c>
      <c r="I10" s="29" t="s">
        <v>280</v>
      </c>
    </row>
    <row r="11" spans="1:9" ht="12.75">
      <c r="A11" s="1" t="s">
        <v>13</v>
      </c>
      <c r="B11" s="1">
        <v>1.4</v>
      </c>
      <c r="C11" s="1">
        <v>0.9</v>
      </c>
      <c r="D11" s="1">
        <v>0.6</v>
      </c>
      <c r="E11" s="1">
        <v>0.85</v>
      </c>
      <c r="F11" s="5">
        <v>4.28</v>
      </c>
      <c r="G11" s="22">
        <f t="shared" si="0"/>
        <v>2.0571428571428574</v>
      </c>
      <c r="H11" s="23">
        <f t="shared" si="1"/>
        <v>3.755555555555556</v>
      </c>
      <c r="I11" s="22" t="s">
        <v>282</v>
      </c>
    </row>
    <row r="12" spans="1:9" ht="12.75">
      <c r="A12" s="1" t="s">
        <v>14</v>
      </c>
      <c r="B12" s="1">
        <v>232.8</v>
      </c>
      <c r="C12" s="1">
        <v>100.2</v>
      </c>
      <c r="D12" s="1">
        <v>7.7</v>
      </c>
      <c r="E12" s="1">
        <v>2.99</v>
      </c>
      <c r="F12" s="1">
        <v>18.1</v>
      </c>
      <c r="G12" s="22">
        <f t="shared" si="0"/>
        <v>-0.9222508591065293</v>
      </c>
      <c r="H12" s="23">
        <f t="shared" si="1"/>
        <v>-0.8193612774451097</v>
      </c>
      <c r="I12" s="22" t="s">
        <v>280</v>
      </c>
    </row>
    <row r="13" spans="1:9" ht="12.75">
      <c r="A13" s="4" t="s">
        <v>86</v>
      </c>
      <c r="B13" s="3">
        <v>462.1</v>
      </c>
      <c r="C13" s="3">
        <v>215.3</v>
      </c>
      <c r="D13" s="3">
        <v>288.5</v>
      </c>
      <c r="E13" s="20">
        <v>172.9</v>
      </c>
      <c r="F13" s="20">
        <v>223.881</v>
      </c>
      <c r="G13" s="29">
        <f t="shared" si="0"/>
        <v>-0.5155139580177451</v>
      </c>
      <c r="H13" s="30">
        <f t="shared" si="1"/>
        <v>0.039856014862981834</v>
      </c>
      <c r="I13" s="29" t="s">
        <v>280</v>
      </c>
    </row>
    <row r="14" spans="1:9" ht="12.75">
      <c r="A14" s="1" t="s">
        <v>16</v>
      </c>
      <c r="B14" s="1">
        <v>2.8</v>
      </c>
      <c r="C14" s="1">
        <v>3.1</v>
      </c>
      <c r="D14" s="1">
        <v>3.2</v>
      </c>
      <c r="E14" s="1">
        <v>0.42</v>
      </c>
      <c r="F14" s="5">
        <v>2.565767</v>
      </c>
      <c r="G14" s="22">
        <f t="shared" si="0"/>
        <v>-0.08365464285714275</v>
      </c>
      <c r="H14" s="23">
        <f t="shared" si="1"/>
        <v>-0.1723332258064516</v>
      </c>
      <c r="I14" s="22" t="s">
        <v>282</v>
      </c>
    </row>
    <row r="15" spans="1:9" ht="12.75">
      <c r="A15" s="1" t="s">
        <v>17</v>
      </c>
      <c r="B15" s="1">
        <v>2</v>
      </c>
      <c r="C15" s="1">
        <v>2.5</v>
      </c>
      <c r="D15" s="1">
        <v>2.4</v>
      </c>
      <c r="E15" s="1">
        <v>0.4</v>
      </c>
      <c r="F15" s="5">
        <v>2.098229</v>
      </c>
      <c r="G15" s="22">
        <f t="shared" si="0"/>
        <v>0.04911449999999995</v>
      </c>
      <c r="H15" s="23">
        <f t="shared" si="1"/>
        <v>-0.16070840000000003</v>
      </c>
      <c r="I15" s="22" t="s">
        <v>282</v>
      </c>
    </row>
    <row r="16" spans="1:9" ht="12.75">
      <c r="A16" s="1" t="s">
        <v>18</v>
      </c>
      <c r="B16" s="1">
        <v>2.5</v>
      </c>
      <c r="C16" s="1">
        <v>2.7</v>
      </c>
      <c r="D16" s="1">
        <v>4.2</v>
      </c>
      <c r="E16" s="1">
        <v>0.46</v>
      </c>
      <c r="F16" s="5">
        <v>1.4420281</v>
      </c>
      <c r="G16" s="22">
        <f t="shared" si="0"/>
        <v>-0.42318876000000005</v>
      </c>
      <c r="H16" s="23">
        <f t="shared" si="1"/>
        <v>-0.4659155185185186</v>
      </c>
      <c r="I16" s="22" t="s">
        <v>282</v>
      </c>
    </row>
    <row r="17" spans="1:9" ht="12.75">
      <c r="A17" s="2" t="s">
        <v>75</v>
      </c>
      <c r="B17" s="2" t="s">
        <v>68</v>
      </c>
      <c r="C17" s="2" t="s">
        <v>68</v>
      </c>
      <c r="D17" s="2" t="s">
        <v>68</v>
      </c>
      <c r="E17" s="1">
        <v>0.54</v>
      </c>
      <c r="F17" s="5">
        <v>1.2044188</v>
      </c>
      <c r="G17" s="22" t="str">
        <f t="shared" si="0"/>
        <v>New Unit</v>
      </c>
      <c r="H17" s="23" t="str">
        <f t="shared" si="1"/>
        <v>New Unit</v>
      </c>
      <c r="I17" s="22" t="s">
        <v>282</v>
      </c>
    </row>
    <row r="18" spans="1:9" ht="12.75">
      <c r="A18" s="2" t="s">
        <v>76</v>
      </c>
      <c r="B18" s="2" t="s">
        <v>68</v>
      </c>
      <c r="C18" s="2" t="s">
        <v>68</v>
      </c>
      <c r="D18" s="2" t="s">
        <v>68</v>
      </c>
      <c r="E18" s="1">
        <v>0.19</v>
      </c>
      <c r="F18" s="5">
        <v>1.4420281</v>
      </c>
      <c r="G18" s="22" t="str">
        <f t="shared" si="0"/>
        <v>New Unit</v>
      </c>
      <c r="H18" s="23" t="str">
        <f t="shared" si="1"/>
        <v>New Unit</v>
      </c>
      <c r="I18" s="22" t="s">
        <v>282</v>
      </c>
    </row>
    <row r="19" spans="1:9" ht="12.75">
      <c r="A19" s="1" t="s">
        <v>19</v>
      </c>
      <c r="B19" s="1">
        <v>932</v>
      </c>
      <c r="C19" s="1">
        <v>140.6</v>
      </c>
      <c r="D19" s="1">
        <v>0</v>
      </c>
      <c r="E19" s="2" t="s">
        <v>89</v>
      </c>
      <c r="F19" s="1"/>
      <c r="G19" s="22" t="str">
        <f t="shared" si="0"/>
        <v>-100%</v>
      </c>
      <c r="H19" s="23" t="str">
        <f t="shared" si="1"/>
        <v>-100%</v>
      </c>
      <c r="I19" s="22" t="s">
        <v>280</v>
      </c>
    </row>
    <row r="20" spans="1:9" ht="12.75">
      <c r="A20" s="1" t="s">
        <v>20</v>
      </c>
      <c r="B20" s="1">
        <v>990.9</v>
      </c>
      <c r="C20" s="1">
        <v>135.2</v>
      </c>
      <c r="D20" s="1">
        <v>0</v>
      </c>
      <c r="E20" s="2" t="s">
        <v>89</v>
      </c>
      <c r="F20" s="1"/>
      <c r="G20" s="22" t="str">
        <f t="shared" si="0"/>
        <v>-100%</v>
      </c>
      <c r="H20" s="23" t="str">
        <f t="shared" si="1"/>
        <v>-100%</v>
      </c>
      <c r="I20" s="22" t="s">
        <v>280</v>
      </c>
    </row>
    <row r="21" spans="1:9" ht="12.75">
      <c r="A21" s="1" t="s">
        <v>21</v>
      </c>
      <c r="B21" s="1">
        <v>2</v>
      </c>
      <c r="C21" s="1">
        <v>2.4</v>
      </c>
      <c r="D21" s="1">
        <v>1.4</v>
      </c>
      <c r="E21" s="1">
        <v>1.21</v>
      </c>
      <c r="F21" s="5">
        <v>1.804415518</v>
      </c>
      <c r="G21" s="22">
        <f t="shared" si="0"/>
        <v>-0.09779224099999995</v>
      </c>
      <c r="H21" s="23">
        <f t="shared" si="1"/>
        <v>-0.24816020083333326</v>
      </c>
      <c r="I21" s="22" t="s">
        <v>282</v>
      </c>
    </row>
    <row r="22" spans="1:9" ht="12.75">
      <c r="A22" s="1" t="s">
        <v>22</v>
      </c>
      <c r="B22" s="1" t="s">
        <v>68</v>
      </c>
      <c r="C22" s="1">
        <v>16.5</v>
      </c>
      <c r="D22" s="1">
        <v>5.2</v>
      </c>
      <c r="E22" s="1">
        <v>1</v>
      </c>
      <c r="F22" s="1">
        <v>0.958</v>
      </c>
      <c r="G22" s="22" t="str">
        <f t="shared" si="0"/>
        <v>New Unit</v>
      </c>
      <c r="H22" s="23">
        <f t="shared" si="1"/>
        <v>-0.941939393939394</v>
      </c>
      <c r="I22" s="22" t="s">
        <v>280</v>
      </c>
    </row>
    <row r="23" spans="1:9" ht="12.75">
      <c r="A23" s="1" t="s">
        <v>23</v>
      </c>
      <c r="B23" s="1" t="s">
        <v>68</v>
      </c>
      <c r="C23" s="1">
        <v>16.1</v>
      </c>
      <c r="D23" s="1">
        <v>5.3</v>
      </c>
      <c r="E23" s="1">
        <v>0.9</v>
      </c>
      <c r="F23" s="1">
        <v>0.761</v>
      </c>
      <c r="G23" s="22" t="str">
        <f t="shared" si="0"/>
        <v>New Unit</v>
      </c>
      <c r="H23" s="23">
        <f t="shared" si="1"/>
        <v>-0.9527329192546584</v>
      </c>
      <c r="I23" s="22" t="s">
        <v>280</v>
      </c>
    </row>
    <row r="24" spans="1:9" ht="12.75">
      <c r="A24" s="1" t="s">
        <v>24</v>
      </c>
      <c r="B24" s="1" t="s">
        <v>68</v>
      </c>
      <c r="C24" s="1">
        <v>11.3</v>
      </c>
      <c r="D24" s="1">
        <v>7.6</v>
      </c>
      <c r="E24" s="1">
        <v>1</v>
      </c>
      <c r="F24" s="1">
        <v>1.171</v>
      </c>
      <c r="G24" s="22" t="str">
        <f t="shared" si="0"/>
        <v>New Unit</v>
      </c>
      <c r="H24" s="23">
        <f t="shared" si="1"/>
        <v>-0.8963716814159293</v>
      </c>
      <c r="I24" s="22" t="s">
        <v>280</v>
      </c>
    </row>
    <row r="25" spans="1:9" ht="12.75">
      <c r="A25" s="1" t="s">
        <v>25</v>
      </c>
      <c r="B25" s="1" t="s">
        <v>68</v>
      </c>
      <c r="C25" s="1">
        <v>10</v>
      </c>
      <c r="D25" s="1">
        <v>8.1</v>
      </c>
      <c r="E25" s="1">
        <v>1.3</v>
      </c>
      <c r="F25" s="1">
        <v>1.536</v>
      </c>
      <c r="G25" s="22" t="str">
        <f t="shared" si="0"/>
        <v>New Unit</v>
      </c>
      <c r="H25" s="23">
        <f t="shared" si="1"/>
        <v>-0.8464</v>
      </c>
      <c r="I25" s="22" t="s">
        <v>280</v>
      </c>
    </row>
    <row r="26" spans="1:9" ht="12.75">
      <c r="A26" s="2" t="s">
        <v>77</v>
      </c>
      <c r="B26" s="2" t="s">
        <v>68</v>
      </c>
      <c r="C26" s="2" t="s">
        <v>68</v>
      </c>
      <c r="D26" s="2" t="s">
        <v>68</v>
      </c>
      <c r="E26" s="1">
        <v>0.4</v>
      </c>
      <c r="F26" s="1">
        <v>0.372</v>
      </c>
      <c r="G26" s="22" t="str">
        <f t="shared" si="0"/>
        <v>New Unit</v>
      </c>
      <c r="H26" s="23" t="str">
        <f t="shared" si="1"/>
        <v>New Unit</v>
      </c>
      <c r="I26" s="22" t="s">
        <v>280</v>
      </c>
    </row>
    <row r="27" spans="1:9" ht="12.75">
      <c r="A27" s="2" t="s">
        <v>78</v>
      </c>
      <c r="B27" s="2" t="s">
        <v>68</v>
      </c>
      <c r="C27" s="2" t="s">
        <v>68</v>
      </c>
      <c r="D27" s="2" t="s">
        <v>68</v>
      </c>
      <c r="E27" s="1">
        <v>0.3</v>
      </c>
      <c r="F27" s="1">
        <v>0.377</v>
      </c>
      <c r="G27" s="22" t="str">
        <f t="shared" si="0"/>
        <v>New Unit</v>
      </c>
      <c r="H27" s="23" t="str">
        <f t="shared" si="1"/>
        <v>New Unit</v>
      </c>
      <c r="I27" s="22" t="s">
        <v>280</v>
      </c>
    </row>
    <row r="28" spans="1:9" ht="12.75">
      <c r="A28" s="2" t="s">
        <v>79</v>
      </c>
      <c r="B28" s="2" t="s">
        <v>68</v>
      </c>
      <c r="C28" s="2" t="s">
        <v>68</v>
      </c>
      <c r="D28" s="2" t="s">
        <v>68</v>
      </c>
      <c r="E28" s="1">
        <v>0.3</v>
      </c>
      <c r="F28" s="1">
        <v>0.295</v>
      </c>
      <c r="G28" s="22" t="str">
        <f t="shared" si="0"/>
        <v>New Unit</v>
      </c>
      <c r="H28" s="23" t="str">
        <f t="shared" si="1"/>
        <v>New Unit</v>
      </c>
      <c r="I28" s="22" t="s">
        <v>280</v>
      </c>
    </row>
    <row r="29" spans="1:9" ht="12.75">
      <c r="A29" s="2" t="s">
        <v>80</v>
      </c>
      <c r="B29" s="2" t="s">
        <v>68</v>
      </c>
      <c r="C29" s="2" t="s">
        <v>68</v>
      </c>
      <c r="D29" s="2" t="s">
        <v>68</v>
      </c>
      <c r="E29" s="1">
        <v>0.5</v>
      </c>
      <c r="F29" s="1">
        <v>0.452</v>
      </c>
      <c r="G29" s="22" t="str">
        <f t="shared" si="0"/>
        <v>New Unit</v>
      </c>
      <c r="H29" s="23" t="str">
        <f t="shared" si="1"/>
        <v>New Unit</v>
      </c>
      <c r="I29" s="22" t="s">
        <v>280</v>
      </c>
    </row>
    <row r="30" spans="1:9" ht="12.75">
      <c r="A30" s="1" t="s">
        <v>26</v>
      </c>
      <c r="B30" s="1">
        <v>1.5</v>
      </c>
      <c r="C30" s="1">
        <v>3.6</v>
      </c>
      <c r="D30" s="1">
        <v>3.6</v>
      </c>
      <c r="E30" s="1">
        <v>3.56</v>
      </c>
      <c r="F30" s="5">
        <v>3.800142</v>
      </c>
      <c r="G30" s="22">
        <f t="shared" si="0"/>
        <v>1.533428</v>
      </c>
      <c r="H30" s="23">
        <f t="shared" si="1"/>
        <v>0.05559500000000001</v>
      </c>
      <c r="I30" s="22" t="s">
        <v>305</v>
      </c>
    </row>
    <row r="31" spans="1:9" ht="12.75">
      <c r="A31" s="2" t="s">
        <v>81</v>
      </c>
      <c r="B31" s="2" t="s">
        <v>68</v>
      </c>
      <c r="C31" s="2" t="s">
        <v>68</v>
      </c>
      <c r="D31" s="2" t="s">
        <v>68</v>
      </c>
      <c r="E31" s="1">
        <v>19.04</v>
      </c>
      <c r="F31" s="1">
        <v>26.863</v>
      </c>
      <c r="G31" s="22" t="str">
        <f t="shared" si="0"/>
        <v>New Unit</v>
      </c>
      <c r="H31" s="23" t="str">
        <f t="shared" si="1"/>
        <v>New Unit</v>
      </c>
      <c r="I31" s="22" t="s">
        <v>280</v>
      </c>
    </row>
    <row r="32" spans="1:9" ht="12.75">
      <c r="A32" s="2" t="s">
        <v>82</v>
      </c>
      <c r="B32" s="2" t="s">
        <v>68</v>
      </c>
      <c r="C32" s="2" t="s">
        <v>68</v>
      </c>
      <c r="D32" s="2" t="s">
        <v>68</v>
      </c>
      <c r="E32" s="1">
        <v>18.26</v>
      </c>
      <c r="F32" s="1">
        <v>41.829</v>
      </c>
      <c r="G32" s="22" t="str">
        <f t="shared" si="0"/>
        <v>New Unit</v>
      </c>
      <c r="H32" s="23" t="str">
        <f t="shared" si="1"/>
        <v>New Unit</v>
      </c>
      <c r="I32" s="22" t="s">
        <v>280</v>
      </c>
    </row>
    <row r="33" spans="1:9" ht="12.75">
      <c r="A33" s="1" t="s">
        <v>27</v>
      </c>
      <c r="B33" s="1" t="s">
        <v>68</v>
      </c>
      <c r="C33" s="1">
        <v>30.6</v>
      </c>
      <c r="D33" s="1">
        <v>26.8</v>
      </c>
      <c r="E33" s="1">
        <v>46.4</v>
      </c>
      <c r="F33" s="1">
        <v>51.542</v>
      </c>
      <c r="G33" s="22" t="str">
        <f t="shared" si="0"/>
        <v>New Unit</v>
      </c>
      <c r="H33" s="23">
        <f t="shared" si="1"/>
        <v>0.6843790849673203</v>
      </c>
      <c r="I33" s="22" t="s">
        <v>280</v>
      </c>
    </row>
    <row r="34" spans="1:9" ht="12.75">
      <c r="A34" s="1" t="s">
        <v>28</v>
      </c>
      <c r="B34" s="1" t="s">
        <v>68</v>
      </c>
      <c r="C34" s="1">
        <v>32.5</v>
      </c>
      <c r="D34" s="1">
        <v>28.9</v>
      </c>
      <c r="E34" s="1">
        <v>43</v>
      </c>
      <c r="F34" s="1">
        <v>46.565</v>
      </c>
      <c r="G34" s="22" t="str">
        <f t="shared" si="0"/>
        <v>New Unit</v>
      </c>
      <c r="H34" s="23">
        <f t="shared" si="1"/>
        <v>0.4327692307692307</v>
      </c>
      <c r="I34" s="22" t="s">
        <v>280</v>
      </c>
    </row>
    <row r="35" spans="1:9" ht="12.75">
      <c r="A35" s="1" t="s">
        <v>29</v>
      </c>
      <c r="B35" s="1" t="s">
        <v>68</v>
      </c>
      <c r="C35" s="1">
        <v>31.5</v>
      </c>
      <c r="D35" s="1">
        <v>24.4</v>
      </c>
      <c r="E35" s="1">
        <v>46.2</v>
      </c>
      <c r="F35" s="1">
        <v>47.982</v>
      </c>
      <c r="G35" s="22" t="str">
        <f t="shared" si="0"/>
        <v>New Unit</v>
      </c>
      <c r="H35" s="23">
        <f t="shared" si="1"/>
        <v>0.5232380952380952</v>
      </c>
      <c r="I35" s="22" t="s">
        <v>280</v>
      </c>
    </row>
    <row r="36" spans="1:9" ht="12.75">
      <c r="A36" s="1" t="s">
        <v>30</v>
      </c>
      <c r="B36" s="1">
        <v>189.7</v>
      </c>
      <c r="C36" s="1">
        <v>146.8</v>
      </c>
      <c r="D36" s="1">
        <v>139.7</v>
      </c>
      <c r="E36" s="1">
        <v>38.2</v>
      </c>
      <c r="F36" s="1">
        <v>69.666</v>
      </c>
      <c r="G36" s="22">
        <f t="shared" si="0"/>
        <v>-0.6327569847127043</v>
      </c>
      <c r="H36" s="23">
        <f t="shared" si="1"/>
        <v>-0.5254359673024523</v>
      </c>
      <c r="I36" s="22" t="s">
        <v>280</v>
      </c>
    </row>
    <row r="37" spans="1:9" ht="12.75">
      <c r="A37" s="3" t="s">
        <v>31</v>
      </c>
      <c r="B37" s="3">
        <v>1293.1</v>
      </c>
      <c r="C37" s="3">
        <v>467.5</v>
      </c>
      <c r="D37" s="3">
        <v>406</v>
      </c>
      <c r="E37" s="20">
        <v>57.8</v>
      </c>
      <c r="F37" s="20">
        <v>167.469</v>
      </c>
      <c r="G37" s="29">
        <f t="shared" si="0"/>
        <v>-0.8704902946407856</v>
      </c>
      <c r="H37" s="30">
        <f t="shared" si="1"/>
        <v>-0.6417775401069519</v>
      </c>
      <c r="I37" s="29" t="s">
        <v>280</v>
      </c>
    </row>
    <row r="38" spans="1:9" ht="12.75">
      <c r="A38" s="3" t="s">
        <v>32</v>
      </c>
      <c r="B38" s="3">
        <v>273.8</v>
      </c>
      <c r="C38" s="3">
        <v>145.2</v>
      </c>
      <c r="D38" s="3">
        <v>145.4</v>
      </c>
      <c r="E38" s="20">
        <v>36.4</v>
      </c>
      <c r="F38" s="20">
        <v>94.965</v>
      </c>
      <c r="G38" s="29">
        <f t="shared" si="0"/>
        <v>-0.6531592403214025</v>
      </c>
      <c r="H38" s="30">
        <f t="shared" si="1"/>
        <v>-0.3459710743801652</v>
      </c>
      <c r="I38" s="29" t="s">
        <v>280</v>
      </c>
    </row>
    <row r="39" spans="1:9" ht="12.75">
      <c r="A39" s="1" t="s">
        <v>33</v>
      </c>
      <c r="B39" s="1">
        <v>0.7</v>
      </c>
      <c r="C39" s="1">
        <v>0.8</v>
      </c>
      <c r="D39" s="1">
        <v>2.2</v>
      </c>
      <c r="E39" s="1">
        <v>0.98</v>
      </c>
      <c r="F39" s="5">
        <v>2.887309</v>
      </c>
      <c r="G39" s="22">
        <f t="shared" si="0"/>
        <v>3.124727142857143</v>
      </c>
      <c r="H39" s="23">
        <f t="shared" si="1"/>
        <v>2.60913625</v>
      </c>
      <c r="I39" s="22" t="s">
        <v>282</v>
      </c>
    </row>
    <row r="40" spans="1:9" ht="12.75">
      <c r="A40" s="2" t="s">
        <v>83</v>
      </c>
      <c r="B40" s="2" t="s">
        <v>68</v>
      </c>
      <c r="C40" s="2" t="s">
        <v>68</v>
      </c>
      <c r="D40" s="2" t="s">
        <v>68</v>
      </c>
      <c r="E40" s="1">
        <v>0.81</v>
      </c>
      <c r="F40" s="1">
        <v>0.237</v>
      </c>
      <c r="G40" s="22" t="str">
        <f t="shared" si="0"/>
        <v>New Unit</v>
      </c>
      <c r="H40" s="23" t="str">
        <f t="shared" si="1"/>
        <v>New Unit</v>
      </c>
      <c r="I40" s="22" t="s">
        <v>280</v>
      </c>
    </row>
    <row r="41" spans="1:9" ht="12.75">
      <c r="A41" s="2" t="s">
        <v>84</v>
      </c>
      <c r="B41" s="2" t="s">
        <v>68</v>
      </c>
      <c r="C41" s="2" t="s">
        <v>68</v>
      </c>
      <c r="D41" s="2" t="s">
        <v>68</v>
      </c>
      <c r="E41" s="1">
        <v>0.7</v>
      </c>
      <c r="F41" s="1">
        <v>0.152</v>
      </c>
      <c r="G41" s="22" t="str">
        <f t="shared" si="0"/>
        <v>New Unit</v>
      </c>
      <c r="H41" s="23" t="str">
        <f t="shared" si="1"/>
        <v>New Unit</v>
      </c>
      <c r="I41" s="22" t="s">
        <v>280</v>
      </c>
    </row>
    <row r="42" spans="1:9" ht="12.75">
      <c r="A42" s="2" t="s">
        <v>85</v>
      </c>
      <c r="B42" s="2" t="s">
        <v>68</v>
      </c>
      <c r="C42" s="2" t="s">
        <v>68</v>
      </c>
      <c r="D42" s="2" t="s">
        <v>68</v>
      </c>
      <c r="E42" s="1">
        <v>0.81</v>
      </c>
      <c r="F42" s="1">
        <v>0.142</v>
      </c>
      <c r="G42" s="22" t="str">
        <f t="shared" si="0"/>
        <v>New Unit</v>
      </c>
      <c r="H42" s="23" t="str">
        <f t="shared" si="1"/>
        <v>New Unit</v>
      </c>
      <c r="I42" s="22" t="s">
        <v>280</v>
      </c>
    </row>
    <row r="43" spans="1:9" ht="12.75">
      <c r="A43" s="2" t="s">
        <v>90</v>
      </c>
      <c r="B43" s="2" t="s">
        <v>68</v>
      </c>
      <c r="C43" s="2" t="s">
        <v>68</v>
      </c>
      <c r="D43" s="2" t="s">
        <v>68</v>
      </c>
      <c r="E43" s="1">
        <v>1</v>
      </c>
      <c r="F43" s="1">
        <v>0.243</v>
      </c>
      <c r="G43" s="22" t="str">
        <f t="shared" si="0"/>
        <v>New Unit</v>
      </c>
      <c r="H43" s="23" t="str">
        <f t="shared" si="1"/>
        <v>New Unit</v>
      </c>
      <c r="I43" s="22" t="s">
        <v>280</v>
      </c>
    </row>
    <row r="44" spans="1:9" ht="12.75">
      <c r="A44" s="1" t="s">
        <v>34</v>
      </c>
      <c r="B44" s="1" t="s">
        <v>68</v>
      </c>
      <c r="C44" s="1">
        <v>8.5</v>
      </c>
      <c r="D44" s="1">
        <v>49</v>
      </c>
      <c r="E44" s="1">
        <v>40</v>
      </c>
      <c r="F44" s="1">
        <v>48.507</v>
      </c>
      <c r="G44" s="22" t="str">
        <f t="shared" si="0"/>
        <v>New Unit</v>
      </c>
      <c r="H44" s="23">
        <f t="shared" si="1"/>
        <v>4.706705882352941</v>
      </c>
      <c r="I44" s="22" t="s">
        <v>280</v>
      </c>
    </row>
    <row r="45" spans="1:9" ht="12.75">
      <c r="A45" s="1" t="s">
        <v>35</v>
      </c>
      <c r="B45" s="1" t="s">
        <v>68</v>
      </c>
      <c r="C45" s="1">
        <v>8.5</v>
      </c>
      <c r="D45" s="1">
        <v>43.6</v>
      </c>
      <c r="E45" s="1">
        <v>41.7</v>
      </c>
      <c r="F45" s="1">
        <v>48.966</v>
      </c>
      <c r="G45" s="22" t="str">
        <f t="shared" si="0"/>
        <v>New Unit</v>
      </c>
      <c r="H45" s="23">
        <f t="shared" si="1"/>
        <v>4.760705882352942</v>
      </c>
      <c r="I45" s="22" t="s">
        <v>280</v>
      </c>
    </row>
    <row r="46" spans="1:9" ht="12.75">
      <c r="A46" s="1" t="s">
        <v>36</v>
      </c>
      <c r="B46" s="1">
        <v>232.4</v>
      </c>
      <c r="C46" s="1">
        <v>54.9</v>
      </c>
      <c r="D46" s="1">
        <v>22.6</v>
      </c>
      <c r="E46" s="1">
        <v>7.8</v>
      </c>
      <c r="F46" s="1">
        <v>23.795</v>
      </c>
      <c r="G46" s="22">
        <f t="shared" si="0"/>
        <v>-0.8976118760757316</v>
      </c>
      <c r="H46" s="23">
        <f t="shared" si="1"/>
        <v>-0.5665755919854281</v>
      </c>
      <c r="I46" s="22" t="s">
        <v>280</v>
      </c>
    </row>
    <row r="47" spans="1:9" ht="12.75">
      <c r="A47" s="3" t="s">
        <v>37</v>
      </c>
      <c r="B47" s="3">
        <v>306.8</v>
      </c>
      <c r="C47" s="3">
        <v>311.9</v>
      </c>
      <c r="D47" s="3">
        <v>146.9</v>
      </c>
      <c r="E47" s="20">
        <v>23.9</v>
      </c>
      <c r="F47" s="20">
        <v>41.268</v>
      </c>
      <c r="G47" s="29">
        <f t="shared" si="0"/>
        <v>-0.8654889178617993</v>
      </c>
      <c r="H47" s="30">
        <f t="shared" si="1"/>
        <v>-0.8676883616543763</v>
      </c>
      <c r="I47" s="29" t="s">
        <v>280</v>
      </c>
    </row>
    <row r="48" spans="1:9" ht="12.75">
      <c r="A48" s="3" t="s">
        <v>38</v>
      </c>
      <c r="B48" s="3">
        <v>1802.2</v>
      </c>
      <c r="C48" s="3">
        <v>1143.4</v>
      </c>
      <c r="D48" s="3">
        <v>368.9</v>
      </c>
      <c r="E48" s="20">
        <v>50.3</v>
      </c>
      <c r="F48" s="20">
        <v>179.239</v>
      </c>
      <c r="G48" s="29">
        <f t="shared" si="0"/>
        <v>-0.9005443347020309</v>
      </c>
      <c r="H48" s="30">
        <f t="shared" si="1"/>
        <v>-0.8432403358404758</v>
      </c>
      <c r="I48" s="29" t="s">
        <v>280</v>
      </c>
    </row>
    <row r="49" spans="1:9" ht="12.75">
      <c r="A49" s="1" t="s">
        <v>39</v>
      </c>
      <c r="B49" s="1">
        <v>675.8</v>
      </c>
      <c r="C49" s="1">
        <v>102.4</v>
      </c>
      <c r="D49" s="1">
        <v>147.3</v>
      </c>
      <c r="E49" s="1">
        <v>14.78</v>
      </c>
      <c r="F49" s="1" t="s">
        <v>278</v>
      </c>
      <c r="G49" s="22" t="str">
        <f t="shared" si="0"/>
        <v>-100%</v>
      </c>
      <c r="H49" s="23" t="str">
        <f t="shared" si="1"/>
        <v>-100%</v>
      </c>
      <c r="I49" s="22" t="s">
        <v>280</v>
      </c>
    </row>
    <row r="50" spans="1:9" ht="12.75">
      <c r="A50" s="3" t="s">
        <v>40</v>
      </c>
      <c r="B50" s="3">
        <v>801.6</v>
      </c>
      <c r="C50" s="3">
        <v>81.5</v>
      </c>
      <c r="D50" s="3">
        <v>203.3</v>
      </c>
      <c r="E50" s="20">
        <v>16.22</v>
      </c>
      <c r="F50" s="20" t="s">
        <v>278</v>
      </c>
      <c r="G50" s="29" t="str">
        <f t="shared" si="0"/>
        <v>-100%</v>
      </c>
      <c r="H50" s="30" t="str">
        <f t="shared" si="1"/>
        <v>-100%</v>
      </c>
      <c r="I50" s="29" t="s">
        <v>280</v>
      </c>
    </row>
    <row r="51" spans="1:9" ht="12.75">
      <c r="A51" s="1" t="s">
        <v>41</v>
      </c>
      <c r="B51" s="1">
        <v>0.8</v>
      </c>
      <c r="C51" s="1">
        <v>0</v>
      </c>
      <c r="D51" s="1">
        <v>0.6</v>
      </c>
      <c r="E51" s="1">
        <v>0.53</v>
      </c>
      <c r="F51" s="22" t="s">
        <v>278</v>
      </c>
      <c r="G51" s="22" t="str">
        <f t="shared" si="0"/>
        <v>-100%</v>
      </c>
      <c r="H51" s="23" t="str">
        <f t="shared" si="1"/>
        <v>-100%</v>
      </c>
      <c r="I51" s="22" t="s">
        <v>282</v>
      </c>
    </row>
    <row r="52" spans="1:9" ht="15" customHeight="1">
      <c r="A52" s="1" t="s">
        <v>42</v>
      </c>
      <c r="B52" s="1">
        <v>1.4</v>
      </c>
      <c r="C52" s="1">
        <v>3.8</v>
      </c>
      <c r="D52" s="1">
        <v>3.8</v>
      </c>
      <c r="E52" s="1">
        <v>3.85</v>
      </c>
      <c r="F52" s="19">
        <v>5.6787808</v>
      </c>
      <c r="G52" s="22">
        <f t="shared" si="0"/>
        <v>3.056272</v>
      </c>
      <c r="H52" s="23">
        <f t="shared" si="1"/>
        <v>0.49441600000000013</v>
      </c>
      <c r="I52" s="22" t="s">
        <v>305</v>
      </c>
    </row>
    <row r="53" spans="1:9" ht="12.75">
      <c r="A53" s="1" t="s">
        <v>43</v>
      </c>
      <c r="B53" s="1">
        <v>313.4</v>
      </c>
      <c r="C53" s="1">
        <v>105.8</v>
      </c>
      <c r="D53" s="1">
        <v>68.7</v>
      </c>
      <c r="E53" s="1">
        <v>18.16</v>
      </c>
      <c r="F53" s="5">
        <v>0</v>
      </c>
      <c r="G53" s="22">
        <f t="shared" si="0"/>
        <v>-1</v>
      </c>
      <c r="H53" s="23">
        <f t="shared" si="1"/>
        <v>-1</v>
      </c>
      <c r="I53" s="22" t="s">
        <v>280</v>
      </c>
    </row>
    <row r="54" spans="1:9" ht="12.75">
      <c r="A54" s="1" t="s">
        <v>44</v>
      </c>
      <c r="B54" s="1">
        <v>182</v>
      </c>
      <c r="C54" s="1">
        <v>39.9</v>
      </c>
      <c r="D54" s="1">
        <v>14.4</v>
      </c>
      <c r="E54" s="2" t="s">
        <v>91</v>
      </c>
      <c r="F54" s="1"/>
      <c r="G54" s="22" t="str">
        <f t="shared" si="0"/>
        <v>-100%</v>
      </c>
      <c r="H54" s="23" t="str">
        <f t="shared" si="1"/>
        <v>-100%</v>
      </c>
      <c r="I54" s="22" t="s">
        <v>280</v>
      </c>
    </row>
    <row r="55" spans="1:9" ht="12.75">
      <c r="A55" s="1" t="s">
        <v>45</v>
      </c>
      <c r="B55" s="1">
        <v>10.8</v>
      </c>
      <c r="C55" s="1">
        <v>22.2</v>
      </c>
      <c r="D55" s="1">
        <v>19.4</v>
      </c>
      <c r="E55" s="1">
        <v>8.8</v>
      </c>
      <c r="F55" s="1">
        <v>0.714</v>
      </c>
      <c r="G55" s="22">
        <f t="shared" si="0"/>
        <v>-0.9338888888888889</v>
      </c>
      <c r="H55" s="23">
        <f t="shared" si="1"/>
        <v>-0.9678378378378379</v>
      </c>
      <c r="I55" s="22" t="s">
        <v>280</v>
      </c>
    </row>
    <row r="56" spans="1:9" ht="12.75">
      <c r="A56" s="1" t="s">
        <v>46</v>
      </c>
      <c r="B56" s="1">
        <v>3.4</v>
      </c>
      <c r="C56" s="1">
        <v>4.2</v>
      </c>
      <c r="D56" s="1">
        <v>2.9</v>
      </c>
      <c r="E56" s="1">
        <v>1.4</v>
      </c>
      <c r="F56" s="1">
        <v>2.945</v>
      </c>
      <c r="G56" s="22">
        <f t="shared" si="0"/>
        <v>-0.13382352941176473</v>
      </c>
      <c r="H56" s="23">
        <f t="shared" si="1"/>
        <v>-0.29880952380952386</v>
      </c>
      <c r="I56" s="22" t="s">
        <v>280</v>
      </c>
    </row>
    <row r="57" spans="1:9" ht="12.75">
      <c r="A57" s="1" t="s">
        <v>47</v>
      </c>
      <c r="B57" s="1">
        <v>3.4</v>
      </c>
      <c r="C57" s="1">
        <v>4.2</v>
      </c>
      <c r="D57" s="1">
        <v>2.5</v>
      </c>
      <c r="E57" s="1">
        <v>1.39</v>
      </c>
      <c r="F57" s="1">
        <v>2.955</v>
      </c>
      <c r="G57" s="22">
        <f t="shared" si="0"/>
        <v>-0.13088235294117642</v>
      </c>
      <c r="H57" s="23">
        <f t="shared" si="1"/>
        <v>-0.29642857142857143</v>
      </c>
      <c r="I57" s="22" t="s">
        <v>280</v>
      </c>
    </row>
    <row r="58" spans="1:9" ht="12.75">
      <c r="A58" s="1" t="s">
        <v>48</v>
      </c>
      <c r="B58" s="1">
        <v>3</v>
      </c>
      <c r="C58" s="1">
        <v>4.4</v>
      </c>
      <c r="D58" s="1">
        <v>3.2</v>
      </c>
      <c r="E58" s="1">
        <v>1.69</v>
      </c>
      <c r="F58" s="1">
        <v>2.702</v>
      </c>
      <c r="G58" s="22">
        <f t="shared" si="0"/>
        <v>-0.09933333333333334</v>
      </c>
      <c r="H58" s="23">
        <f t="shared" si="1"/>
        <v>-0.385909090909091</v>
      </c>
      <c r="I58" s="22" t="s">
        <v>280</v>
      </c>
    </row>
    <row r="59" spans="1:9" ht="12.75">
      <c r="A59" s="1" t="s">
        <v>49</v>
      </c>
      <c r="B59" s="1">
        <v>3</v>
      </c>
      <c r="C59" s="1">
        <v>4.6</v>
      </c>
      <c r="D59" s="1">
        <v>3.3</v>
      </c>
      <c r="E59" s="1">
        <v>1.6</v>
      </c>
      <c r="F59" s="1">
        <v>2.538</v>
      </c>
      <c r="G59" s="22">
        <f t="shared" si="0"/>
        <v>-0.15400000000000005</v>
      </c>
      <c r="H59" s="23">
        <f t="shared" si="1"/>
        <v>-0.4482608695652174</v>
      </c>
      <c r="I59" s="22" t="s">
        <v>280</v>
      </c>
    </row>
    <row r="60" spans="1:9" ht="12.75">
      <c r="A60" s="1" t="s">
        <v>50</v>
      </c>
      <c r="B60" s="1">
        <v>2.7</v>
      </c>
      <c r="C60" s="1">
        <v>4.2</v>
      </c>
      <c r="D60" s="1">
        <v>5.5</v>
      </c>
      <c r="E60" s="1">
        <v>1.55</v>
      </c>
      <c r="F60" s="1">
        <v>2.701</v>
      </c>
      <c r="G60" s="22">
        <f t="shared" si="0"/>
        <v>0.00037037037037032953</v>
      </c>
      <c r="H60" s="23">
        <f t="shared" si="1"/>
        <v>-0.3569047619047619</v>
      </c>
      <c r="I60" s="22" t="s">
        <v>280</v>
      </c>
    </row>
    <row r="61" spans="1:9" ht="12.75">
      <c r="A61" s="1" t="s">
        <v>51</v>
      </c>
      <c r="B61" s="1">
        <v>2.7</v>
      </c>
      <c r="C61" s="1">
        <v>4.1</v>
      </c>
      <c r="D61" s="1">
        <v>5.2</v>
      </c>
      <c r="E61" s="1">
        <v>1.91</v>
      </c>
      <c r="F61" s="1">
        <v>2.536</v>
      </c>
      <c r="G61" s="22">
        <f t="shared" si="0"/>
        <v>-0.06074074074074079</v>
      </c>
      <c r="H61" s="23">
        <f t="shared" si="1"/>
        <v>-0.3814634146341463</v>
      </c>
      <c r="I61" s="22" t="s">
        <v>280</v>
      </c>
    </row>
    <row r="62" spans="1:9" ht="12.75">
      <c r="A62" s="1" t="s">
        <v>52</v>
      </c>
      <c r="B62" s="1">
        <v>3.1</v>
      </c>
      <c r="C62" s="1">
        <v>3.8</v>
      </c>
      <c r="D62" s="1">
        <v>3.1</v>
      </c>
      <c r="E62" s="1">
        <v>1.68</v>
      </c>
      <c r="F62" s="1">
        <v>2.579</v>
      </c>
      <c r="G62" s="22">
        <f t="shared" si="0"/>
        <v>-0.16806451612903223</v>
      </c>
      <c r="H62" s="23">
        <f t="shared" si="1"/>
        <v>-0.3213157894736841</v>
      </c>
      <c r="I62" s="22" t="s">
        <v>280</v>
      </c>
    </row>
    <row r="63" spans="1:9" ht="12.75">
      <c r="A63" s="1" t="s">
        <v>53</v>
      </c>
      <c r="B63" s="1">
        <v>3.1</v>
      </c>
      <c r="C63" s="1">
        <v>3.7</v>
      </c>
      <c r="D63" s="1">
        <v>3.3</v>
      </c>
      <c r="E63" s="1">
        <v>1.71</v>
      </c>
      <c r="F63" s="1">
        <v>2.522</v>
      </c>
      <c r="G63" s="22">
        <f t="shared" si="0"/>
        <v>-0.1864516129032259</v>
      </c>
      <c r="H63" s="23">
        <f t="shared" si="1"/>
        <v>-0.31837837837837846</v>
      </c>
      <c r="I63" s="22" t="s">
        <v>280</v>
      </c>
    </row>
    <row r="64" spans="1:9" ht="12.75">
      <c r="A64" s="1" t="s">
        <v>54</v>
      </c>
      <c r="B64" s="1">
        <v>1.2</v>
      </c>
      <c r="C64" s="1">
        <v>4</v>
      </c>
      <c r="D64" s="1">
        <v>4</v>
      </c>
      <c r="E64" s="1">
        <v>3.56</v>
      </c>
      <c r="F64" s="1">
        <v>3.34908</v>
      </c>
      <c r="G64" s="22">
        <f t="shared" si="0"/>
        <v>1.7908999999999997</v>
      </c>
      <c r="H64" s="23">
        <f t="shared" si="1"/>
        <v>-0.16273000000000004</v>
      </c>
      <c r="I64" s="22" t="s">
        <v>282</v>
      </c>
    </row>
    <row r="65" spans="1:9" ht="12.75">
      <c r="A65" s="1" t="s">
        <v>55</v>
      </c>
      <c r="B65" s="1">
        <v>2.1</v>
      </c>
      <c r="C65" s="1">
        <v>3.2</v>
      </c>
      <c r="D65" s="1">
        <v>3.2</v>
      </c>
      <c r="E65" s="1">
        <v>3.22</v>
      </c>
      <c r="F65" s="5">
        <v>0.555975</v>
      </c>
      <c r="G65" s="22">
        <f t="shared" si="0"/>
        <v>-0.73525</v>
      </c>
      <c r="H65" s="23">
        <f t="shared" si="1"/>
        <v>-0.8262578125</v>
      </c>
      <c r="I65" s="22" t="s">
        <v>305</v>
      </c>
    </row>
    <row r="66" spans="1:9" ht="12.75">
      <c r="A66" s="1" t="s">
        <v>56</v>
      </c>
      <c r="B66" s="1" t="s">
        <v>68</v>
      </c>
      <c r="C66" s="1">
        <v>8.6</v>
      </c>
      <c r="D66" s="1">
        <v>2.2</v>
      </c>
      <c r="E66" s="1">
        <v>1.6</v>
      </c>
      <c r="F66" s="1">
        <v>0.822</v>
      </c>
      <c r="G66" s="22" t="str">
        <f t="shared" si="0"/>
        <v>New Unit</v>
      </c>
      <c r="H66" s="23">
        <f t="shared" si="1"/>
        <v>-0.9044186046511627</v>
      </c>
      <c r="I66" s="22" t="s">
        <v>280</v>
      </c>
    </row>
    <row r="67" spans="1:9" ht="12.75">
      <c r="A67" s="1" t="s">
        <v>57</v>
      </c>
      <c r="B67" s="1" t="s">
        <v>68</v>
      </c>
      <c r="C67" s="1">
        <v>8.6</v>
      </c>
      <c r="D67" s="1">
        <v>4.4</v>
      </c>
      <c r="E67" s="1">
        <v>1.9</v>
      </c>
      <c r="F67" s="1">
        <v>1.041</v>
      </c>
      <c r="G67" s="22" t="str">
        <f aca="true" t="shared" si="2" ref="G67:G77">IF(B67="NA","New Unit",(IF(ISNUMBER(F67),(F67-B67)/B67,"-100%")))</f>
        <v>New Unit</v>
      </c>
      <c r="H67" s="23">
        <f aca="true" t="shared" si="3" ref="H67:H77">IF(C67="NA","New Unit",(IF(ISNUMBER(F67),(F67-C67)/C67,"-100%")))</f>
        <v>-0.878953488372093</v>
      </c>
      <c r="I67" s="22" t="s">
        <v>280</v>
      </c>
    </row>
    <row r="68" spans="1:9" ht="12.75">
      <c r="A68" s="1" t="s">
        <v>58</v>
      </c>
      <c r="B68" s="1" t="s">
        <v>68</v>
      </c>
      <c r="C68" s="1">
        <v>8.6</v>
      </c>
      <c r="D68" s="1">
        <v>5.9</v>
      </c>
      <c r="E68" s="1">
        <v>2.3</v>
      </c>
      <c r="F68" s="1">
        <v>0.549</v>
      </c>
      <c r="G68" s="22" t="str">
        <f t="shared" si="2"/>
        <v>New Unit</v>
      </c>
      <c r="H68" s="23">
        <f t="shared" si="3"/>
        <v>-0.9361627906976745</v>
      </c>
      <c r="I68" s="22" t="s">
        <v>280</v>
      </c>
    </row>
    <row r="69" spans="1:9" ht="12.75">
      <c r="A69" s="1" t="s">
        <v>59</v>
      </c>
      <c r="B69" s="1" t="s">
        <v>68</v>
      </c>
      <c r="C69" s="1">
        <v>8.6</v>
      </c>
      <c r="D69" s="1">
        <v>2.4</v>
      </c>
      <c r="E69" s="1">
        <v>1.9</v>
      </c>
      <c r="F69" s="1">
        <v>0.763</v>
      </c>
      <c r="G69" s="22" t="str">
        <f t="shared" si="2"/>
        <v>New Unit</v>
      </c>
      <c r="H69" s="23">
        <f t="shared" si="3"/>
        <v>-0.9112790697674419</v>
      </c>
      <c r="I69" s="22" t="s">
        <v>280</v>
      </c>
    </row>
    <row r="70" spans="1:9" ht="12.75">
      <c r="A70" s="1" t="s">
        <v>60</v>
      </c>
      <c r="B70" s="1" t="s">
        <v>68</v>
      </c>
      <c r="C70" s="1">
        <v>8.6</v>
      </c>
      <c r="D70" s="1">
        <v>2.9</v>
      </c>
      <c r="E70" s="1">
        <v>2</v>
      </c>
      <c r="F70" s="1">
        <v>0.443</v>
      </c>
      <c r="G70" s="22" t="str">
        <f t="shared" si="2"/>
        <v>New Unit</v>
      </c>
      <c r="H70" s="23">
        <f t="shared" si="3"/>
        <v>-0.9484883720930233</v>
      </c>
      <c r="I70" s="22" t="s">
        <v>280</v>
      </c>
    </row>
    <row r="71" spans="1:9" ht="12.75">
      <c r="A71" s="2" t="s">
        <v>87</v>
      </c>
      <c r="B71" s="2" t="s">
        <v>68</v>
      </c>
      <c r="C71" s="2" t="s">
        <v>68</v>
      </c>
      <c r="D71" s="2" t="s">
        <v>68</v>
      </c>
      <c r="E71" s="1">
        <v>7.29</v>
      </c>
      <c r="F71" s="1">
        <v>3.731</v>
      </c>
      <c r="G71" s="22" t="str">
        <f t="shared" si="2"/>
        <v>New Unit</v>
      </c>
      <c r="H71" s="23" t="str">
        <f t="shared" si="3"/>
        <v>New Unit</v>
      </c>
      <c r="I71" s="22" t="s">
        <v>280</v>
      </c>
    </row>
    <row r="72" spans="1:9" ht="12.75">
      <c r="A72" s="1" t="s">
        <v>61</v>
      </c>
      <c r="B72" s="1" t="s">
        <v>68</v>
      </c>
      <c r="C72" s="1" t="s">
        <v>68</v>
      </c>
      <c r="D72" s="1">
        <v>0.3</v>
      </c>
      <c r="E72" s="1" t="s">
        <v>92</v>
      </c>
      <c r="F72" s="22">
        <v>2.2469865</v>
      </c>
      <c r="G72" s="22" t="str">
        <f t="shared" si="2"/>
        <v>New Unit</v>
      </c>
      <c r="H72" s="23" t="str">
        <f t="shared" si="3"/>
        <v>New Unit</v>
      </c>
      <c r="I72" s="22" t="s">
        <v>282</v>
      </c>
    </row>
    <row r="73" spans="1:9" ht="12.75">
      <c r="A73" s="1" t="s">
        <v>62</v>
      </c>
      <c r="B73" s="1" t="s">
        <v>68</v>
      </c>
      <c r="C73" s="1" t="s">
        <v>68</v>
      </c>
      <c r="D73" s="1">
        <v>0.3</v>
      </c>
      <c r="E73" s="1" t="s">
        <v>93</v>
      </c>
      <c r="F73" s="22">
        <v>0.95786</v>
      </c>
      <c r="G73" s="22" t="str">
        <f t="shared" si="2"/>
        <v>New Unit</v>
      </c>
      <c r="H73" s="23" t="str">
        <f t="shared" si="3"/>
        <v>New Unit</v>
      </c>
      <c r="I73" s="22" t="s">
        <v>305</v>
      </c>
    </row>
    <row r="74" spans="1:9" ht="12.75">
      <c r="A74" s="1" t="s">
        <v>63</v>
      </c>
      <c r="B74" s="1" t="s">
        <v>68</v>
      </c>
      <c r="C74" s="1" t="s">
        <v>68</v>
      </c>
      <c r="D74" s="1">
        <v>0.4</v>
      </c>
      <c r="E74" s="1" t="s">
        <v>94</v>
      </c>
      <c r="F74" s="22">
        <v>2.804315</v>
      </c>
      <c r="G74" s="22" t="str">
        <f t="shared" si="2"/>
        <v>New Unit</v>
      </c>
      <c r="H74" s="23" t="str">
        <f t="shared" si="3"/>
        <v>New Unit</v>
      </c>
      <c r="I74" s="22" t="s">
        <v>305</v>
      </c>
    </row>
    <row r="75" spans="1:8" s="26" customFormat="1" ht="15.75">
      <c r="A75" s="27" t="s">
        <v>283</v>
      </c>
      <c r="B75" s="27">
        <f>SUM(B3:B74)</f>
        <v>13163.5</v>
      </c>
      <c r="C75" s="27">
        <f>SUM(C3:C74)</f>
        <v>5901.2</v>
      </c>
      <c r="D75" s="27">
        <f>SUM(D3:D74)</f>
        <v>5099.599999999997</v>
      </c>
      <c r="E75" s="27">
        <f>SUM(E2:E74)</f>
        <v>1602.2600000000004</v>
      </c>
      <c r="F75" s="27">
        <f>SUM(F2:F74)</f>
        <v>1971.5665268179998</v>
      </c>
      <c r="G75" s="28">
        <f t="shared" si="2"/>
        <v>-0.8502247482190907</v>
      </c>
      <c r="H75" s="28">
        <f t="shared" si="3"/>
        <v>-0.6659041335968955</v>
      </c>
    </row>
    <row r="76" spans="1:8" s="26" customFormat="1" ht="15.75">
      <c r="A76" s="27" t="s">
        <v>284</v>
      </c>
      <c r="B76" s="27">
        <f>SUM(B50,B47:B48,B37:B38,B13,B10)</f>
        <v>8593.2</v>
      </c>
      <c r="C76" s="27">
        <f>SUM(C50,C47:C48,C37:C38,C13,C10)</f>
        <v>4053.4</v>
      </c>
      <c r="D76" s="27">
        <f>SUM(D50,D47:D48,D37:D38,D13,D10)</f>
        <v>3644.1</v>
      </c>
      <c r="E76" s="27">
        <f>SUM(E50,E47:E48,E37:E38,E13,E10)</f>
        <v>729.8199999999999</v>
      </c>
      <c r="F76" s="27">
        <f>SUM(F50,F47:F48,F37:F38,F13,F10)</f>
        <v>1298.13</v>
      </c>
      <c r="G76" s="28">
        <f t="shared" si="2"/>
        <v>-0.8489352045803659</v>
      </c>
      <c r="H76" s="28">
        <f t="shared" si="3"/>
        <v>-0.6797429318596734</v>
      </c>
    </row>
    <row r="77" spans="1:256" s="26" customFormat="1" ht="18.75" thickBot="1">
      <c r="A77" s="47" t="s">
        <v>291</v>
      </c>
      <c r="B77" s="48">
        <f>B75-B76</f>
        <v>4570.299999999999</v>
      </c>
      <c r="C77" s="48">
        <f>C75-C76</f>
        <v>1847.7999999999997</v>
      </c>
      <c r="D77" s="48">
        <f>D75-D76</f>
        <v>1455.4999999999968</v>
      </c>
      <c r="E77" s="48">
        <f>E75-E76</f>
        <v>872.4400000000005</v>
      </c>
      <c r="F77" s="48">
        <f>F75-F76</f>
        <v>673.4365268179997</v>
      </c>
      <c r="G77" s="49">
        <f t="shared" si="2"/>
        <v>-0.8526493825748857</v>
      </c>
      <c r="H77" s="49">
        <f t="shared" si="3"/>
        <v>-0.6355468520305229</v>
      </c>
      <c r="I77" s="47" t="s">
        <v>291</v>
      </c>
      <c r="J77" s="48">
        <f>J75-J76</f>
        <v>0</v>
      </c>
      <c r="K77" s="48">
        <f>K75-K76</f>
        <v>0</v>
      </c>
      <c r="L77" s="48">
        <f>L75-L76</f>
        <v>0</v>
      </c>
      <c r="M77" s="48">
        <f>M75-M76</f>
        <v>0</v>
      </c>
      <c r="N77" s="48">
        <f>N75-N76</f>
        <v>0</v>
      </c>
      <c r="O77" s="49" t="e">
        <f>IF(J77="NA","New Unit",(IF(ISNUMBER(N77),(N77-J77)/J77,"-100%")))</f>
        <v>#DIV/0!</v>
      </c>
      <c r="P77" s="49" t="e">
        <f>IF(K77="NA","New Unit",(IF(ISNUMBER(N77),(N77-K77)/K77,"-100%")))</f>
        <v>#DIV/0!</v>
      </c>
      <c r="Q77" s="47" t="s">
        <v>291</v>
      </c>
      <c r="R77" s="48">
        <f>R75-R76</f>
        <v>0</v>
      </c>
      <c r="S77" s="48">
        <f>S75-S76</f>
        <v>0</v>
      </c>
      <c r="T77" s="48">
        <f>T75-T76</f>
        <v>0</v>
      </c>
      <c r="U77" s="48">
        <f>U75-U76</f>
        <v>0</v>
      </c>
      <c r="V77" s="48">
        <f>V75-V76</f>
        <v>0</v>
      </c>
      <c r="W77" s="49" t="e">
        <f>IF(R77="NA","New Unit",(IF(ISNUMBER(V77),(V77-R77)/R77,"-100%")))</f>
        <v>#DIV/0!</v>
      </c>
      <c r="X77" s="49" t="e">
        <f>IF(S77="NA","New Unit",(IF(ISNUMBER(V77),(V77-S77)/S77,"-100%")))</f>
        <v>#DIV/0!</v>
      </c>
      <c r="Y77" s="47" t="s">
        <v>291</v>
      </c>
      <c r="Z77" s="48">
        <f>Z75-Z76</f>
        <v>0</v>
      </c>
      <c r="AA77" s="48">
        <f>AA75-AA76</f>
        <v>0</v>
      </c>
      <c r="AB77" s="48">
        <f>AB75-AB76</f>
        <v>0</v>
      </c>
      <c r="AC77" s="48">
        <f>AC75-AC76</f>
        <v>0</v>
      </c>
      <c r="AD77" s="48">
        <f>AD75-AD76</f>
        <v>0</v>
      </c>
      <c r="AE77" s="49" t="e">
        <f>IF(Z77="NA","New Unit",(IF(ISNUMBER(AD77),(AD77-Z77)/Z77,"-100%")))</f>
        <v>#DIV/0!</v>
      </c>
      <c r="AF77" s="49" t="e">
        <f>IF(AA77="NA","New Unit",(IF(ISNUMBER(AD77),(AD77-AA77)/AA77,"-100%")))</f>
        <v>#DIV/0!</v>
      </c>
      <c r="AG77" s="47" t="s">
        <v>291</v>
      </c>
      <c r="AH77" s="48">
        <f>AH75-AH76</f>
        <v>0</v>
      </c>
      <c r="AI77" s="48">
        <f>AI75-AI76</f>
        <v>0</v>
      </c>
      <c r="AJ77" s="48">
        <f>AJ75-AJ76</f>
        <v>0</v>
      </c>
      <c r="AK77" s="48">
        <f>AK75-AK76</f>
        <v>0</v>
      </c>
      <c r="AL77" s="48">
        <f>AL75-AL76</f>
        <v>0</v>
      </c>
      <c r="AM77" s="49" t="e">
        <f>IF(AH77="NA","New Unit",(IF(ISNUMBER(AL77),(AL77-AH77)/AH77,"-100%")))</f>
        <v>#DIV/0!</v>
      </c>
      <c r="AN77" s="49" t="e">
        <f>IF(AI77="NA","New Unit",(IF(ISNUMBER(AL77),(AL77-AI77)/AI77,"-100%")))</f>
        <v>#DIV/0!</v>
      </c>
      <c r="AO77" s="47" t="s">
        <v>291</v>
      </c>
      <c r="AP77" s="48">
        <f>AP75-AP76</f>
        <v>0</v>
      </c>
      <c r="AQ77" s="48">
        <f>AQ75-AQ76</f>
        <v>0</v>
      </c>
      <c r="AR77" s="48">
        <f>AR75-AR76</f>
        <v>0</v>
      </c>
      <c r="AS77" s="48">
        <f>AS75-AS76</f>
        <v>0</v>
      </c>
      <c r="AT77" s="48">
        <f>AT75-AT76</f>
        <v>0</v>
      </c>
      <c r="AU77" s="49" t="e">
        <f>IF(AP77="NA","New Unit",(IF(ISNUMBER(AT77),(AT77-AP77)/AP77,"-100%")))</f>
        <v>#DIV/0!</v>
      </c>
      <c r="AV77" s="49" t="e">
        <f>IF(AQ77="NA","New Unit",(IF(ISNUMBER(AT77),(AT77-AQ77)/AQ77,"-100%")))</f>
        <v>#DIV/0!</v>
      </c>
      <c r="AW77" s="47" t="s">
        <v>291</v>
      </c>
      <c r="AX77" s="48">
        <f>AX75-AX76</f>
        <v>0</v>
      </c>
      <c r="AY77" s="48">
        <f>AY75-AY76</f>
        <v>0</v>
      </c>
      <c r="AZ77" s="48">
        <f>AZ75-AZ76</f>
        <v>0</v>
      </c>
      <c r="BA77" s="48">
        <f>BA75-BA76</f>
        <v>0</v>
      </c>
      <c r="BB77" s="48">
        <f>BB75-BB76</f>
        <v>0</v>
      </c>
      <c r="BC77" s="49" t="e">
        <f>IF(AX77="NA","New Unit",(IF(ISNUMBER(BB77),(BB77-AX77)/AX77,"-100%")))</f>
        <v>#DIV/0!</v>
      </c>
      <c r="BD77" s="49" t="e">
        <f>IF(AY77="NA","New Unit",(IF(ISNUMBER(BB77),(BB77-AY77)/AY77,"-100%")))</f>
        <v>#DIV/0!</v>
      </c>
      <c r="BE77" s="47" t="s">
        <v>291</v>
      </c>
      <c r="BF77" s="48">
        <f>BF75-BF76</f>
        <v>0</v>
      </c>
      <c r="BG77" s="48">
        <f>BG75-BG76</f>
        <v>0</v>
      </c>
      <c r="BH77" s="48">
        <f>BH75-BH76</f>
        <v>0</v>
      </c>
      <c r="BI77" s="48">
        <f>BI75-BI76</f>
        <v>0</v>
      </c>
      <c r="BJ77" s="48">
        <f>BJ75-BJ76</f>
        <v>0</v>
      </c>
      <c r="BK77" s="49" t="e">
        <f>IF(BF77="NA","New Unit",(IF(ISNUMBER(BJ77),(BJ77-BF77)/BF77,"-100%")))</f>
        <v>#DIV/0!</v>
      </c>
      <c r="BL77" s="49" t="e">
        <f>IF(BG77="NA","New Unit",(IF(ISNUMBER(BJ77),(BJ77-BG77)/BG77,"-100%")))</f>
        <v>#DIV/0!</v>
      </c>
      <c r="BM77" s="47" t="s">
        <v>291</v>
      </c>
      <c r="BN77" s="48">
        <f>BN75-BN76</f>
        <v>0</v>
      </c>
      <c r="BO77" s="48">
        <f>BO75-BO76</f>
        <v>0</v>
      </c>
      <c r="BP77" s="48">
        <f>BP75-BP76</f>
        <v>0</v>
      </c>
      <c r="BQ77" s="48">
        <f>BQ75-BQ76</f>
        <v>0</v>
      </c>
      <c r="BR77" s="48">
        <f>BR75-BR76</f>
        <v>0</v>
      </c>
      <c r="BS77" s="49" t="e">
        <f>IF(BN77="NA","New Unit",(IF(ISNUMBER(BR77),(BR77-BN77)/BN77,"-100%")))</f>
        <v>#DIV/0!</v>
      </c>
      <c r="BT77" s="49" t="e">
        <f>IF(BO77="NA","New Unit",(IF(ISNUMBER(BR77),(BR77-BO77)/BO77,"-100%")))</f>
        <v>#DIV/0!</v>
      </c>
      <c r="BU77" s="47" t="s">
        <v>291</v>
      </c>
      <c r="BV77" s="48">
        <f>BV75-BV76</f>
        <v>0</v>
      </c>
      <c r="BW77" s="48">
        <f>BW75-BW76</f>
        <v>0</v>
      </c>
      <c r="BX77" s="48">
        <f>BX75-BX76</f>
        <v>0</v>
      </c>
      <c r="BY77" s="48">
        <f>BY75-BY76</f>
        <v>0</v>
      </c>
      <c r="BZ77" s="48">
        <f>BZ75-BZ76</f>
        <v>0</v>
      </c>
      <c r="CA77" s="49" t="e">
        <f>IF(BV77="NA","New Unit",(IF(ISNUMBER(BZ77),(BZ77-BV77)/BV77,"-100%")))</f>
        <v>#DIV/0!</v>
      </c>
      <c r="CB77" s="49" t="e">
        <f>IF(BW77="NA","New Unit",(IF(ISNUMBER(BZ77),(BZ77-BW77)/BW77,"-100%")))</f>
        <v>#DIV/0!</v>
      </c>
      <c r="CC77" s="47" t="s">
        <v>291</v>
      </c>
      <c r="CD77" s="48">
        <f>CD75-CD76</f>
        <v>0</v>
      </c>
      <c r="CE77" s="48">
        <f>CE75-CE76</f>
        <v>0</v>
      </c>
      <c r="CF77" s="48">
        <f>CF75-CF76</f>
        <v>0</v>
      </c>
      <c r="CG77" s="48">
        <f>CG75-CG76</f>
        <v>0</v>
      </c>
      <c r="CH77" s="48">
        <f>CH75-CH76</f>
        <v>0</v>
      </c>
      <c r="CI77" s="49" t="e">
        <f>IF(CD77="NA","New Unit",(IF(ISNUMBER(CH77),(CH77-CD77)/CD77,"-100%")))</f>
        <v>#DIV/0!</v>
      </c>
      <c r="CJ77" s="49" t="e">
        <f>IF(CE77="NA","New Unit",(IF(ISNUMBER(CH77),(CH77-CE77)/CE77,"-100%")))</f>
        <v>#DIV/0!</v>
      </c>
      <c r="CK77" s="47" t="s">
        <v>291</v>
      </c>
      <c r="CL77" s="48">
        <f>CL75-CL76</f>
        <v>0</v>
      </c>
      <c r="CM77" s="48">
        <f>CM75-CM76</f>
        <v>0</v>
      </c>
      <c r="CN77" s="48">
        <f>CN75-CN76</f>
        <v>0</v>
      </c>
      <c r="CO77" s="48">
        <f>CO75-CO76</f>
        <v>0</v>
      </c>
      <c r="CP77" s="48">
        <f>CP75-CP76</f>
        <v>0</v>
      </c>
      <c r="CQ77" s="49" t="e">
        <f>IF(CL77="NA","New Unit",(IF(ISNUMBER(CP77),(CP77-CL77)/CL77,"-100%")))</f>
        <v>#DIV/0!</v>
      </c>
      <c r="CR77" s="49" t="e">
        <f>IF(CM77="NA","New Unit",(IF(ISNUMBER(CP77),(CP77-CM77)/CM77,"-100%")))</f>
        <v>#DIV/0!</v>
      </c>
      <c r="CS77" s="47" t="s">
        <v>291</v>
      </c>
      <c r="CT77" s="48">
        <f>CT75-CT76</f>
        <v>0</v>
      </c>
      <c r="CU77" s="48">
        <f>CU75-CU76</f>
        <v>0</v>
      </c>
      <c r="CV77" s="48">
        <f>CV75-CV76</f>
        <v>0</v>
      </c>
      <c r="CW77" s="48">
        <f>CW75-CW76</f>
        <v>0</v>
      </c>
      <c r="CX77" s="48">
        <f>CX75-CX76</f>
        <v>0</v>
      </c>
      <c r="CY77" s="49" t="e">
        <f>IF(CT77="NA","New Unit",(IF(ISNUMBER(CX77),(CX77-CT77)/CT77,"-100%")))</f>
        <v>#DIV/0!</v>
      </c>
      <c r="CZ77" s="49" t="e">
        <f>IF(CU77="NA","New Unit",(IF(ISNUMBER(CX77),(CX77-CU77)/CU77,"-100%")))</f>
        <v>#DIV/0!</v>
      </c>
      <c r="DA77" s="47" t="s">
        <v>291</v>
      </c>
      <c r="DB77" s="48">
        <f>DB75-DB76</f>
        <v>0</v>
      </c>
      <c r="DC77" s="48">
        <f>DC75-DC76</f>
        <v>0</v>
      </c>
      <c r="DD77" s="48">
        <f>DD75-DD76</f>
        <v>0</v>
      </c>
      <c r="DE77" s="48">
        <f>DE75-DE76</f>
        <v>0</v>
      </c>
      <c r="DF77" s="48">
        <f>DF75-DF76</f>
        <v>0</v>
      </c>
      <c r="DG77" s="49" t="e">
        <f>IF(DB77="NA","New Unit",(IF(ISNUMBER(DF77),(DF77-DB77)/DB77,"-100%")))</f>
        <v>#DIV/0!</v>
      </c>
      <c r="DH77" s="49" t="e">
        <f>IF(DC77="NA","New Unit",(IF(ISNUMBER(DF77),(DF77-DC77)/DC77,"-100%")))</f>
        <v>#DIV/0!</v>
      </c>
      <c r="DI77" s="47" t="s">
        <v>291</v>
      </c>
      <c r="DJ77" s="48">
        <f>DJ75-DJ76</f>
        <v>0</v>
      </c>
      <c r="DK77" s="48">
        <f>DK75-DK76</f>
        <v>0</v>
      </c>
      <c r="DL77" s="48">
        <f>DL75-DL76</f>
        <v>0</v>
      </c>
      <c r="DM77" s="48">
        <f>DM75-DM76</f>
        <v>0</v>
      </c>
      <c r="DN77" s="48">
        <f>DN75-DN76</f>
        <v>0</v>
      </c>
      <c r="DO77" s="49" t="e">
        <f>IF(DJ77="NA","New Unit",(IF(ISNUMBER(DN77),(DN77-DJ77)/DJ77,"-100%")))</f>
        <v>#DIV/0!</v>
      </c>
      <c r="DP77" s="49" t="e">
        <f>IF(DK77="NA","New Unit",(IF(ISNUMBER(DN77),(DN77-DK77)/DK77,"-100%")))</f>
        <v>#DIV/0!</v>
      </c>
      <c r="DQ77" s="47" t="s">
        <v>291</v>
      </c>
      <c r="DR77" s="48">
        <f>DR75-DR76</f>
        <v>0</v>
      </c>
      <c r="DS77" s="48">
        <f>DS75-DS76</f>
        <v>0</v>
      </c>
      <c r="DT77" s="48">
        <f>DT75-DT76</f>
        <v>0</v>
      </c>
      <c r="DU77" s="48">
        <f>DU75-DU76</f>
        <v>0</v>
      </c>
      <c r="DV77" s="48">
        <f>DV75-DV76</f>
        <v>0</v>
      </c>
      <c r="DW77" s="49" t="e">
        <f>IF(DR77="NA","New Unit",(IF(ISNUMBER(DV77),(DV77-DR77)/DR77,"-100%")))</f>
        <v>#DIV/0!</v>
      </c>
      <c r="DX77" s="49" t="e">
        <f>IF(DS77="NA","New Unit",(IF(ISNUMBER(DV77),(DV77-DS77)/DS77,"-100%")))</f>
        <v>#DIV/0!</v>
      </c>
      <c r="DY77" s="47" t="s">
        <v>291</v>
      </c>
      <c r="DZ77" s="48">
        <f>DZ75-DZ76</f>
        <v>0</v>
      </c>
      <c r="EA77" s="48">
        <f>EA75-EA76</f>
        <v>0</v>
      </c>
      <c r="EB77" s="48">
        <f>EB75-EB76</f>
        <v>0</v>
      </c>
      <c r="EC77" s="48">
        <f>EC75-EC76</f>
        <v>0</v>
      </c>
      <c r="ED77" s="48">
        <f>ED75-ED76</f>
        <v>0</v>
      </c>
      <c r="EE77" s="49" t="e">
        <f>IF(DZ77="NA","New Unit",(IF(ISNUMBER(ED77),(ED77-DZ77)/DZ77,"-100%")))</f>
        <v>#DIV/0!</v>
      </c>
      <c r="EF77" s="49" t="e">
        <f>IF(EA77="NA","New Unit",(IF(ISNUMBER(ED77),(ED77-EA77)/EA77,"-100%")))</f>
        <v>#DIV/0!</v>
      </c>
      <c r="EG77" s="47" t="s">
        <v>291</v>
      </c>
      <c r="EH77" s="48">
        <f>EH75-EH76</f>
        <v>0</v>
      </c>
      <c r="EI77" s="48">
        <f>EI75-EI76</f>
        <v>0</v>
      </c>
      <c r="EJ77" s="48">
        <f>EJ75-EJ76</f>
        <v>0</v>
      </c>
      <c r="EK77" s="48">
        <f>EK75-EK76</f>
        <v>0</v>
      </c>
      <c r="EL77" s="48">
        <f>EL75-EL76</f>
        <v>0</v>
      </c>
      <c r="EM77" s="49" t="e">
        <f>IF(EH77="NA","New Unit",(IF(ISNUMBER(EL77),(EL77-EH77)/EH77,"-100%")))</f>
        <v>#DIV/0!</v>
      </c>
      <c r="EN77" s="49" t="e">
        <f>IF(EI77="NA","New Unit",(IF(ISNUMBER(EL77),(EL77-EI77)/EI77,"-100%")))</f>
        <v>#DIV/0!</v>
      </c>
      <c r="EO77" s="47" t="s">
        <v>291</v>
      </c>
      <c r="EP77" s="48">
        <f>EP75-EP76</f>
        <v>0</v>
      </c>
      <c r="EQ77" s="48">
        <f>EQ75-EQ76</f>
        <v>0</v>
      </c>
      <c r="ER77" s="48">
        <f>ER75-ER76</f>
        <v>0</v>
      </c>
      <c r="ES77" s="48">
        <f>ES75-ES76</f>
        <v>0</v>
      </c>
      <c r="ET77" s="48">
        <f>ET75-ET76</f>
        <v>0</v>
      </c>
      <c r="EU77" s="49" t="e">
        <f>IF(EP77="NA","New Unit",(IF(ISNUMBER(ET77),(ET77-EP77)/EP77,"-100%")))</f>
        <v>#DIV/0!</v>
      </c>
      <c r="EV77" s="49" t="e">
        <f>IF(EQ77="NA","New Unit",(IF(ISNUMBER(ET77),(ET77-EQ77)/EQ77,"-100%")))</f>
        <v>#DIV/0!</v>
      </c>
      <c r="EW77" s="47" t="s">
        <v>291</v>
      </c>
      <c r="EX77" s="48">
        <f>EX75-EX76</f>
        <v>0</v>
      </c>
      <c r="EY77" s="48">
        <f>EY75-EY76</f>
        <v>0</v>
      </c>
      <c r="EZ77" s="48">
        <f>EZ75-EZ76</f>
        <v>0</v>
      </c>
      <c r="FA77" s="48">
        <f>FA75-FA76</f>
        <v>0</v>
      </c>
      <c r="FB77" s="48">
        <f>FB75-FB76</f>
        <v>0</v>
      </c>
      <c r="FC77" s="49" t="e">
        <f>IF(EX77="NA","New Unit",(IF(ISNUMBER(FB77),(FB77-EX77)/EX77,"-100%")))</f>
        <v>#DIV/0!</v>
      </c>
      <c r="FD77" s="49" t="e">
        <f>IF(EY77="NA","New Unit",(IF(ISNUMBER(FB77),(FB77-EY77)/EY77,"-100%")))</f>
        <v>#DIV/0!</v>
      </c>
      <c r="FE77" s="47" t="s">
        <v>291</v>
      </c>
      <c r="FF77" s="48">
        <f>FF75-FF76</f>
        <v>0</v>
      </c>
      <c r="FG77" s="48">
        <f>FG75-FG76</f>
        <v>0</v>
      </c>
      <c r="FH77" s="48">
        <f>FH75-FH76</f>
        <v>0</v>
      </c>
      <c r="FI77" s="48">
        <f>FI75-FI76</f>
        <v>0</v>
      </c>
      <c r="FJ77" s="48">
        <f>FJ75-FJ76</f>
        <v>0</v>
      </c>
      <c r="FK77" s="49" t="e">
        <f>IF(FF77="NA","New Unit",(IF(ISNUMBER(FJ77),(FJ77-FF77)/FF77,"-100%")))</f>
        <v>#DIV/0!</v>
      </c>
      <c r="FL77" s="49" t="e">
        <f>IF(FG77="NA","New Unit",(IF(ISNUMBER(FJ77),(FJ77-FG77)/FG77,"-100%")))</f>
        <v>#DIV/0!</v>
      </c>
      <c r="FM77" s="47" t="s">
        <v>291</v>
      </c>
      <c r="FN77" s="48">
        <f>FN75-FN76</f>
        <v>0</v>
      </c>
      <c r="FO77" s="48">
        <f>FO75-FO76</f>
        <v>0</v>
      </c>
      <c r="FP77" s="48">
        <f>FP75-FP76</f>
        <v>0</v>
      </c>
      <c r="FQ77" s="48">
        <f>FQ75-FQ76</f>
        <v>0</v>
      </c>
      <c r="FR77" s="48">
        <f>FR75-FR76</f>
        <v>0</v>
      </c>
      <c r="FS77" s="49" t="e">
        <f>IF(FN77="NA","New Unit",(IF(ISNUMBER(FR77),(FR77-FN77)/FN77,"-100%")))</f>
        <v>#DIV/0!</v>
      </c>
      <c r="FT77" s="49" t="e">
        <f>IF(FO77="NA","New Unit",(IF(ISNUMBER(FR77),(FR77-FO77)/FO77,"-100%")))</f>
        <v>#DIV/0!</v>
      </c>
      <c r="FU77" s="47" t="s">
        <v>291</v>
      </c>
      <c r="FV77" s="48">
        <f>FV75-FV76</f>
        <v>0</v>
      </c>
      <c r="FW77" s="48">
        <f>FW75-FW76</f>
        <v>0</v>
      </c>
      <c r="FX77" s="48">
        <f>FX75-FX76</f>
        <v>0</v>
      </c>
      <c r="FY77" s="48">
        <f>FY75-FY76</f>
        <v>0</v>
      </c>
      <c r="FZ77" s="48">
        <f>FZ75-FZ76</f>
        <v>0</v>
      </c>
      <c r="GA77" s="49" t="e">
        <f>IF(FV77="NA","New Unit",(IF(ISNUMBER(FZ77),(FZ77-FV77)/FV77,"-100%")))</f>
        <v>#DIV/0!</v>
      </c>
      <c r="GB77" s="49" t="e">
        <f>IF(FW77="NA","New Unit",(IF(ISNUMBER(FZ77),(FZ77-FW77)/FW77,"-100%")))</f>
        <v>#DIV/0!</v>
      </c>
      <c r="GC77" s="47" t="s">
        <v>291</v>
      </c>
      <c r="GD77" s="48">
        <f>GD75-GD76</f>
        <v>0</v>
      </c>
      <c r="GE77" s="48">
        <f>GE75-GE76</f>
        <v>0</v>
      </c>
      <c r="GF77" s="48">
        <f>GF75-GF76</f>
        <v>0</v>
      </c>
      <c r="GG77" s="48">
        <f>GG75-GG76</f>
        <v>0</v>
      </c>
      <c r="GH77" s="48">
        <f>GH75-GH76</f>
        <v>0</v>
      </c>
      <c r="GI77" s="49" t="e">
        <f>IF(GD77="NA","New Unit",(IF(ISNUMBER(GH77),(GH77-GD77)/GD77,"-100%")))</f>
        <v>#DIV/0!</v>
      </c>
      <c r="GJ77" s="49" t="e">
        <f>IF(GE77="NA","New Unit",(IF(ISNUMBER(GH77),(GH77-GE77)/GE77,"-100%")))</f>
        <v>#DIV/0!</v>
      </c>
      <c r="GK77" s="47" t="s">
        <v>291</v>
      </c>
      <c r="GL77" s="48">
        <f>GL75-GL76</f>
        <v>0</v>
      </c>
      <c r="GM77" s="48">
        <f>GM75-GM76</f>
        <v>0</v>
      </c>
      <c r="GN77" s="48">
        <f>GN75-GN76</f>
        <v>0</v>
      </c>
      <c r="GO77" s="48">
        <f>GO75-GO76</f>
        <v>0</v>
      </c>
      <c r="GP77" s="48">
        <f>GP75-GP76</f>
        <v>0</v>
      </c>
      <c r="GQ77" s="49" t="e">
        <f>IF(GL77="NA","New Unit",(IF(ISNUMBER(GP77),(GP77-GL77)/GL77,"-100%")))</f>
        <v>#DIV/0!</v>
      </c>
      <c r="GR77" s="49" t="e">
        <f>IF(GM77="NA","New Unit",(IF(ISNUMBER(GP77),(GP77-GM77)/GM77,"-100%")))</f>
        <v>#DIV/0!</v>
      </c>
      <c r="GS77" s="47" t="s">
        <v>291</v>
      </c>
      <c r="GT77" s="48">
        <f>GT75-GT76</f>
        <v>0</v>
      </c>
      <c r="GU77" s="48">
        <f>GU75-GU76</f>
        <v>0</v>
      </c>
      <c r="GV77" s="48">
        <f>GV75-GV76</f>
        <v>0</v>
      </c>
      <c r="GW77" s="48">
        <f>GW75-GW76</f>
        <v>0</v>
      </c>
      <c r="GX77" s="48">
        <f>GX75-GX76</f>
        <v>0</v>
      </c>
      <c r="GY77" s="49" t="e">
        <f>IF(GT77="NA","New Unit",(IF(ISNUMBER(GX77),(GX77-GT77)/GT77,"-100%")))</f>
        <v>#DIV/0!</v>
      </c>
      <c r="GZ77" s="49" t="e">
        <f>IF(GU77="NA","New Unit",(IF(ISNUMBER(GX77),(GX77-GU77)/GU77,"-100%")))</f>
        <v>#DIV/0!</v>
      </c>
      <c r="HA77" s="47" t="s">
        <v>291</v>
      </c>
      <c r="HB77" s="48">
        <f>HB75-HB76</f>
        <v>0</v>
      </c>
      <c r="HC77" s="48">
        <f>HC75-HC76</f>
        <v>0</v>
      </c>
      <c r="HD77" s="48">
        <f>HD75-HD76</f>
        <v>0</v>
      </c>
      <c r="HE77" s="48">
        <f>HE75-HE76</f>
        <v>0</v>
      </c>
      <c r="HF77" s="48">
        <f>HF75-HF76</f>
        <v>0</v>
      </c>
      <c r="HG77" s="49" t="e">
        <f>IF(HB77="NA","New Unit",(IF(ISNUMBER(HF77),(HF77-HB77)/HB77,"-100%")))</f>
        <v>#DIV/0!</v>
      </c>
      <c r="HH77" s="49" t="e">
        <f>IF(HC77="NA","New Unit",(IF(ISNUMBER(HF77),(HF77-HC77)/HC77,"-100%")))</f>
        <v>#DIV/0!</v>
      </c>
      <c r="HI77" s="47" t="s">
        <v>291</v>
      </c>
      <c r="HJ77" s="48">
        <f>HJ75-HJ76</f>
        <v>0</v>
      </c>
      <c r="HK77" s="48">
        <f>HK75-HK76</f>
        <v>0</v>
      </c>
      <c r="HL77" s="48">
        <f>HL75-HL76</f>
        <v>0</v>
      </c>
      <c r="HM77" s="48">
        <f>HM75-HM76</f>
        <v>0</v>
      </c>
      <c r="HN77" s="48">
        <f>HN75-HN76</f>
        <v>0</v>
      </c>
      <c r="HO77" s="49" t="e">
        <f>IF(HJ77="NA","New Unit",(IF(ISNUMBER(HN77),(HN77-HJ77)/HJ77,"-100%")))</f>
        <v>#DIV/0!</v>
      </c>
      <c r="HP77" s="49" t="e">
        <f>IF(HK77="NA","New Unit",(IF(ISNUMBER(HN77),(HN77-HK77)/HK77,"-100%")))</f>
        <v>#DIV/0!</v>
      </c>
      <c r="HQ77" s="47" t="s">
        <v>291</v>
      </c>
      <c r="HR77" s="48">
        <f>HR75-HR76</f>
        <v>0</v>
      </c>
      <c r="HS77" s="48">
        <f>HS75-HS76</f>
        <v>0</v>
      </c>
      <c r="HT77" s="48">
        <f>HT75-HT76</f>
        <v>0</v>
      </c>
      <c r="HU77" s="48">
        <f>HU75-HU76</f>
        <v>0</v>
      </c>
      <c r="HV77" s="48">
        <f>HV75-HV76</f>
        <v>0</v>
      </c>
      <c r="HW77" s="49" t="e">
        <f>IF(HR77="NA","New Unit",(IF(ISNUMBER(HV77),(HV77-HR77)/HR77,"-100%")))</f>
        <v>#DIV/0!</v>
      </c>
      <c r="HX77" s="49" t="e">
        <f>IF(HS77="NA","New Unit",(IF(ISNUMBER(HV77),(HV77-HS77)/HS77,"-100%")))</f>
        <v>#DIV/0!</v>
      </c>
      <c r="HY77" s="47" t="s">
        <v>291</v>
      </c>
      <c r="HZ77" s="48">
        <f>HZ75-HZ76</f>
        <v>0</v>
      </c>
      <c r="IA77" s="48">
        <f>IA75-IA76</f>
        <v>0</v>
      </c>
      <c r="IB77" s="48">
        <f>IB75-IB76</f>
        <v>0</v>
      </c>
      <c r="IC77" s="48">
        <f>IC75-IC76</f>
        <v>0</v>
      </c>
      <c r="ID77" s="48">
        <f>ID75-ID76</f>
        <v>0</v>
      </c>
      <c r="IE77" s="49" t="e">
        <f>IF(HZ77="NA","New Unit",(IF(ISNUMBER(ID77),(ID77-HZ77)/HZ77,"-100%")))</f>
        <v>#DIV/0!</v>
      </c>
      <c r="IF77" s="49" t="e">
        <f>IF(IA77="NA","New Unit",(IF(ISNUMBER(ID77),(ID77-IA77)/IA77,"-100%")))</f>
        <v>#DIV/0!</v>
      </c>
      <c r="IG77" s="47" t="s">
        <v>291</v>
      </c>
      <c r="IH77" s="48">
        <f>IH75-IH76</f>
        <v>0</v>
      </c>
      <c r="II77" s="48">
        <f>II75-II76</f>
        <v>0</v>
      </c>
      <c r="IJ77" s="48">
        <f>IJ75-IJ76</f>
        <v>0</v>
      </c>
      <c r="IK77" s="48">
        <f>IK75-IK76</f>
        <v>0</v>
      </c>
      <c r="IL77" s="48">
        <f>IL75-IL76</f>
        <v>0</v>
      </c>
      <c r="IM77" s="49" t="e">
        <f>IF(IH77="NA","New Unit",(IF(ISNUMBER(IL77),(IL77-IH77)/IH77,"-100%")))</f>
        <v>#DIV/0!</v>
      </c>
      <c r="IN77" s="49" t="e">
        <f>IF(II77="NA","New Unit",(IF(ISNUMBER(IL77),(IL77-II77)/II77,"-100%")))</f>
        <v>#DIV/0!</v>
      </c>
      <c r="IO77" s="47" t="s">
        <v>291</v>
      </c>
      <c r="IP77" s="48">
        <f>IP75-IP76</f>
        <v>0</v>
      </c>
      <c r="IQ77" s="48">
        <f>IQ75-IQ76</f>
        <v>0</v>
      </c>
      <c r="IR77" s="48">
        <f>IR75-IR76</f>
        <v>0</v>
      </c>
      <c r="IS77" s="48">
        <f>IS75-IS76</f>
        <v>0</v>
      </c>
      <c r="IT77" s="48">
        <f>IT75-IT76</f>
        <v>0</v>
      </c>
      <c r="IU77" s="49" t="e">
        <f>IF(IP77="NA","New Unit",(IF(ISNUMBER(IT77),(IT77-IP77)/IP77,"-100%")))</f>
        <v>#DIV/0!</v>
      </c>
      <c r="IV77" s="49" t="e">
        <f>IF(IQ77="NA","New Unit",(IF(ISNUMBER(IT77),(IT77-IQ77)/IQ77,"-100%")))</f>
        <v>#DIV/0!</v>
      </c>
    </row>
    <row r="78" ht="12.75">
      <c r="A78" s="21" t="s">
        <v>287</v>
      </c>
    </row>
    <row r="79" ht="12.75">
      <c r="A79" s="24" t="s">
        <v>288</v>
      </c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2"/>
  <sheetViews>
    <sheetView zoomScale="75" zoomScaleNormal="75" zoomScalePageLayoutView="0" workbookViewId="0" topLeftCell="A3">
      <pane xSplit="2" ySplit="1" topLeftCell="E24" activePane="bottomRight" state="frozen"/>
      <selection pane="topLeft" activeCell="A3" sqref="A3"/>
      <selection pane="topRight" activeCell="C3" sqref="C3"/>
      <selection pane="bottomLeft" activeCell="A5" sqref="A5"/>
      <selection pane="bottomRight" activeCell="P78" sqref="P78"/>
    </sheetView>
  </sheetViews>
  <sheetFormatPr defaultColWidth="9.140625" defaultRowHeight="12.75"/>
  <cols>
    <col min="1" max="1" width="48.7109375" style="13" customWidth="1"/>
    <col min="2" max="2" width="5.7109375" style="13" hidden="1" customWidth="1"/>
    <col min="3" max="3" width="12.7109375" style="13" customWidth="1"/>
    <col min="4" max="4" width="12.57421875" style="13" customWidth="1"/>
    <col min="5" max="5" width="12.28125" style="14" customWidth="1"/>
    <col min="6" max="8" width="12.7109375" style="15" customWidth="1"/>
    <col min="9" max="14" width="12.7109375" style="13" customWidth="1"/>
    <col min="15" max="15" width="12.7109375" style="14" customWidth="1"/>
    <col min="16" max="16" width="22.421875" style="13" bestFit="1" customWidth="1"/>
    <col min="17" max="19" width="12.7109375" style="13" customWidth="1"/>
    <col min="20" max="20" width="13.421875" style="13" bestFit="1" customWidth="1"/>
    <col min="21" max="21" width="13.28125" style="13" bestFit="1" customWidth="1"/>
    <col min="22" max="26" width="12.7109375" style="13" customWidth="1"/>
    <col min="27" max="16384" width="9.140625" style="13" customWidth="1"/>
  </cols>
  <sheetData>
    <row r="1" spans="1:26" ht="18">
      <c r="A1" s="167" t="s">
        <v>204</v>
      </c>
      <c r="B1" s="167"/>
      <c r="C1" s="167"/>
      <c r="D1" s="167"/>
      <c r="E1" s="167"/>
      <c r="F1" s="168"/>
      <c r="G1" s="168"/>
      <c r="H1" s="168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26" ht="18.75" thickBot="1">
      <c r="A2" s="170" t="s">
        <v>205</v>
      </c>
      <c r="B2" s="170"/>
      <c r="C2" s="170"/>
      <c r="D2" s="170"/>
      <c r="E2" s="170"/>
      <c r="F2" s="170"/>
      <c r="G2" s="170"/>
      <c r="H2" s="170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8" ht="62.25" customHeight="1" thickBot="1">
      <c r="A3" s="109" t="s">
        <v>206</v>
      </c>
      <c r="B3" s="110"/>
      <c r="C3" s="111" t="s">
        <v>207</v>
      </c>
      <c r="D3" s="111" t="s">
        <v>208</v>
      </c>
      <c r="E3" s="111" t="s">
        <v>209</v>
      </c>
      <c r="F3" s="112" t="s">
        <v>210</v>
      </c>
      <c r="G3" s="111" t="s">
        <v>69</v>
      </c>
      <c r="H3" s="111" t="s">
        <v>211</v>
      </c>
      <c r="I3" s="112" t="s">
        <v>212</v>
      </c>
      <c r="J3" s="111" t="s">
        <v>65</v>
      </c>
      <c r="K3" s="111" t="s">
        <v>295</v>
      </c>
      <c r="L3" s="111" t="s">
        <v>296</v>
      </c>
      <c r="M3" s="111" t="s">
        <v>297</v>
      </c>
      <c r="N3" s="111" t="s">
        <v>298</v>
      </c>
      <c r="O3" s="112" t="s">
        <v>213</v>
      </c>
      <c r="P3" s="111" t="s">
        <v>70</v>
      </c>
      <c r="Q3" s="111" t="s">
        <v>295</v>
      </c>
      <c r="R3" s="111" t="s">
        <v>299</v>
      </c>
      <c r="S3" s="111" t="s">
        <v>297</v>
      </c>
      <c r="T3" s="111" t="s">
        <v>300</v>
      </c>
      <c r="U3" s="111" t="s">
        <v>214</v>
      </c>
      <c r="V3" s="111" t="s">
        <v>295</v>
      </c>
      <c r="W3" s="111" t="s">
        <v>301</v>
      </c>
      <c r="X3" s="111" t="s">
        <v>297</v>
      </c>
      <c r="Y3" s="111" t="s">
        <v>302</v>
      </c>
      <c r="Z3" s="111" t="s">
        <v>294</v>
      </c>
      <c r="AB3" s="16"/>
    </row>
    <row r="4" spans="1:28" ht="13.5" thickBot="1">
      <c r="A4" s="86" t="s">
        <v>3</v>
      </c>
      <c r="B4" s="86" t="s">
        <v>215</v>
      </c>
      <c r="C4" s="87">
        <v>923</v>
      </c>
      <c r="D4" s="87">
        <v>8760</v>
      </c>
      <c r="E4" s="87">
        <v>0.29</v>
      </c>
      <c r="F4" s="88">
        <f>($C4*$D4*E4)/2000</f>
        <v>1172.3945999999999</v>
      </c>
      <c r="G4" s="89">
        <v>1172</v>
      </c>
      <c r="H4" s="87">
        <v>0.29</v>
      </c>
      <c r="I4" s="88">
        <f>($C4*$D4*H4)/2000</f>
        <v>1172.3945999999999</v>
      </c>
      <c r="J4" s="89">
        <v>1172</v>
      </c>
      <c r="K4" s="89">
        <v>0.29</v>
      </c>
      <c r="L4" s="90">
        <f>$C4*(3672*K4)/2000</f>
        <v>491.44211999999993</v>
      </c>
      <c r="M4" s="89">
        <v>0.15</v>
      </c>
      <c r="N4" s="90">
        <f>$C4*(5088*M4)/2000</f>
        <v>352.2168</v>
      </c>
      <c r="O4" s="90">
        <f>L4+N4</f>
        <v>843.6589199999999</v>
      </c>
      <c r="P4" s="89">
        <v>1172</v>
      </c>
      <c r="Q4" s="89">
        <v>0.29</v>
      </c>
      <c r="R4" s="90">
        <f>$C4*(3672*Q4)/2000</f>
        <v>491.44211999999993</v>
      </c>
      <c r="S4" s="89">
        <v>0.15</v>
      </c>
      <c r="T4" s="90">
        <f>$C4*(5088*S4)/2000</f>
        <v>352.2168</v>
      </c>
      <c r="U4" s="89">
        <v>1172</v>
      </c>
      <c r="V4" s="161" t="s">
        <v>277</v>
      </c>
      <c r="W4" s="162"/>
      <c r="X4" s="162"/>
      <c r="Y4" s="162"/>
      <c r="Z4" s="163"/>
      <c r="AB4" s="16"/>
    </row>
    <row r="5" spans="1:26" ht="13.5" thickBot="1">
      <c r="A5" s="86" t="s">
        <v>5</v>
      </c>
      <c r="B5" s="86" t="s">
        <v>216</v>
      </c>
      <c r="C5" s="87">
        <v>923</v>
      </c>
      <c r="D5" s="87">
        <v>8760</v>
      </c>
      <c r="E5" s="87">
        <v>0.29</v>
      </c>
      <c r="F5" s="88">
        <f>($C5*$D5*E5)/2000</f>
        <v>1172.3945999999999</v>
      </c>
      <c r="G5" s="89">
        <v>1172</v>
      </c>
      <c r="H5" s="87">
        <v>0.29</v>
      </c>
      <c r="I5" s="88">
        <f>($C5*$D5*H5)/2000</f>
        <v>1172.3945999999999</v>
      </c>
      <c r="J5" s="89">
        <v>1172</v>
      </c>
      <c r="K5" s="89">
        <v>0.29</v>
      </c>
      <c r="L5" s="90">
        <f>$C5*(3672*K5)/2000</f>
        <v>491.44211999999993</v>
      </c>
      <c r="M5" s="89">
        <v>0.15</v>
      </c>
      <c r="N5" s="90">
        <f>$C5*(5088*M5)/2000</f>
        <v>352.2168</v>
      </c>
      <c r="O5" s="90">
        <f>L5+N5</f>
        <v>843.6589199999999</v>
      </c>
      <c r="P5" s="89">
        <v>1172</v>
      </c>
      <c r="Q5" s="89">
        <v>0.29</v>
      </c>
      <c r="R5" s="90">
        <f>$C5*(3672*Q5)/2000</f>
        <v>491.44211999999993</v>
      </c>
      <c r="S5" s="89">
        <v>0.15</v>
      </c>
      <c r="T5" s="90">
        <f>$C5*(5088*S5)/2000</f>
        <v>352.2168</v>
      </c>
      <c r="U5" s="89">
        <v>1172</v>
      </c>
      <c r="V5" s="164"/>
      <c r="W5" s="165"/>
      <c r="X5" s="165"/>
      <c r="Y5" s="165"/>
      <c r="Z5" s="166"/>
    </row>
    <row r="6" spans="1:28" ht="34.5" customHeight="1" thickBot="1">
      <c r="A6" s="86" t="s">
        <v>6</v>
      </c>
      <c r="B6" s="86" t="s">
        <v>217</v>
      </c>
      <c r="C6" s="87" t="s">
        <v>218</v>
      </c>
      <c r="D6" s="87">
        <v>8760</v>
      </c>
      <c r="E6" s="87"/>
      <c r="F6" s="88"/>
      <c r="G6" s="89">
        <v>486.6</v>
      </c>
      <c r="H6" s="87"/>
      <c r="I6" s="88"/>
      <c r="J6" s="89">
        <v>486.6</v>
      </c>
      <c r="K6" s="89">
        <v>0.246</v>
      </c>
      <c r="L6" s="89">
        <f>555*(3672*K6)/2000</f>
        <v>250.66908</v>
      </c>
      <c r="M6" s="89">
        <v>0.15</v>
      </c>
      <c r="N6" s="90">
        <f>555*(5088*M6)/2000</f>
        <v>211.78799999999998</v>
      </c>
      <c r="O6" s="90">
        <f>L6+N6</f>
        <v>462.45708</v>
      </c>
      <c r="P6" s="89">
        <v>486.6</v>
      </c>
      <c r="Q6" s="89">
        <v>0.246</v>
      </c>
      <c r="R6" s="89">
        <f>555*(3672*Q6)/2000</f>
        <v>250.66908</v>
      </c>
      <c r="S6" s="89">
        <v>0.15</v>
      </c>
      <c r="T6" s="90">
        <f>555*(5088*S6)/2000</f>
        <v>211.78799999999998</v>
      </c>
      <c r="U6" s="89">
        <v>462</v>
      </c>
      <c r="V6" s="89">
        <v>0.246</v>
      </c>
      <c r="W6" s="89">
        <f>555*(3672*V6)/2000</f>
        <v>250.66908</v>
      </c>
      <c r="X6" s="89">
        <v>0.15</v>
      </c>
      <c r="Y6" s="90">
        <f>555*(5088*X6)/2000</f>
        <v>211.78799999999998</v>
      </c>
      <c r="Z6" s="89">
        <v>462</v>
      </c>
      <c r="AB6" s="16"/>
    </row>
    <row r="7" spans="1:26" ht="30" customHeight="1" thickBot="1">
      <c r="A7" s="86" t="s">
        <v>219</v>
      </c>
      <c r="B7" s="86"/>
      <c r="C7" s="87" t="s">
        <v>220</v>
      </c>
      <c r="D7" s="87">
        <v>8760</v>
      </c>
      <c r="E7" s="87"/>
      <c r="F7" s="88"/>
      <c r="G7" s="89"/>
      <c r="H7" s="87"/>
      <c r="I7" s="88"/>
      <c r="J7" s="89"/>
      <c r="K7" s="89"/>
      <c r="L7" s="89"/>
      <c r="M7" s="89">
        <v>0.15</v>
      </c>
      <c r="N7" s="90">
        <f>1215*(5088*M7)/2000</f>
        <v>463.64399999999995</v>
      </c>
      <c r="O7" s="90"/>
      <c r="P7" s="89"/>
      <c r="Q7" s="89"/>
      <c r="R7" s="89"/>
      <c r="S7" s="89">
        <v>0.15</v>
      </c>
      <c r="T7" s="90">
        <f>1215*(5088*S7)/2000</f>
        <v>463.64399999999995</v>
      </c>
      <c r="U7" s="89">
        <v>14.9</v>
      </c>
      <c r="V7" s="89"/>
      <c r="W7" s="89"/>
      <c r="X7" s="89">
        <v>0.15</v>
      </c>
      <c r="Y7" s="90">
        <f>1215*(5088*X7)/2000</f>
        <v>463.64399999999995</v>
      </c>
      <c r="Z7" s="89">
        <v>14.9</v>
      </c>
    </row>
    <row r="8" spans="1:26" ht="13.5" thickBot="1">
      <c r="A8" s="86" t="s">
        <v>7</v>
      </c>
      <c r="B8" s="86" t="s">
        <v>221</v>
      </c>
      <c r="C8" s="87">
        <v>270</v>
      </c>
      <c r="D8" s="87">
        <v>8760</v>
      </c>
      <c r="E8" s="87">
        <v>0.9</v>
      </c>
      <c r="F8" s="88">
        <f>($C8*$D8*E8)/2000</f>
        <v>1064.34</v>
      </c>
      <c r="G8" s="89">
        <v>1064</v>
      </c>
      <c r="H8" s="89">
        <v>0.29</v>
      </c>
      <c r="I8" s="88">
        <f>($C8*$D8*H8)/2000</f>
        <v>342.954</v>
      </c>
      <c r="J8" s="89">
        <v>343</v>
      </c>
      <c r="K8" s="89">
        <v>0.29</v>
      </c>
      <c r="L8" s="90">
        <f aca="true" t="shared" si="0" ref="L8:L13">$C8*(3672*K8)/2000</f>
        <v>143.75879999999998</v>
      </c>
      <c r="M8" s="89">
        <v>0.15</v>
      </c>
      <c r="N8" s="90">
        <f aca="true" t="shared" si="1" ref="N8:N13">$C8*(5088*M8)/2000</f>
        <v>103.03199999999998</v>
      </c>
      <c r="O8" s="90">
        <f>L8+N8</f>
        <v>246.79079999999996</v>
      </c>
      <c r="P8" s="89">
        <v>247</v>
      </c>
      <c r="Q8" s="89">
        <v>0.29</v>
      </c>
      <c r="R8" s="90">
        <f aca="true" t="shared" si="2" ref="R8:R13">$C8*(3672*Q8)/2000</f>
        <v>143.75879999999998</v>
      </c>
      <c r="S8" s="89">
        <v>0.15</v>
      </c>
      <c r="T8" s="90">
        <f aca="true" t="shared" si="3" ref="T8:T18">$C8*(5088*S8)/2000</f>
        <v>103.03199999999998</v>
      </c>
      <c r="U8" s="89">
        <f>P8</f>
        <v>247</v>
      </c>
      <c r="V8" s="89">
        <v>0.29</v>
      </c>
      <c r="W8" s="90">
        <f aca="true" t="shared" si="4" ref="W8:W13">$C8*(3672*V8)/2000</f>
        <v>143.75879999999998</v>
      </c>
      <c r="X8" s="89">
        <v>0.15</v>
      </c>
      <c r="Y8" s="90">
        <f aca="true" t="shared" si="5" ref="Y8:Y18">$C8*(5088*X8)/2000</f>
        <v>103.03199999999998</v>
      </c>
      <c r="Z8" s="89">
        <f>U8</f>
        <v>247</v>
      </c>
    </row>
    <row r="9" spans="1:26" ht="13.5" thickBot="1">
      <c r="A9" s="86" t="s">
        <v>8</v>
      </c>
      <c r="B9" s="86" t="s">
        <v>120</v>
      </c>
      <c r="C9" s="87">
        <v>1884</v>
      </c>
      <c r="D9" s="87">
        <v>8760</v>
      </c>
      <c r="E9" s="87"/>
      <c r="F9" s="88"/>
      <c r="G9" s="89" t="s">
        <v>68</v>
      </c>
      <c r="H9" s="89"/>
      <c r="I9" s="89"/>
      <c r="J9" s="91">
        <f>532.7/2</f>
        <v>266.35</v>
      </c>
      <c r="K9" s="89">
        <v>0.3</v>
      </c>
      <c r="L9" s="90">
        <f t="shared" si="0"/>
        <v>1037.7072</v>
      </c>
      <c r="M9" s="89">
        <v>0.15</v>
      </c>
      <c r="N9" s="90">
        <f t="shared" si="1"/>
        <v>718.9343999999999</v>
      </c>
      <c r="O9" s="89"/>
      <c r="P9" s="91">
        <f>532.7/2</f>
        <v>266.35</v>
      </c>
      <c r="Q9" s="89">
        <v>0.3</v>
      </c>
      <c r="R9" s="90">
        <f t="shared" si="2"/>
        <v>1037.7072</v>
      </c>
      <c r="S9" s="89">
        <v>0.15</v>
      </c>
      <c r="T9" s="90">
        <f t="shared" si="3"/>
        <v>718.9343999999999</v>
      </c>
      <c r="U9" s="91">
        <f>532.7/2</f>
        <v>266.35</v>
      </c>
      <c r="V9" s="89">
        <v>0.3</v>
      </c>
      <c r="W9" s="90">
        <f t="shared" si="4"/>
        <v>1037.7072</v>
      </c>
      <c r="X9" s="89">
        <v>0.15</v>
      </c>
      <c r="Y9" s="90">
        <f t="shared" si="5"/>
        <v>718.9343999999999</v>
      </c>
      <c r="Z9" s="91">
        <f>362.9/2</f>
        <v>181.45</v>
      </c>
    </row>
    <row r="10" spans="1:26" ht="17.25" customHeight="1" thickBot="1">
      <c r="A10" s="86" t="s">
        <v>10</v>
      </c>
      <c r="B10" s="86" t="s">
        <v>121</v>
      </c>
      <c r="C10" s="87">
        <v>1884</v>
      </c>
      <c r="D10" s="87">
        <v>8760</v>
      </c>
      <c r="E10" s="87"/>
      <c r="F10" s="88"/>
      <c r="G10" s="89" t="s">
        <v>68</v>
      </c>
      <c r="H10" s="89"/>
      <c r="I10" s="89"/>
      <c r="J10" s="91">
        <f>532.7/2</f>
        <v>266.35</v>
      </c>
      <c r="K10" s="89">
        <v>0.3</v>
      </c>
      <c r="L10" s="90">
        <f t="shared" si="0"/>
        <v>1037.7072</v>
      </c>
      <c r="M10" s="89">
        <v>0.15</v>
      </c>
      <c r="N10" s="90">
        <f t="shared" si="1"/>
        <v>718.9343999999999</v>
      </c>
      <c r="O10" s="89"/>
      <c r="P10" s="91">
        <f>532.7/2</f>
        <v>266.35</v>
      </c>
      <c r="Q10" s="89">
        <v>0.3</v>
      </c>
      <c r="R10" s="90">
        <f t="shared" si="2"/>
        <v>1037.7072</v>
      </c>
      <c r="S10" s="89">
        <v>0.15</v>
      </c>
      <c r="T10" s="90">
        <f t="shared" si="3"/>
        <v>718.9343999999999</v>
      </c>
      <c r="U10" s="91">
        <f>532.7/2</f>
        <v>266.35</v>
      </c>
      <c r="V10" s="89">
        <v>0.3</v>
      </c>
      <c r="W10" s="90">
        <f t="shared" si="4"/>
        <v>1037.7072</v>
      </c>
      <c r="X10" s="89">
        <v>0.15</v>
      </c>
      <c r="Y10" s="90">
        <f t="shared" si="5"/>
        <v>718.9343999999999</v>
      </c>
      <c r="Z10" s="91">
        <f>362.9/2</f>
        <v>181.45</v>
      </c>
    </row>
    <row r="11" spans="1:26" s="18" customFormat="1" ht="13.5" thickBot="1">
      <c r="A11" s="86" t="s">
        <v>11</v>
      </c>
      <c r="B11" s="86" t="s">
        <v>222</v>
      </c>
      <c r="C11" s="87">
        <v>1785</v>
      </c>
      <c r="D11" s="87">
        <v>8760</v>
      </c>
      <c r="E11" s="87">
        <v>0.9</v>
      </c>
      <c r="F11" s="88">
        <f>($C11*$D11*E11)/2000</f>
        <v>7036.47</v>
      </c>
      <c r="G11" s="89">
        <v>7036</v>
      </c>
      <c r="H11" s="89">
        <v>0.43</v>
      </c>
      <c r="I11" s="88">
        <f>($C11*$D11*H11)/2000</f>
        <v>3361.869</v>
      </c>
      <c r="J11" s="89">
        <v>192</v>
      </c>
      <c r="K11" s="89">
        <v>0.43</v>
      </c>
      <c r="L11" s="90">
        <f t="shared" si="0"/>
        <v>1409.2218</v>
      </c>
      <c r="M11" s="89">
        <v>0.15</v>
      </c>
      <c r="N11" s="90">
        <f t="shared" si="1"/>
        <v>681.1559999999998</v>
      </c>
      <c r="O11" s="90">
        <f>L11+N11</f>
        <v>2090.3777999999998</v>
      </c>
      <c r="P11" s="89">
        <v>192</v>
      </c>
      <c r="Q11" s="89">
        <v>0.43</v>
      </c>
      <c r="R11" s="90">
        <f t="shared" si="2"/>
        <v>1409.2218</v>
      </c>
      <c r="S11" s="89">
        <v>0.15</v>
      </c>
      <c r="T11" s="90">
        <f t="shared" si="3"/>
        <v>681.1559999999998</v>
      </c>
      <c r="U11" s="89">
        <f>P11</f>
        <v>192</v>
      </c>
      <c r="V11" s="158" t="s">
        <v>278</v>
      </c>
      <c r="W11" s="159"/>
      <c r="X11" s="159"/>
      <c r="Y11" s="159"/>
      <c r="Z11" s="160"/>
    </row>
    <row r="12" spans="1:26" s="18" customFormat="1" ht="13.5" thickBot="1">
      <c r="A12" s="148" t="s">
        <v>12</v>
      </c>
      <c r="B12" s="148" t="s">
        <v>223</v>
      </c>
      <c r="C12" s="149">
        <v>4100</v>
      </c>
      <c r="D12" s="149">
        <v>8760</v>
      </c>
      <c r="E12" s="149">
        <v>0.9</v>
      </c>
      <c r="F12" s="150">
        <f>($C12*$D12*E12)/2000</f>
        <v>16162.2</v>
      </c>
      <c r="G12" s="151">
        <v>16162</v>
      </c>
      <c r="H12" s="149">
        <v>0.38</v>
      </c>
      <c r="I12" s="150">
        <f>($C12*$D12*H12)/2000</f>
        <v>6824.04</v>
      </c>
      <c r="J12" s="151">
        <v>6824</v>
      </c>
      <c r="K12" s="151">
        <v>0.38</v>
      </c>
      <c r="L12" s="152">
        <f t="shared" si="0"/>
        <v>2860.4880000000003</v>
      </c>
      <c r="M12" s="151">
        <v>0.15</v>
      </c>
      <c r="N12" s="152">
        <f t="shared" si="1"/>
        <v>1564.5599999999997</v>
      </c>
      <c r="O12" s="152">
        <f>L12+N12</f>
        <v>4425.048</v>
      </c>
      <c r="P12" s="151">
        <v>4425</v>
      </c>
      <c r="Q12" s="151">
        <v>0.38</v>
      </c>
      <c r="R12" s="152">
        <f t="shared" si="2"/>
        <v>2860.4880000000003</v>
      </c>
      <c r="S12" s="151">
        <v>0.15</v>
      </c>
      <c r="T12" s="152">
        <f t="shared" si="3"/>
        <v>1564.5599999999997</v>
      </c>
      <c r="U12" s="151">
        <f>P12</f>
        <v>4425</v>
      </c>
      <c r="V12" s="151">
        <v>0.38</v>
      </c>
      <c r="W12" s="152">
        <f t="shared" si="4"/>
        <v>2860.4880000000003</v>
      </c>
      <c r="X12" s="151">
        <v>0.15</v>
      </c>
      <c r="Y12" s="152">
        <f t="shared" si="5"/>
        <v>1564.5599999999997</v>
      </c>
      <c r="Z12" s="151">
        <f>U12</f>
        <v>4425</v>
      </c>
    </row>
    <row r="13" spans="1:26" ht="13.5" thickBot="1">
      <c r="A13" s="86" t="s">
        <v>13</v>
      </c>
      <c r="B13" s="86" t="s">
        <v>224</v>
      </c>
      <c r="C13" s="87">
        <v>300</v>
      </c>
      <c r="D13" s="87">
        <v>8760</v>
      </c>
      <c r="E13" s="87">
        <v>0.9</v>
      </c>
      <c r="F13" s="88">
        <f>($C13*$D13*E13)/2000</f>
        <v>1182.6</v>
      </c>
      <c r="G13" s="89">
        <v>1183</v>
      </c>
      <c r="H13" s="89">
        <v>0.29</v>
      </c>
      <c r="I13" s="88">
        <f>($C13*$D13*H13)/2000</f>
        <v>381.06</v>
      </c>
      <c r="J13" s="89">
        <v>381</v>
      </c>
      <c r="K13" s="89">
        <v>0.29</v>
      </c>
      <c r="L13" s="90">
        <f t="shared" si="0"/>
        <v>159.73199999999997</v>
      </c>
      <c r="M13" s="89">
        <v>0.15</v>
      </c>
      <c r="N13" s="90">
        <f t="shared" si="1"/>
        <v>114.47999999999999</v>
      </c>
      <c r="O13" s="90">
        <f>L13+N13</f>
        <v>274.212</v>
      </c>
      <c r="P13" s="89">
        <v>274</v>
      </c>
      <c r="Q13" s="89">
        <v>0.29</v>
      </c>
      <c r="R13" s="90">
        <f t="shared" si="2"/>
        <v>159.73199999999997</v>
      </c>
      <c r="S13" s="89">
        <v>0.15</v>
      </c>
      <c r="T13" s="90">
        <f t="shared" si="3"/>
        <v>114.47999999999999</v>
      </c>
      <c r="U13" s="89">
        <f>P13</f>
        <v>274</v>
      </c>
      <c r="V13" s="89">
        <v>0.29</v>
      </c>
      <c r="W13" s="90">
        <f t="shared" si="4"/>
        <v>159.73199999999997</v>
      </c>
      <c r="X13" s="89">
        <v>0.15</v>
      </c>
      <c r="Y13" s="90">
        <f t="shared" si="5"/>
        <v>114.47999999999999</v>
      </c>
      <c r="Z13" s="89">
        <f>U13</f>
        <v>274</v>
      </c>
    </row>
    <row r="14" spans="1:26" ht="27.75" customHeight="1" thickBot="1">
      <c r="A14" s="86" t="s">
        <v>14</v>
      </c>
      <c r="B14" s="86" t="s">
        <v>225</v>
      </c>
      <c r="C14" s="87">
        <v>548.2</v>
      </c>
      <c r="D14" s="87">
        <v>8760</v>
      </c>
      <c r="E14" s="87"/>
      <c r="F14" s="88"/>
      <c r="G14" s="89">
        <v>700</v>
      </c>
      <c r="H14" s="87"/>
      <c r="I14" s="88"/>
      <c r="J14" s="89">
        <v>700</v>
      </c>
      <c r="K14" s="89"/>
      <c r="L14" s="89"/>
      <c r="M14" s="89"/>
      <c r="N14" s="89"/>
      <c r="O14" s="90"/>
      <c r="P14" s="89">
        <v>700</v>
      </c>
      <c r="Q14" s="89"/>
      <c r="R14" s="89"/>
      <c r="S14" s="89">
        <v>0.15</v>
      </c>
      <c r="T14" s="90">
        <f t="shared" si="3"/>
        <v>209.19312</v>
      </c>
      <c r="U14" s="89">
        <v>642.1</v>
      </c>
      <c r="V14" s="89"/>
      <c r="W14" s="89"/>
      <c r="X14" s="89">
        <v>0.15</v>
      </c>
      <c r="Y14" s="90">
        <f t="shared" si="5"/>
        <v>209.19312</v>
      </c>
      <c r="Z14" s="89">
        <v>642.1</v>
      </c>
    </row>
    <row r="15" spans="1:26" ht="13.5" thickBot="1">
      <c r="A15" s="148" t="s">
        <v>15</v>
      </c>
      <c r="B15" s="148" t="s">
        <v>226</v>
      </c>
      <c r="C15" s="149">
        <v>275</v>
      </c>
      <c r="D15" s="149">
        <v>8760</v>
      </c>
      <c r="E15" s="149">
        <v>0.3</v>
      </c>
      <c r="F15" s="150">
        <f aca="true" t="shared" si="6" ref="F15:F23">($C15*$D15*E15)/2000</f>
        <v>361.35</v>
      </c>
      <c r="G15" s="151">
        <v>361</v>
      </c>
      <c r="H15" s="149">
        <v>0.25</v>
      </c>
      <c r="I15" s="150">
        <f>($C15*$D15*H15)/2000</f>
        <v>301.125</v>
      </c>
      <c r="J15" s="151">
        <v>301</v>
      </c>
      <c r="K15" s="151">
        <v>0.25</v>
      </c>
      <c r="L15" s="152">
        <f aca="true" t="shared" si="7" ref="L15:L22">$C15*(3672*K15)/2000</f>
        <v>126.225</v>
      </c>
      <c r="M15" s="151">
        <v>0.15</v>
      </c>
      <c r="N15" s="152">
        <f>$C15*(5088*M15)/2000</f>
        <v>104.93999999999998</v>
      </c>
      <c r="O15" s="152">
        <f>L15+N15</f>
        <v>231.16499999999996</v>
      </c>
      <c r="P15" s="151">
        <v>231</v>
      </c>
      <c r="Q15" s="151">
        <v>0.25</v>
      </c>
      <c r="R15" s="152">
        <f>$C15*(3672*Q15)/2000</f>
        <v>126.225</v>
      </c>
      <c r="S15" s="151">
        <v>0.15</v>
      </c>
      <c r="T15" s="153">
        <f t="shared" si="3"/>
        <v>104.93999999999998</v>
      </c>
      <c r="U15" s="154">
        <f>P15</f>
        <v>231</v>
      </c>
      <c r="V15" s="151">
        <v>0.25</v>
      </c>
      <c r="W15" s="152">
        <f>$C15*(3672*V15)/2000</f>
        <v>126.225</v>
      </c>
      <c r="X15" s="151">
        <v>0.15</v>
      </c>
      <c r="Y15" s="152">
        <f t="shared" si="5"/>
        <v>104.93999999999998</v>
      </c>
      <c r="Z15" s="154">
        <f>U15</f>
        <v>231</v>
      </c>
    </row>
    <row r="16" spans="1:26" ht="13.5" thickBot="1">
      <c r="A16" s="86" t="s">
        <v>16</v>
      </c>
      <c r="B16" s="86" t="s">
        <v>227</v>
      </c>
      <c r="C16" s="87">
        <v>255</v>
      </c>
      <c r="D16" s="87">
        <v>8760</v>
      </c>
      <c r="E16" s="87">
        <v>0.9</v>
      </c>
      <c r="F16" s="88">
        <f t="shared" si="6"/>
        <v>1005.21</v>
      </c>
      <c r="G16" s="89">
        <v>1005</v>
      </c>
      <c r="H16" s="89">
        <v>0.29</v>
      </c>
      <c r="I16" s="88">
        <f aca="true" t="shared" si="8" ref="I16:I22">($C16*$D16*H16)/2000</f>
        <v>323.901</v>
      </c>
      <c r="J16" s="89">
        <v>324</v>
      </c>
      <c r="K16" s="89">
        <v>0.29</v>
      </c>
      <c r="L16" s="90">
        <f t="shared" si="7"/>
        <v>135.77219999999997</v>
      </c>
      <c r="M16" s="89">
        <v>0.15</v>
      </c>
      <c r="N16" s="90">
        <f>$C16*(5088*M16)/2000</f>
        <v>97.30799999999998</v>
      </c>
      <c r="O16" s="90">
        <f aca="true" t="shared" si="9" ref="O16:O23">L16+N16</f>
        <v>233.08019999999993</v>
      </c>
      <c r="P16" s="89">
        <v>233</v>
      </c>
      <c r="Q16" s="89">
        <v>0.29</v>
      </c>
      <c r="R16" s="90">
        <f>$C16*(3672*Q16)/2000</f>
        <v>135.77219999999997</v>
      </c>
      <c r="S16" s="89">
        <v>0.15</v>
      </c>
      <c r="T16" s="134">
        <f t="shared" si="3"/>
        <v>97.30799999999998</v>
      </c>
      <c r="U16" s="137">
        <f>P16</f>
        <v>233</v>
      </c>
      <c r="V16" s="100">
        <v>0.29</v>
      </c>
      <c r="W16" s="90">
        <f>$C16*(3672*V16)/2000</f>
        <v>135.77219999999997</v>
      </c>
      <c r="X16" s="89">
        <v>0.15</v>
      </c>
      <c r="Y16" s="134">
        <f t="shared" si="5"/>
        <v>97.30799999999998</v>
      </c>
      <c r="Z16" s="138">
        <f>U16</f>
        <v>233</v>
      </c>
    </row>
    <row r="17" spans="1:26" ht="13.5" thickBot="1">
      <c r="A17" s="86" t="s">
        <v>17</v>
      </c>
      <c r="B17" s="86" t="s">
        <v>228</v>
      </c>
      <c r="C17" s="87">
        <v>255</v>
      </c>
      <c r="D17" s="87">
        <v>8760</v>
      </c>
      <c r="E17" s="87">
        <v>0.9</v>
      </c>
      <c r="F17" s="88">
        <f t="shared" si="6"/>
        <v>1005.21</v>
      </c>
      <c r="G17" s="89">
        <v>1005</v>
      </c>
      <c r="H17" s="89">
        <v>0.29</v>
      </c>
      <c r="I17" s="88">
        <f t="shared" si="8"/>
        <v>323.901</v>
      </c>
      <c r="J17" s="89">
        <v>324</v>
      </c>
      <c r="K17" s="89">
        <v>0.29</v>
      </c>
      <c r="L17" s="90">
        <f t="shared" si="7"/>
        <v>135.77219999999997</v>
      </c>
      <c r="M17" s="89">
        <v>0.15</v>
      </c>
      <c r="N17" s="90">
        <f aca="true" t="shared" si="10" ref="N17:N22">$C17*(5088*M17)/2000</f>
        <v>97.30799999999998</v>
      </c>
      <c r="O17" s="90">
        <f t="shared" si="9"/>
        <v>233.08019999999993</v>
      </c>
      <c r="P17" s="89">
        <v>233</v>
      </c>
      <c r="Q17" s="89">
        <v>0.29</v>
      </c>
      <c r="R17" s="90">
        <f>$C17*(3672*Q17)/2000</f>
        <v>135.77219999999997</v>
      </c>
      <c r="S17" s="89">
        <v>0.15</v>
      </c>
      <c r="T17" s="134">
        <f t="shared" si="3"/>
        <v>97.30799999999998</v>
      </c>
      <c r="U17" s="137">
        <f>P17</f>
        <v>233</v>
      </c>
      <c r="V17" s="100">
        <v>0.29</v>
      </c>
      <c r="W17" s="90">
        <f>$C17*(3672*V17)/2000</f>
        <v>135.77219999999997</v>
      </c>
      <c r="X17" s="89">
        <v>0.15</v>
      </c>
      <c r="Y17" s="134">
        <f t="shared" si="5"/>
        <v>97.30799999999998</v>
      </c>
      <c r="Z17" s="138">
        <f>U17</f>
        <v>233</v>
      </c>
    </row>
    <row r="18" spans="1:26" ht="13.5" thickBot="1">
      <c r="A18" s="86" t="s">
        <v>18</v>
      </c>
      <c r="B18" s="86" t="s">
        <v>229</v>
      </c>
      <c r="C18" s="87">
        <v>255</v>
      </c>
      <c r="D18" s="87">
        <v>8760</v>
      </c>
      <c r="E18" s="87">
        <v>0.9</v>
      </c>
      <c r="F18" s="88">
        <f t="shared" si="6"/>
        <v>1005.21</v>
      </c>
      <c r="G18" s="89">
        <v>1005</v>
      </c>
      <c r="H18" s="89">
        <v>0.29</v>
      </c>
      <c r="I18" s="88">
        <f t="shared" si="8"/>
        <v>323.901</v>
      </c>
      <c r="J18" s="89">
        <v>324</v>
      </c>
      <c r="K18" s="89">
        <v>0.29</v>
      </c>
      <c r="L18" s="90">
        <f t="shared" si="7"/>
        <v>135.77219999999997</v>
      </c>
      <c r="M18" s="89">
        <v>0.15</v>
      </c>
      <c r="N18" s="90">
        <f t="shared" si="10"/>
        <v>97.30799999999998</v>
      </c>
      <c r="O18" s="90">
        <f>L18+N18</f>
        <v>233.08019999999993</v>
      </c>
      <c r="P18" s="89">
        <v>233</v>
      </c>
      <c r="Q18" s="89">
        <v>0.29</v>
      </c>
      <c r="R18" s="90">
        <f>$C18*(3672*Q18)/2000</f>
        <v>135.77219999999997</v>
      </c>
      <c r="S18" s="89">
        <v>0.15</v>
      </c>
      <c r="T18" s="134">
        <f t="shared" si="3"/>
        <v>97.30799999999998</v>
      </c>
      <c r="U18" s="139">
        <f>P18</f>
        <v>233</v>
      </c>
      <c r="V18" s="100">
        <v>0.29</v>
      </c>
      <c r="W18" s="90">
        <f>$C18*(3672*V18)/2000</f>
        <v>135.77219999999997</v>
      </c>
      <c r="X18" s="89">
        <v>0.15</v>
      </c>
      <c r="Y18" s="134">
        <f t="shared" si="5"/>
        <v>97.30799999999998</v>
      </c>
      <c r="Z18" s="140">
        <f>U18</f>
        <v>233</v>
      </c>
    </row>
    <row r="19" spans="1:26" ht="13.5" thickBot="1">
      <c r="A19" s="86" t="s">
        <v>75</v>
      </c>
      <c r="B19" s="86"/>
      <c r="C19" s="87">
        <v>308</v>
      </c>
      <c r="D19" s="87" t="s">
        <v>230</v>
      </c>
      <c r="E19" s="87"/>
      <c r="F19" s="88"/>
      <c r="G19" s="89"/>
      <c r="H19" s="89"/>
      <c r="I19" s="88"/>
      <c r="J19" s="89"/>
      <c r="K19" s="89"/>
      <c r="L19" s="90"/>
      <c r="M19" s="89"/>
      <c r="N19" s="90"/>
      <c r="O19" s="90"/>
      <c r="P19" s="89"/>
      <c r="Q19" s="89"/>
      <c r="R19" s="90"/>
      <c r="S19" s="89"/>
      <c r="T19" s="90"/>
      <c r="U19" s="93">
        <f>24.9/2</f>
        <v>12.45</v>
      </c>
      <c r="V19" s="93"/>
      <c r="W19" s="136"/>
      <c r="X19" s="93"/>
      <c r="Y19" s="136"/>
      <c r="Z19" s="93">
        <f>24.9/2</f>
        <v>12.45</v>
      </c>
    </row>
    <row r="20" spans="1:26" ht="13.5" thickBot="1">
      <c r="A20" s="86" t="s">
        <v>76</v>
      </c>
      <c r="B20" s="86"/>
      <c r="C20" s="87">
        <v>308</v>
      </c>
      <c r="D20" s="87" t="s">
        <v>230</v>
      </c>
      <c r="E20" s="87"/>
      <c r="F20" s="88"/>
      <c r="G20" s="89"/>
      <c r="H20" s="89"/>
      <c r="I20" s="88"/>
      <c r="J20" s="89"/>
      <c r="K20" s="89"/>
      <c r="L20" s="90"/>
      <c r="M20" s="89"/>
      <c r="N20" s="90"/>
      <c r="O20" s="90"/>
      <c r="P20" s="89"/>
      <c r="Q20" s="89"/>
      <c r="R20" s="90"/>
      <c r="S20" s="89"/>
      <c r="T20" s="90"/>
      <c r="U20" s="93">
        <f>24.9/2</f>
        <v>12.45</v>
      </c>
      <c r="V20" s="89"/>
      <c r="W20" s="90"/>
      <c r="X20" s="89"/>
      <c r="Y20" s="90"/>
      <c r="Z20" s="93">
        <f>24.9/2</f>
        <v>12.45</v>
      </c>
    </row>
    <row r="21" spans="1:26" ht="13.5" thickBot="1">
      <c r="A21" s="86" t="s">
        <v>19</v>
      </c>
      <c r="B21" s="86" t="s">
        <v>231</v>
      </c>
      <c r="C21" s="87">
        <v>1139</v>
      </c>
      <c r="D21" s="87">
        <v>8760</v>
      </c>
      <c r="E21" s="87">
        <v>0.9</v>
      </c>
      <c r="F21" s="88">
        <f t="shared" si="6"/>
        <v>4489.938</v>
      </c>
      <c r="G21" s="89">
        <v>4612</v>
      </c>
      <c r="H21" s="89">
        <v>0.25</v>
      </c>
      <c r="I21" s="88">
        <f t="shared" si="8"/>
        <v>1247.205</v>
      </c>
      <c r="J21" s="89">
        <v>1281</v>
      </c>
      <c r="K21" s="89">
        <v>0.25</v>
      </c>
      <c r="L21" s="90">
        <f>$C21*(3672*K21)/2000</f>
        <v>522.801</v>
      </c>
      <c r="M21" s="89">
        <v>0.15</v>
      </c>
      <c r="N21" s="90">
        <f t="shared" si="10"/>
        <v>434.64239999999995</v>
      </c>
      <c r="O21" s="90">
        <f t="shared" si="9"/>
        <v>957.4434</v>
      </c>
      <c r="P21" s="89">
        <v>983</v>
      </c>
      <c r="Q21" s="161" t="s">
        <v>278</v>
      </c>
      <c r="R21" s="162"/>
      <c r="S21" s="162"/>
      <c r="T21" s="162"/>
      <c r="U21" s="162"/>
      <c r="V21" s="162"/>
      <c r="W21" s="162"/>
      <c r="X21" s="162"/>
      <c r="Y21" s="162"/>
      <c r="Z21" s="163"/>
    </row>
    <row r="22" spans="1:26" ht="13.5" thickBot="1">
      <c r="A22" s="86" t="s">
        <v>20</v>
      </c>
      <c r="B22" s="86" t="s">
        <v>232</v>
      </c>
      <c r="C22" s="87">
        <v>1139</v>
      </c>
      <c r="D22" s="87">
        <v>8760</v>
      </c>
      <c r="E22" s="87">
        <v>0.9</v>
      </c>
      <c r="F22" s="88">
        <f t="shared" si="6"/>
        <v>4489.938</v>
      </c>
      <c r="G22" s="89">
        <v>4612</v>
      </c>
      <c r="H22" s="89">
        <v>0.25</v>
      </c>
      <c r="I22" s="88">
        <f t="shared" si="8"/>
        <v>1247.205</v>
      </c>
      <c r="J22" s="89">
        <v>1281</v>
      </c>
      <c r="K22" s="89">
        <v>0.25</v>
      </c>
      <c r="L22" s="90">
        <f t="shared" si="7"/>
        <v>522.801</v>
      </c>
      <c r="M22" s="89">
        <v>0.15</v>
      </c>
      <c r="N22" s="90">
        <f t="shared" si="10"/>
        <v>434.64239999999995</v>
      </c>
      <c r="O22" s="90">
        <f t="shared" si="9"/>
        <v>957.4434</v>
      </c>
      <c r="P22" s="89">
        <v>983</v>
      </c>
      <c r="Q22" s="164"/>
      <c r="R22" s="165"/>
      <c r="S22" s="165"/>
      <c r="T22" s="165"/>
      <c r="U22" s="165"/>
      <c r="V22" s="165"/>
      <c r="W22" s="165"/>
      <c r="X22" s="165"/>
      <c r="Y22" s="165"/>
      <c r="Z22" s="166"/>
    </row>
    <row r="23" spans="1:26" ht="29.25" customHeight="1" thickBot="1">
      <c r="A23" s="86" t="s">
        <v>21</v>
      </c>
      <c r="B23" s="86" t="s">
        <v>233</v>
      </c>
      <c r="C23" s="87">
        <v>266</v>
      </c>
      <c r="D23" s="87">
        <v>168</v>
      </c>
      <c r="E23" s="87">
        <v>0.29</v>
      </c>
      <c r="F23" s="94">
        <f t="shared" si="6"/>
        <v>6.47976</v>
      </c>
      <c r="G23" s="89">
        <v>6.5</v>
      </c>
      <c r="H23" s="87">
        <v>0.29</v>
      </c>
      <c r="I23" s="94">
        <f>($C23*$D23*H23)/2000</f>
        <v>6.47976</v>
      </c>
      <c r="J23" s="89">
        <v>6.5</v>
      </c>
      <c r="K23" s="87">
        <v>0.29</v>
      </c>
      <c r="L23" s="95">
        <f>$C23*(168*K23)/2000</f>
        <v>6.479760000000001</v>
      </c>
      <c r="M23" s="89">
        <f>L23/212</f>
        <v>0.03056490566037736</v>
      </c>
      <c r="N23" s="89"/>
      <c r="O23" s="95">
        <f t="shared" si="9"/>
        <v>6.479760000000001</v>
      </c>
      <c r="P23" s="89">
        <v>4.7</v>
      </c>
      <c r="Q23" s="87">
        <v>0.29</v>
      </c>
      <c r="R23" s="95">
        <f>$C23*(168*Q23)/2000</f>
        <v>6.479760000000001</v>
      </c>
      <c r="S23" s="89">
        <f>R23/212</f>
        <v>0.03056490566037736</v>
      </c>
      <c r="T23" s="90">
        <f>$C23*(5088*S23)/2000</f>
        <v>20.68339392</v>
      </c>
      <c r="U23" s="96">
        <f>SUM(T23,R23)</f>
        <v>27.16315392</v>
      </c>
      <c r="V23" s="87">
        <v>0.29</v>
      </c>
      <c r="W23" s="95">
        <f>$C23*(168*V23)/2000</f>
        <v>6.479760000000001</v>
      </c>
      <c r="X23" s="89">
        <f>W23/212</f>
        <v>0.03056490566037736</v>
      </c>
      <c r="Y23" s="90">
        <f>$C23*(5088*X23)/2000</f>
        <v>20.68339392</v>
      </c>
      <c r="Z23" s="96">
        <f>SUM(Y23,W23)</f>
        <v>27.16315392</v>
      </c>
    </row>
    <row r="24" spans="1:26" ht="13.5" customHeight="1" thickBot="1">
      <c r="A24" s="86" t="s">
        <v>22</v>
      </c>
      <c r="B24" s="86" t="s">
        <v>234</v>
      </c>
      <c r="C24" s="87">
        <v>400</v>
      </c>
      <c r="D24" s="87">
        <v>8760</v>
      </c>
      <c r="E24" s="87"/>
      <c r="F24" s="88"/>
      <c r="G24" s="89"/>
      <c r="H24" s="87"/>
      <c r="I24" s="97"/>
      <c r="J24" s="89">
        <v>145.5</v>
      </c>
      <c r="K24" s="89">
        <v>0.3</v>
      </c>
      <c r="L24" s="89">
        <f>K24*(C24*3762)/2000</f>
        <v>225.72</v>
      </c>
      <c r="M24" s="89">
        <v>0.15</v>
      </c>
      <c r="N24" s="89"/>
      <c r="O24" s="90"/>
      <c r="P24" s="89">
        <v>145.5</v>
      </c>
      <c r="Q24" s="89">
        <v>0.3</v>
      </c>
      <c r="R24" s="89">
        <f>Q24*(I24*3762)/2000</f>
        <v>0</v>
      </c>
      <c r="S24" s="89">
        <v>0.15</v>
      </c>
      <c r="T24" s="89"/>
      <c r="U24" s="91">
        <f>P24</f>
        <v>145.5</v>
      </c>
      <c r="V24" s="89">
        <v>0.3</v>
      </c>
      <c r="W24" s="89">
        <f>V24*(N24*3762)/2000</f>
        <v>0</v>
      </c>
      <c r="X24" s="89">
        <v>0.15</v>
      </c>
      <c r="Y24" s="89"/>
      <c r="Z24" s="91">
        <f>U24</f>
        <v>145.5</v>
      </c>
    </row>
    <row r="25" spans="1:26" ht="13.5" thickBot="1">
      <c r="A25" s="86" t="s">
        <v>23</v>
      </c>
      <c r="B25" s="86" t="s">
        <v>235</v>
      </c>
      <c r="C25" s="87">
        <v>400</v>
      </c>
      <c r="D25" s="87">
        <v>8760</v>
      </c>
      <c r="E25" s="87"/>
      <c r="F25" s="88"/>
      <c r="G25" s="89"/>
      <c r="H25" s="87"/>
      <c r="I25" s="94"/>
      <c r="J25" s="89">
        <v>145.5</v>
      </c>
      <c r="K25" s="89"/>
      <c r="L25" s="89"/>
      <c r="M25" s="89">
        <f>P25/365</f>
        <v>0.39863013698630134</v>
      </c>
      <c r="N25" s="89">
        <f>(M25*212)+(M25*153)</f>
        <v>145.5</v>
      </c>
      <c r="O25" s="90"/>
      <c r="P25" s="89">
        <v>145.5</v>
      </c>
      <c r="Q25" s="89"/>
      <c r="R25" s="89"/>
      <c r="S25" s="89"/>
      <c r="T25" s="89"/>
      <c r="U25" s="91">
        <f>P25</f>
        <v>145.5</v>
      </c>
      <c r="V25" s="89"/>
      <c r="W25" s="89"/>
      <c r="X25" s="89"/>
      <c r="Y25" s="89"/>
      <c r="Z25" s="91">
        <f>U25</f>
        <v>145.5</v>
      </c>
    </row>
    <row r="26" spans="1:26" ht="13.5" thickBot="1">
      <c r="A26" s="86" t="s">
        <v>24</v>
      </c>
      <c r="B26" s="86" t="s">
        <v>236</v>
      </c>
      <c r="C26" s="87">
        <v>400</v>
      </c>
      <c r="D26" s="87">
        <v>8760</v>
      </c>
      <c r="E26" s="87"/>
      <c r="F26" s="88"/>
      <c r="G26" s="89"/>
      <c r="H26" s="87"/>
      <c r="I26" s="88"/>
      <c r="J26" s="89">
        <v>145.5</v>
      </c>
      <c r="K26" s="89"/>
      <c r="L26" s="89"/>
      <c r="M26" s="89"/>
      <c r="N26" s="89"/>
      <c r="O26" s="90"/>
      <c r="P26" s="89">
        <v>145.5</v>
      </c>
      <c r="Q26" s="89"/>
      <c r="R26" s="89"/>
      <c r="S26" s="89"/>
      <c r="T26" s="85"/>
      <c r="U26" s="135">
        <f>P26</f>
        <v>145.5</v>
      </c>
      <c r="V26" s="100"/>
      <c r="W26" s="89"/>
      <c r="X26" s="89"/>
      <c r="Y26" s="89"/>
      <c r="Z26" s="91">
        <f>U26</f>
        <v>145.5</v>
      </c>
    </row>
    <row r="27" spans="1:26" ht="13.5" thickBot="1">
      <c r="A27" s="86" t="s">
        <v>25</v>
      </c>
      <c r="B27" s="86" t="s">
        <v>237</v>
      </c>
      <c r="C27" s="87">
        <v>400</v>
      </c>
      <c r="D27" s="87">
        <v>8760</v>
      </c>
      <c r="E27" s="87"/>
      <c r="F27" s="88"/>
      <c r="G27" s="89"/>
      <c r="H27" s="87"/>
      <c r="I27" s="88"/>
      <c r="J27" s="89">
        <v>145.5</v>
      </c>
      <c r="K27" s="89"/>
      <c r="L27" s="89"/>
      <c r="M27" s="89"/>
      <c r="N27" s="89"/>
      <c r="O27" s="90"/>
      <c r="P27" s="89">
        <v>145.5</v>
      </c>
      <c r="Q27" s="89"/>
      <c r="R27" s="89"/>
      <c r="S27" s="89"/>
      <c r="T27" s="85"/>
      <c r="U27" s="135">
        <f>P27</f>
        <v>145.5</v>
      </c>
      <c r="V27" s="100"/>
      <c r="W27" s="89"/>
      <c r="X27" s="89"/>
      <c r="Y27" s="85"/>
      <c r="Z27" s="135">
        <f>U27</f>
        <v>145.5</v>
      </c>
    </row>
    <row r="28" spans="1:26" ht="13.5" thickBot="1">
      <c r="A28" s="86" t="s">
        <v>77</v>
      </c>
      <c r="B28" s="86"/>
      <c r="C28" s="87"/>
      <c r="D28" s="87"/>
      <c r="E28" s="87"/>
      <c r="F28" s="88"/>
      <c r="G28" s="89"/>
      <c r="H28" s="87"/>
      <c r="I28" s="88"/>
      <c r="J28" s="89"/>
      <c r="K28" s="89"/>
      <c r="L28" s="89"/>
      <c r="M28" s="89"/>
      <c r="N28" s="89"/>
      <c r="O28" s="90"/>
      <c r="P28" s="89"/>
      <c r="Q28" s="89"/>
      <c r="R28" s="89">
        <f>U28/365*153</f>
        <v>1.1317808219178083</v>
      </c>
      <c r="S28" s="89"/>
      <c r="T28" s="89">
        <f>(U28/365)*212</f>
        <v>1.568219178082192</v>
      </c>
      <c r="U28" s="93">
        <f>10.8/4</f>
        <v>2.7</v>
      </c>
      <c r="V28" s="89"/>
      <c r="W28" s="89">
        <f>Z28/365*153</f>
        <v>1.1317808219178083</v>
      </c>
      <c r="X28" s="89"/>
      <c r="Y28" s="85">
        <f>(Z28/365)*212</f>
        <v>1.568219178082192</v>
      </c>
      <c r="Z28" s="135">
        <f>10.8/4</f>
        <v>2.7</v>
      </c>
    </row>
    <row r="29" spans="1:26" ht="13.5" thickBot="1">
      <c r="A29" s="86" t="s">
        <v>78</v>
      </c>
      <c r="B29" s="86"/>
      <c r="C29" s="87"/>
      <c r="D29" s="87"/>
      <c r="E29" s="87"/>
      <c r="F29" s="88"/>
      <c r="G29" s="89"/>
      <c r="H29" s="87"/>
      <c r="I29" s="88"/>
      <c r="J29" s="89"/>
      <c r="K29" s="89"/>
      <c r="L29" s="89"/>
      <c r="M29" s="89"/>
      <c r="N29" s="89"/>
      <c r="O29" s="90"/>
      <c r="P29" s="89"/>
      <c r="Q29" s="89"/>
      <c r="R29" s="89">
        <f aca="true" t="shared" si="11" ref="R29:R34">U29/365*153</f>
        <v>1.1317808219178083</v>
      </c>
      <c r="S29" s="89"/>
      <c r="T29" s="89">
        <f aca="true" t="shared" si="12" ref="T29:T34">(U29/365)*212</f>
        <v>1.568219178082192</v>
      </c>
      <c r="U29" s="93">
        <f>10.8/4</f>
        <v>2.7</v>
      </c>
      <c r="V29" s="89"/>
      <c r="W29" s="89">
        <f>Z29/365*153</f>
        <v>1.1317808219178083</v>
      </c>
      <c r="X29" s="89"/>
      <c r="Y29" s="85">
        <f>(Z29/365)*212</f>
        <v>1.568219178082192</v>
      </c>
      <c r="Z29" s="135">
        <f>10.8/4</f>
        <v>2.7</v>
      </c>
    </row>
    <row r="30" spans="1:26" ht="13.5" thickBot="1">
      <c r="A30" s="86" t="s">
        <v>79</v>
      </c>
      <c r="B30" s="86"/>
      <c r="C30" s="87"/>
      <c r="D30" s="87"/>
      <c r="E30" s="87"/>
      <c r="F30" s="88"/>
      <c r="G30" s="89"/>
      <c r="H30" s="87"/>
      <c r="I30" s="88"/>
      <c r="J30" s="89"/>
      <c r="K30" s="89"/>
      <c r="L30" s="89"/>
      <c r="M30" s="89"/>
      <c r="N30" s="89"/>
      <c r="O30" s="90"/>
      <c r="P30" s="89"/>
      <c r="Q30" s="89"/>
      <c r="R30" s="89">
        <f t="shared" si="11"/>
        <v>1.1317808219178083</v>
      </c>
      <c r="S30" s="89"/>
      <c r="T30" s="89">
        <f t="shared" si="12"/>
        <v>1.568219178082192</v>
      </c>
      <c r="U30" s="93">
        <f>10.8/4</f>
        <v>2.7</v>
      </c>
      <c r="V30" s="89"/>
      <c r="W30" s="89">
        <f>Z30/365*153</f>
        <v>1.1317808219178083</v>
      </c>
      <c r="X30" s="89"/>
      <c r="Y30" s="85">
        <f>(Z30/365)*212</f>
        <v>1.568219178082192</v>
      </c>
      <c r="Z30" s="135">
        <f>10.8/4</f>
        <v>2.7</v>
      </c>
    </row>
    <row r="31" spans="1:26" ht="13.5" thickBot="1">
      <c r="A31" s="86" t="s">
        <v>80</v>
      </c>
      <c r="B31" s="86"/>
      <c r="C31" s="87"/>
      <c r="D31" s="87"/>
      <c r="E31" s="87"/>
      <c r="F31" s="88"/>
      <c r="G31" s="89"/>
      <c r="H31" s="87"/>
      <c r="I31" s="88"/>
      <c r="J31" s="89"/>
      <c r="K31" s="89"/>
      <c r="L31" s="89"/>
      <c r="M31" s="89"/>
      <c r="N31" s="89"/>
      <c r="O31" s="90"/>
      <c r="P31" s="89"/>
      <c r="Q31" s="89"/>
      <c r="R31" s="89">
        <f t="shared" si="11"/>
        <v>1.1317808219178083</v>
      </c>
      <c r="S31" s="89"/>
      <c r="T31" s="89">
        <f t="shared" si="12"/>
        <v>1.568219178082192</v>
      </c>
      <c r="U31" s="93">
        <f>10.8/4</f>
        <v>2.7</v>
      </c>
      <c r="V31" s="89"/>
      <c r="W31" s="89">
        <f>Z31/365*153</f>
        <v>1.1317808219178083</v>
      </c>
      <c r="X31" s="89"/>
      <c r="Y31" s="85">
        <f>(Z31/365)*212</f>
        <v>1.568219178082192</v>
      </c>
      <c r="Z31" s="135">
        <f>10.8/4</f>
        <v>2.7</v>
      </c>
    </row>
    <row r="32" spans="1:26" ht="13.5" thickBot="1">
      <c r="A32" s="86" t="s">
        <v>26</v>
      </c>
      <c r="B32" s="86" t="s">
        <v>238</v>
      </c>
      <c r="C32" s="87">
        <v>230</v>
      </c>
      <c r="D32" s="87">
        <v>8760</v>
      </c>
      <c r="E32" s="87">
        <v>0.9</v>
      </c>
      <c r="F32" s="88">
        <f>($C32*$D32*E32)/2000</f>
        <v>906.66</v>
      </c>
      <c r="G32" s="89">
        <v>907</v>
      </c>
      <c r="H32" s="89">
        <v>0.29</v>
      </c>
      <c r="I32" s="88">
        <f>($C32*$D32*H32)/2000</f>
        <v>292.146</v>
      </c>
      <c r="J32" s="89">
        <v>292</v>
      </c>
      <c r="K32" s="89">
        <v>0.29</v>
      </c>
      <c r="L32" s="90">
        <f>$C32*(3672*K32)/2000</f>
        <v>122.46119999999998</v>
      </c>
      <c r="M32" s="89">
        <v>0.15</v>
      </c>
      <c r="N32" s="90">
        <f>$C32*(5088*M32)/2000</f>
        <v>87.76799999999999</v>
      </c>
      <c r="O32" s="90">
        <f>L32+N32</f>
        <v>210.22919999999996</v>
      </c>
      <c r="P32" s="89">
        <v>210</v>
      </c>
      <c r="Q32" s="89">
        <v>0.29</v>
      </c>
      <c r="R32" s="90">
        <f>$C32*(3672*Q32)/2000</f>
        <v>122.46119999999998</v>
      </c>
      <c r="S32" s="89">
        <v>0.15</v>
      </c>
      <c r="T32" s="90">
        <f>$C32*(5088*S32)/2000</f>
        <v>87.76799999999999</v>
      </c>
      <c r="U32" s="90">
        <f>R32+T32</f>
        <v>210.22919999999996</v>
      </c>
      <c r="V32" s="89">
        <v>0.29</v>
      </c>
      <c r="W32" s="90">
        <f>$C32*(3672*V32)/2000</f>
        <v>122.46119999999998</v>
      </c>
      <c r="X32" s="89">
        <v>0.15</v>
      </c>
      <c r="Y32" s="134">
        <f>$C32*(5088*X32)/2000</f>
        <v>87.76799999999999</v>
      </c>
      <c r="Z32" s="141">
        <f>W32+Y32</f>
        <v>210.22919999999996</v>
      </c>
    </row>
    <row r="33" spans="1:26" ht="13.5" thickBot="1">
      <c r="A33" s="60" t="s">
        <v>81</v>
      </c>
      <c r="B33" s="38" t="s">
        <v>151</v>
      </c>
      <c r="C33" s="87">
        <v>2136</v>
      </c>
      <c r="D33" s="87">
        <v>8760</v>
      </c>
      <c r="E33" s="87"/>
      <c r="F33" s="88"/>
      <c r="G33" s="89"/>
      <c r="H33" s="89"/>
      <c r="I33" s="88"/>
      <c r="J33" s="89"/>
      <c r="K33" s="89"/>
      <c r="L33" s="90"/>
      <c r="M33" s="89"/>
      <c r="N33" s="90"/>
      <c r="O33" s="90"/>
      <c r="P33" s="89"/>
      <c r="Q33" s="89"/>
      <c r="R33" s="89">
        <f t="shared" si="11"/>
        <v>34.91753424657534</v>
      </c>
      <c r="S33" s="89">
        <v>0.15</v>
      </c>
      <c r="T33" s="89">
        <f t="shared" si="12"/>
        <v>48.382465753424654</v>
      </c>
      <c r="U33" s="91">
        <v>83.3</v>
      </c>
      <c r="V33" s="89"/>
      <c r="W33" s="89">
        <f>Z33/365*153</f>
        <v>34.91753424657534</v>
      </c>
      <c r="X33" s="89">
        <v>0.15</v>
      </c>
      <c r="Y33" s="85">
        <f>(Z33/365)*212</f>
        <v>48.382465753424654</v>
      </c>
      <c r="Z33" s="135">
        <v>83.3</v>
      </c>
    </row>
    <row r="34" spans="1:26" ht="13.5" thickBot="1">
      <c r="A34" s="60" t="s">
        <v>82</v>
      </c>
      <c r="B34" s="98" t="s">
        <v>152</v>
      </c>
      <c r="C34" s="87">
        <v>2136</v>
      </c>
      <c r="D34" s="87"/>
      <c r="E34" s="87"/>
      <c r="F34" s="88"/>
      <c r="G34" s="89"/>
      <c r="H34" s="89"/>
      <c r="I34" s="88"/>
      <c r="J34" s="89"/>
      <c r="K34" s="89"/>
      <c r="L34" s="90"/>
      <c r="M34" s="89"/>
      <c r="N34" s="90"/>
      <c r="O34" s="90"/>
      <c r="P34" s="89"/>
      <c r="Q34" s="89"/>
      <c r="R34" s="89">
        <f t="shared" si="11"/>
        <v>34.91753424657534</v>
      </c>
      <c r="S34" s="89"/>
      <c r="T34" s="89">
        <f t="shared" si="12"/>
        <v>48.382465753424654</v>
      </c>
      <c r="U34" s="91">
        <v>83.3</v>
      </c>
      <c r="V34" s="89"/>
      <c r="W34" s="89">
        <f>Z34/365*153</f>
        <v>34.91753424657534</v>
      </c>
      <c r="X34" s="89"/>
      <c r="Y34" s="85">
        <f>(Z34/365)*212</f>
        <v>48.382465753424654</v>
      </c>
      <c r="Z34" s="135">
        <v>83.3</v>
      </c>
    </row>
    <row r="35" spans="1:26" ht="13.5" customHeight="1" thickBot="1">
      <c r="A35" s="86" t="s">
        <v>27</v>
      </c>
      <c r="B35" s="86" t="s">
        <v>239</v>
      </c>
      <c r="C35" s="87">
        <v>2276</v>
      </c>
      <c r="D35" s="87">
        <v>8760</v>
      </c>
      <c r="E35" s="87"/>
      <c r="F35" s="88"/>
      <c r="G35" s="89" t="s">
        <v>68</v>
      </c>
      <c r="H35" s="87"/>
      <c r="I35" s="88"/>
      <c r="J35" s="89">
        <v>79.5</v>
      </c>
      <c r="K35" s="89"/>
      <c r="L35" s="89"/>
      <c r="M35" s="89"/>
      <c r="N35" s="89"/>
      <c r="O35" s="90"/>
      <c r="P35" s="89">
        <v>79.5</v>
      </c>
      <c r="Q35" s="89"/>
      <c r="R35" s="89"/>
      <c r="S35" s="89"/>
      <c r="T35" s="89"/>
      <c r="U35" s="91">
        <f aca="true" t="shared" si="13" ref="U35:U41">P35</f>
        <v>79.5</v>
      </c>
      <c r="V35" s="89"/>
      <c r="W35" s="89"/>
      <c r="X35" s="89"/>
      <c r="Y35" s="85"/>
      <c r="Z35" s="135">
        <f aca="true" t="shared" si="14" ref="Z35:Z41">U35</f>
        <v>79.5</v>
      </c>
    </row>
    <row r="36" spans="1:26" ht="13.5" thickBot="1">
      <c r="A36" s="86" t="s">
        <v>28</v>
      </c>
      <c r="B36" s="86" t="s">
        <v>240</v>
      </c>
      <c r="C36" s="87">
        <v>2276</v>
      </c>
      <c r="D36" s="87">
        <v>8760</v>
      </c>
      <c r="E36" s="87"/>
      <c r="F36" s="88"/>
      <c r="G36" s="89" t="s">
        <v>68</v>
      </c>
      <c r="H36" s="87"/>
      <c r="I36" s="88"/>
      <c r="J36" s="89">
        <v>79.5</v>
      </c>
      <c r="K36" s="89"/>
      <c r="L36" s="89"/>
      <c r="M36" s="89"/>
      <c r="N36" s="89"/>
      <c r="O36" s="90"/>
      <c r="P36" s="89">
        <v>79.5</v>
      </c>
      <c r="Q36" s="89"/>
      <c r="R36" s="89"/>
      <c r="S36" s="89"/>
      <c r="T36" s="89"/>
      <c r="U36" s="91">
        <f t="shared" si="13"/>
        <v>79.5</v>
      </c>
      <c r="V36" s="89"/>
      <c r="W36" s="89"/>
      <c r="X36" s="89"/>
      <c r="Y36" s="89"/>
      <c r="Z36" s="92">
        <f t="shared" si="14"/>
        <v>79.5</v>
      </c>
    </row>
    <row r="37" spans="1:26" ht="13.5" thickBot="1">
      <c r="A37" s="86" t="s">
        <v>29</v>
      </c>
      <c r="B37" s="86" t="s">
        <v>241</v>
      </c>
      <c r="C37" s="87">
        <v>2276</v>
      </c>
      <c r="D37" s="87">
        <v>8760</v>
      </c>
      <c r="E37" s="87"/>
      <c r="F37" s="88"/>
      <c r="G37" s="89" t="s">
        <v>68</v>
      </c>
      <c r="H37" s="87"/>
      <c r="I37" s="88"/>
      <c r="J37" s="89">
        <v>79.5</v>
      </c>
      <c r="K37" s="89"/>
      <c r="L37" s="89"/>
      <c r="M37" s="89"/>
      <c r="N37" s="89"/>
      <c r="O37" s="90"/>
      <c r="P37" s="89">
        <v>79.5</v>
      </c>
      <c r="Q37" s="89"/>
      <c r="R37" s="89"/>
      <c r="S37" s="89"/>
      <c r="T37" s="89"/>
      <c r="U37" s="91">
        <f t="shared" si="13"/>
        <v>79.5</v>
      </c>
      <c r="V37" s="89"/>
      <c r="W37" s="89"/>
      <c r="X37" s="89"/>
      <c r="Y37" s="89"/>
      <c r="Z37" s="91">
        <f t="shared" si="14"/>
        <v>79.5</v>
      </c>
    </row>
    <row r="38" spans="1:26" ht="16.5" customHeight="1" thickBot="1">
      <c r="A38" s="86" t="s">
        <v>30</v>
      </c>
      <c r="B38" s="86" t="s">
        <v>242</v>
      </c>
      <c r="C38" s="87">
        <v>1295</v>
      </c>
      <c r="D38" s="87">
        <v>8760</v>
      </c>
      <c r="E38" s="87">
        <v>0.3</v>
      </c>
      <c r="F38" s="88">
        <f>($C38*$D38*E38)/2000</f>
        <v>1701.63</v>
      </c>
      <c r="G38" s="89">
        <v>1577</v>
      </c>
      <c r="H38" s="89">
        <v>0.25</v>
      </c>
      <c r="I38" s="88">
        <f>($C38*$D38*H38)/2000</f>
        <v>1418.025</v>
      </c>
      <c r="J38" s="89">
        <v>1314</v>
      </c>
      <c r="K38" s="89">
        <v>0.25</v>
      </c>
      <c r="L38" s="90">
        <f>$C38*(3672*K38)/2000</f>
        <v>594.405</v>
      </c>
      <c r="M38" s="89">
        <v>0.15</v>
      </c>
      <c r="N38" s="90">
        <f>$C38*(5088*M38)/2000</f>
        <v>494.17199999999997</v>
      </c>
      <c r="O38" s="90">
        <f>L38+N38</f>
        <v>1088.577</v>
      </c>
      <c r="P38" s="89">
        <v>1009</v>
      </c>
      <c r="Q38" s="89">
        <v>0.25</v>
      </c>
      <c r="R38" s="90">
        <f>$C38*(3672*Q38)/2000</f>
        <v>594.405</v>
      </c>
      <c r="S38" s="89">
        <v>0.15</v>
      </c>
      <c r="T38" s="90">
        <f>$C38*(5088*S38)/2000</f>
        <v>494.17199999999997</v>
      </c>
      <c r="U38" s="89">
        <f t="shared" si="13"/>
        <v>1009</v>
      </c>
      <c r="V38" s="89">
        <v>0.25</v>
      </c>
      <c r="W38" s="90">
        <f>$C38*(3672*V38)/2000</f>
        <v>594.405</v>
      </c>
      <c r="X38" s="89">
        <v>0.15</v>
      </c>
      <c r="Y38" s="90">
        <f>$C38*(5088*X38)/2000</f>
        <v>494.17199999999997</v>
      </c>
      <c r="Z38" s="89">
        <f t="shared" si="14"/>
        <v>1009</v>
      </c>
    </row>
    <row r="39" spans="1:26" ht="26.25" customHeight="1" thickBot="1">
      <c r="A39" s="148" t="s">
        <v>31</v>
      </c>
      <c r="B39" s="148" t="s">
        <v>243</v>
      </c>
      <c r="C39" s="149">
        <v>2370</v>
      </c>
      <c r="D39" s="149">
        <v>8760</v>
      </c>
      <c r="E39" s="149">
        <v>0.9</v>
      </c>
      <c r="F39" s="150">
        <f>($C39*$D39*E39)/2000</f>
        <v>9342.54</v>
      </c>
      <c r="G39" s="151">
        <v>8329</v>
      </c>
      <c r="H39" s="149">
        <v>0.43</v>
      </c>
      <c r="I39" s="150">
        <f>($C39*$D39*H39)/2000</f>
        <v>4463.658</v>
      </c>
      <c r="J39" s="151">
        <v>3980</v>
      </c>
      <c r="K39" s="151">
        <v>0.43</v>
      </c>
      <c r="L39" s="152">
        <f>$C39*(3672*K39)/2000</f>
        <v>1871.0676</v>
      </c>
      <c r="M39" s="151">
        <v>0.15</v>
      </c>
      <c r="N39" s="152">
        <f>$C39*(5088*M39)/2000</f>
        <v>904.3919999999999</v>
      </c>
      <c r="O39" s="152">
        <f>L39+N39</f>
        <v>2775.4596</v>
      </c>
      <c r="P39" s="151">
        <v>2474</v>
      </c>
      <c r="Q39" s="151">
        <v>0.43</v>
      </c>
      <c r="R39" s="152">
        <f>$C39*(3672*Q39)/2000</f>
        <v>1871.0676</v>
      </c>
      <c r="S39" s="151">
        <v>0.15</v>
      </c>
      <c r="T39" s="152">
        <f>$C39*(5088*S39)/2000</f>
        <v>904.3919999999999</v>
      </c>
      <c r="U39" s="152">
        <f t="shared" si="13"/>
        <v>2474</v>
      </c>
      <c r="V39" s="151">
        <v>0.43</v>
      </c>
      <c r="W39" s="152">
        <f>$C39*(3672*V39)/2000</f>
        <v>1871.0676</v>
      </c>
      <c r="X39" s="151">
        <v>0.15</v>
      </c>
      <c r="Y39" s="152">
        <f>$C39*(5088*X39)/2000</f>
        <v>904.3919999999999</v>
      </c>
      <c r="Z39" s="152">
        <f t="shared" si="14"/>
        <v>2474</v>
      </c>
    </row>
    <row r="40" spans="1:26" ht="19.5" customHeight="1" thickBot="1">
      <c r="A40" s="148" t="s">
        <v>32</v>
      </c>
      <c r="B40" s="148" t="s">
        <v>244</v>
      </c>
      <c r="C40" s="149">
        <v>4684</v>
      </c>
      <c r="D40" s="149">
        <v>8760</v>
      </c>
      <c r="E40" s="149">
        <v>0.3</v>
      </c>
      <c r="F40" s="150">
        <f>($C40*$D40*E40)/2000</f>
        <v>6154.776</v>
      </c>
      <c r="G40" s="151">
        <v>5691</v>
      </c>
      <c r="H40" s="149">
        <v>0.25</v>
      </c>
      <c r="I40" s="150">
        <f>($C40*$D40*H40)/2000</f>
        <v>5128.98</v>
      </c>
      <c r="J40" s="151">
        <v>4742</v>
      </c>
      <c r="K40" s="151">
        <v>0.25</v>
      </c>
      <c r="L40" s="152">
        <f>$C40*(3672*K40)/2000</f>
        <v>2149.956</v>
      </c>
      <c r="M40" s="151">
        <v>0.15</v>
      </c>
      <c r="N40" s="152">
        <f>$C40*(5088*M40)/2000</f>
        <v>1787.4144</v>
      </c>
      <c r="O40" s="152">
        <f>L40+N40</f>
        <v>3937.3704</v>
      </c>
      <c r="P40" s="151">
        <v>3641</v>
      </c>
      <c r="Q40" s="151">
        <v>0.25</v>
      </c>
      <c r="R40" s="152">
        <f>$C40*(3672*Q40)/2000</f>
        <v>2149.956</v>
      </c>
      <c r="S40" s="151">
        <v>0.15</v>
      </c>
      <c r="T40" s="152">
        <f>$C40*(5088*S40)/2000</f>
        <v>1787.4144</v>
      </c>
      <c r="U40" s="152">
        <f t="shared" si="13"/>
        <v>3641</v>
      </c>
      <c r="V40" s="151">
        <v>0.25</v>
      </c>
      <c r="W40" s="152">
        <f>$C40*(3672*V40)/2000</f>
        <v>2149.956</v>
      </c>
      <c r="X40" s="151">
        <v>0.15</v>
      </c>
      <c r="Y40" s="152">
        <f>$C40*(5088*X40)/2000</f>
        <v>1787.4144</v>
      </c>
      <c r="Z40" s="152">
        <f t="shared" si="14"/>
        <v>3641</v>
      </c>
    </row>
    <row r="41" spans="1:26" ht="13.5" thickBot="1">
      <c r="A41" s="86" t="s">
        <v>33</v>
      </c>
      <c r="B41" s="86" t="s">
        <v>201</v>
      </c>
      <c r="C41" s="87">
        <v>230</v>
      </c>
      <c r="D41" s="87">
        <v>168</v>
      </c>
      <c r="E41" s="87">
        <v>0.9</v>
      </c>
      <c r="F41" s="88">
        <f>($C41*$D41*E41)/2000</f>
        <v>17.388</v>
      </c>
      <c r="G41" s="89">
        <v>907</v>
      </c>
      <c r="H41" s="89">
        <v>0.29</v>
      </c>
      <c r="I41" s="94">
        <f>($C41*$D41*H41)/2000</f>
        <v>5.602799999999999</v>
      </c>
      <c r="J41" s="89">
        <v>292</v>
      </c>
      <c r="K41" s="89">
        <v>0.29</v>
      </c>
      <c r="L41" s="94">
        <f>($C41*$D41*K41)/2000</f>
        <v>5.602799999999999</v>
      </c>
      <c r="M41" s="95"/>
      <c r="N41" s="95"/>
      <c r="O41" s="95">
        <f>L41+N41</f>
        <v>5.602799999999999</v>
      </c>
      <c r="P41" s="89">
        <v>210</v>
      </c>
      <c r="Q41" s="89">
        <v>0.29</v>
      </c>
      <c r="R41" s="94">
        <f>($C41*$D41*Q41)/2000</f>
        <v>5.602799999999999</v>
      </c>
      <c r="S41" s="95"/>
      <c r="T41" s="95"/>
      <c r="U41" s="89">
        <f t="shared" si="13"/>
        <v>210</v>
      </c>
      <c r="V41" s="89">
        <v>0.29</v>
      </c>
      <c r="W41" s="94">
        <f>($C41*$D41*V41)/2000</f>
        <v>5.602799999999999</v>
      </c>
      <c r="X41" s="95"/>
      <c r="Y41" s="95"/>
      <c r="Z41" s="89">
        <f t="shared" si="14"/>
        <v>210</v>
      </c>
    </row>
    <row r="42" spans="1:26" ht="13.5" thickBot="1">
      <c r="A42" s="86" t="s">
        <v>275</v>
      </c>
      <c r="B42" s="86"/>
      <c r="C42" s="87"/>
      <c r="D42" s="87"/>
      <c r="E42" s="87"/>
      <c r="F42" s="88"/>
      <c r="G42" s="89"/>
      <c r="H42" s="89"/>
      <c r="I42" s="94"/>
      <c r="J42" s="89"/>
      <c r="K42" s="89"/>
      <c r="L42" s="94"/>
      <c r="M42" s="95"/>
      <c r="N42" s="95"/>
      <c r="O42" s="95"/>
      <c r="P42" s="89"/>
      <c r="Q42" s="89"/>
      <c r="R42" s="89">
        <f>U42/365*153</f>
        <v>1.1317808219178083</v>
      </c>
      <c r="S42" s="95"/>
      <c r="T42" s="89">
        <f>(U42/365)*212</f>
        <v>1.568219178082192</v>
      </c>
      <c r="U42" s="91">
        <f>10.8/4</f>
        <v>2.7</v>
      </c>
      <c r="V42" s="89"/>
      <c r="W42" s="89">
        <f>Z42/365*153</f>
        <v>1.1317808219178083</v>
      </c>
      <c r="X42" s="95"/>
      <c r="Y42" s="89">
        <f>(Z42/365)*212</f>
        <v>1.568219178082192</v>
      </c>
      <c r="Z42" s="91">
        <f>10.8/4</f>
        <v>2.7</v>
      </c>
    </row>
    <row r="43" spans="1:26" ht="13.5" thickBot="1">
      <c r="A43" s="86" t="s">
        <v>83</v>
      </c>
      <c r="B43" s="86"/>
      <c r="C43" s="87"/>
      <c r="D43" s="87"/>
      <c r="E43" s="87"/>
      <c r="F43" s="88"/>
      <c r="G43" s="89"/>
      <c r="H43" s="89"/>
      <c r="I43" s="94"/>
      <c r="J43" s="89"/>
      <c r="K43" s="89"/>
      <c r="L43" s="94"/>
      <c r="M43" s="95"/>
      <c r="N43" s="95"/>
      <c r="O43" s="95"/>
      <c r="P43" s="89"/>
      <c r="Q43" s="89"/>
      <c r="R43" s="89">
        <f>U43/365*153</f>
        <v>1.1317808219178083</v>
      </c>
      <c r="S43" s="95"/>
      <c r="T43" s="89">
        <f>(U43/365)*212</f>
        <v>1.568219178082192</v>
      </c>
      <c r="U43" s="91">
        <f>10.8/4</f>
        <v>2.7</v>
      </c>
      <c r="V43" s="89"/>
      <c r="W43" s="89">
        <f>Z43/365*153</f>
        <v>1.1317808219178083</v>
      </c>
      <c r="X43" s="95"/>
      <c r="Y43" s="89">
        <f>(Z43/365)*212</f>
        <v>1.568219178082192</v>
      </c>
      <c r="Z43" s="91">
        <f>10.8/4</f>
        <v>2.7</v>
      </c>
    </row>
    <row r="44" spans="1:26" ht="13.5" thickBot="1">
      <c r="A44" s="86" t="s">
        <v>84</v>
      </c>
      <c r="B44" s="86"/>
      <c r="C44" s="87"/>
      <c r="D44" s="87"/>
      <c r="E44" s="87"/>
      <c r="F44" s="88"/>
      <c r="G44" s="89"/>
      <c r="H44" s="89"/>
      <c r="I44" s="94"/>
      <c r="J44" s="89"/>
      <c r="K44" s="89"/>
      <c r="L44" s="94"/>
      <c r="M44" s="95"/>
      <c r="N44" s="95"/>
      <c r="O44" s="95"/>
      <c r="P44" s="89"/>
      <c r="Q44" s="89"/>
      <c r="R44" s="89">
        <f>U44/365*153</f>
        <v>1.1317808219178083</v>
      </c>
      <c r="S44" s="95"/>
      <c r="T44" s="89">
        <f>(U44/365)*212</f>
        <v>1.568219178082192</v>
      </c>
      <c r="U44" s="91">
        <f>10.8/4</f>
        <v>2.7</v>
      </c>
      <c r="V44" s="89"/>
      <c r="W44" s="89">
        <f>Z44/365*153</f>
        <v>1.1317808219178083</v>
      </c>
      <c r="X44" s="95"/>
      <c r="Y44" s="89">
        <f>(Z44/365)*212</f>
        <v>1.568219178082192</v>
      </c>
      <c r="Z44" s="91">
        <f>10.8/4</f>
        <v>2.7</v>
      </c>
    </row>
    <row r="45" spans="1:26" ht="13.5" thickBot="1">
      <c r="A45" s="86" t="s">
        <v>85</v>
      </c>
      <c r="B45" s="86"/>
      <c r="C45" s="87"/>
      <c r="D45" s="87"/>
      <c r="E45" s="87"/>
      <c r="F45" s="88"/>
      <c r="G45" s="89"/>
      <c r="H45" s="89"/>
      <c r="I45" s="94"/>
      <c r="J45" s="89"/>
      <c r="K45" s="89"/>
      <c r="L45" s="94"/>
      <c r="M45" s="95"/>
      <c r="N45" s="95"/>
      <c r="O45" s="95"/>
      <c r="P45" s="89"/>
      <c r="Q45" s="89"/>
      <c r="R45" s="89">
        <f>U45/365*153</f>
        <v>1.1317808219178083</v>
      </c>
      <c r="S45" s="95"/>
      <c r="T45" s="89">
        <f>(U45/365)*212</f>
        <v>1.568219178082192</v>
      </c>
      <c r="U45" s="91">
        <f>10.8/4</f>
        <v>2.7</v>
      </c>
      <c r="V45" s="89"/>
      <c r="W45" s="89">
        <f>Z45/365*153</f>
        <v>1.1317808219178083</v>
      </c>
      <c r="X45" s="95"/>
      <c r="Y45" s="89">
        <f>(Z45/365)*212</f>
        <v>1.568219178082192</v>
      </c>
      <c r="Z45" s="91">
        <f>10.8/4</f>
        <v>2.7</v>
      </c>
    </row>
    <row r="46" spans="1:26" ht="13.5" thickBot="1">
      <c r="A46" s="86" t="s">
        <v>90</v>
      </c>
      <c r="B46" s="86"/>
      <c r="C46" s="87"/>
      <c r="D46" s="87"/>
      <c r="E46" s="87"/>
      <c r="F46" s="88"/>
      <c r="G46" s="89"/>
      <c r="H46" s="89"/>
      <c r="I46" s="94"/>
      <c r="J46" s="89"/>
      <c r="K46" s="89"/>
      <c r="L46" s="94"/>
      <c r="M46" s="95"/>
      <c r="N46" s="95"/>
      <c r="O46" s="95"/>
      <c r="P46" s="89"/>
      <c r="Q46" s="89"/>
      <c r="R46" s="89">
        <f>U46/365*153</f>
        <v>1.1317808219178083</v>
      </c>
      <c r="S46" s="95"/>
      <c r="T46" s="89">
        <f>(U46/365)*212</f>
        <v>1.568219178082192</v>
      </c>
      <c r="U46" s="91">
        <f>10.8/4</f>
        <v>2.7</v>
      </c>
      <c r="V46" s="89"/>
      <c r="W46" s="89">
        <f>Z46/365*153</f>
        <v>1.1317808219178083</v>
      </c>
      <c r="X46" s="95"/>
      <c r="Y46" s="89">
        <f>(Z46/365)*212</f>
        <v>1.568219178082192</v>
      </c>
      <c r="Z46" s="91">
        <f>10.8/4</f>
        <v>2.7</v>
      </c>
    </row>
    <row r="47" spans="1:26" ht="13.5" thickBot="1">
      <c r="A47" s="86" t="s">
        <v>34</v>
      </c>
      <c r="B47" s="86" t="s">
        <v>240</v>
      </c>
      <c r="C47" s="87"/>
      <c r="D47" s="87">
        <v>8760</v>
      </c>
      <c r="E47" s="87"/>
      <c r="F47" s="88"/>
      <c r="G47" s="89" t="s">
        <v>68</v>
      </c>
      <c r="H47" s="87"/>
      <c r="I47" s="88"/>
      <c r="J47" s="89">
        <v>69.2</v>
      </c>
      <c r="K47" s="89"/>
      <c r="L47" s="89"/>
      <c r="M47" s="89"/>
      <c r="N47" s="89"/>
      <c r="O47" s="90"/>
      <c r="P47" s="89">
        <v>69.2</v>
      </c>
      <c r="Q47" s="89"/>
      <c r="R47" s="89"/>
      <c r="S47" s="89"/>
      <c r="T47" s="89"/>
      <c r="U47" s="91">
        <f>P47</f>
        <v>69.2</v>
      </c>
      <c r="V47" s="89"/>
      <c r="W47" s="89"/>
      <c r="X47" s="89"/>
      <c r="Y47" s="89"/>
      <c r="Z47" s="91">
        <f>U47</f>
        <v>69.2</v>
      </c>
    </row>
    <row r="48" spans="1:26" ht="13.5" thickBot="1">
      <c r="A48" s="86" t="s">
        <v>35</v>
      </c>
      <c r="B48" s="86" t="s">
        <v>241</v>
      </c>
      <c r="C48" s="87"/>
      <c r="D48" s="87">
        <v>8760</v>
      </c>
      <c r="E48" s="87"/>
      <c r="F48" s="88"/>
      <c r="G48" s="89" t="s">
        <v>68</v>
      </c>
      <c r="H48" s="87"/>
      <c r="I48" s="88"/>
      <c r="J48" s="89">
        <v>69.2</v>
      </c>
      <c r="K48" s="89"/>
      <c r="L48" s="89"/>
      <c r="M48" s="89"/>
      <c r="N48" s="89"/>
      <c r="O48" s="90"/>
      <c r="P48" s="89">
        <v>69.2</v>
      </c>
      <c r="Q48" s="89"/>
      <c r="R48" s="89"/>
      <c r="S48" s="89"/>
      <c r="T48" s="89"/>
      <c r="U48" s="91">
        <f>P48</f>
        <v>69.2</v>
      </c>
      <c r="V48" s="89"/>
      <c r="W48" s="89"/>
      <c r="X48" s="89"/>
      <c r="Y48" s="89"/>
      <c r="Z48" s="91">
        <f>U48</f>
        <v>69.2</v>
      </c>
    </row>
    <row r="49" spans="1:26" ht="13.5" thickBot="1">
      <c r="A49" s="86" t="s">
        <v>36</v>
      </c>
      <c r="B49" s="86" t="s">
        <v>245</v>
      </c>
      <c r="C49" s="87">
        <v>995</v>
      </c>
      <c r="D49" s="87">
        <v>8760</v>
      </c>
      <c r="E49" s="87">
        <v>0.9</v>
      </c>
      <c r="F49" s="88">
        <f aca="true" t="shared" si="15" ref="F49:F57">($C49*$D49*E49)/2000</f>
        <v>3922.29</v>
      </c>
      <c r="G49" s="89"/>
      <c r="H49" s="87">
        <v>0.25</v>
      </c>
      <c r="I49" s="88">
        <f>($C49*$D49*H49)/2000</f>
        <v>1089.525</v>
      </c>
      <c r="J49" s="89"/>
      <c r="K49" s="89">
        <v>0.25</v>
      </c>
      <c r="L49" s="90">
        <f aca="true" t="shared" si="16" ref="L49:L56">$C49*(3672*K49)/2000</f>
        <v>456.705</v>
      </c>
      <c r="M49" s="89">
        <v>0.15</v>
      </c>
      <c r="N49" s="90">
        <f>$C49*(5088*M49)/2000</f>
        <v>379.69199999999995</v>
      </c>
      <c r="O49" s="90">
        <f aca="true" t="shared" si="17" ref="O49:O56">L49+N49</f>
        <v>836.3969999999999</v>
      </c>
      <c r="P49" s="89">
        <v>795</v>
      </c>
      <c r="Q49" s="89">
        <v>0.25</v>
      </c>
      <c r="R49" s="90">
        <f>$C49*(3672*Q49)/2000</f>
        <v>456.705</v>
      </c>
      <c r="S49" s="89">
        <v>0.15</v>
      </c>
      <c r="T49" s="90">
        <f>$C49*(5088*S49)/2000</f>
        <v>379.69199999999995</v>
      </c>
      <c r="U49" s="90">
        <f>O49</f>
        <v>836.3969999999999</v>
      </c>
      <c r="V49" s="89">
        <v>0.25</v>
      </c>
      <c r="W49" s="90">
        <f>$C49*(3672*V49)/2000</f>
        <v>456.705</v>
      </c>
      <c r="X49" s="89">
        <v>0.15</v>
      </c>
      <c r="Y49" s="90">
        <f>$C49*(5088*X49)/2000</f>
        <v>379.69199999999995</v>
      </c>
      <c r="Z49" s="89">
        <f>U49</f>
        <v>836.3969999999999</v>
      </c>
    </row>
    <row r="50" spans="1:26" ht="21" customHeight="1" thickBot="1">
      <c r="A50" s="148" t="s">
        <v>37</v>
      </c>
      <c r="B50" s="148" t="s">
        <v>246</v>
      </c>
      <c r="C50" s="149">
        <v>4658</v>
      </c>
      <c r="D50" s="149">
        <v>8760</v>
      </c>
      <c r="E50" s="149">
        <v>0.3</v>
      </c>
      <c r="F50" s="150">
        <f t="shared" si="15"/>
        <v>6120.612</v>
      </c>
      <c r="G50" s="151"/>
      <c r="H50" s="149">
        <v>0.25</v>
      </c>
      <c r="I50" s="150">
        <f aca="true" t="shared" si="18" ref="I50:I56">($C50*$D50*H50)/2000</f>
        <v>5100.51</v>
      </c>
      <c r="J50" s="151"/>
      <c r="K50" s="151">
        <v>0.25</v>
      </c>
      <c r="L50" s="152">
        <f t="shared" si="16"/>
        <v>2138.022</v>
      </c>
      <c r="M50" s="151">
        <v>0.15</v>
      </c>
      <c r="N50" s="152">
        <f>$C50*(5088*M50)/2000</f>
        <v>1777.4927999999998</v>
      </c>
      <c r="O50" s="152">
        <f t="shared" si="17"/>
        <v>3915.5148</v>
      </c>
      <c r="P50" s="152">
        <f>O50</f>
        <v>3915.5148</v>
      </c>
      <c r="Q50" s="151">
        <v>0.25</v>
      </c>
      <c r="R50" s="152">
        <f>$C50*(3672*Q50)/2000</f>
        <v>2138.022</v>
      </c>
      <c r="S50" s="151">
        <v>0.15</v>
      </c>
      <c r="T50" s="152">
        <f>$C50*(5088*S50)/2000</f>
        <v>1777.4927999999998</v>
      </c>
      <c r="U50" s="152">
        <f>O50</f>
        <v>3915.5148</v>
      </c>
      <c r="V50" s="151">
        <v>0.25</v>
      </c>
      <c r="W50" s="152">
        <f>$C50*(3672*V50)/2000</f>
        <v>2138.022</v>
      </c>
      <c r="X50" s="151">
        <v>0.15</v>
      </c>
      <c r="Y50" s="152">
        <f>$C50*(5088*X50)/2000</f>
        <v>1777.4927999999998</v>
      </c>
      <c r="Z50" s="152">
        <v>3719</v>
      </c>
    </row>
    <row r="51" spans="1:26" ht="30.75" customHeight="1" thickBot="1">
      <c r="A51" s="148" t="s">
        <v>38</v>
      </c>
      <c r="B51" s="148" t="s">
        <v>247</v>
      </c>
      <c r="C51" s="149">
        <v>4286</v>
      </c>
      <c r="D51" s="149">
        <v>8760</v>
      </c>
      <c r="E51" s="149"/>
      <c r="F51" s="150"/>
      <c r="G51" s="151">
        <v>4661</v>
      </c>
      <c r="H51" s="149"/>
      <c r="I51" s="150"/>
      <c r="J51" s="151">
        <v>4661</v>
      </c>
      <c r="K51" s="151"/>
      <c r="L51" s="152"/>
      <c r="M51" s="151"/>
      <c r="N51" s="152">
        <f aca="true" t="shared" si="19" ref="N51:N56">$C51*(5088*M51)/2000</f>
        <v>0</v>
      </c>
      <c r="O51" s="152"/>
      <c r="P51" s="151">
        <v>3588</v>
      </c>
      <c r="Q51" s="151"/>
      <c r="R51" s="152"/>
      <c r="S51" s="151"/>
      <c r="T51" s="152"/>
      <c r="U51" s="151">
        <f aca="true" t="shared" si="20" ref="U51:U56">P51</f>
        <v>3588</v>
      </c>
      <c r="V51" s="151"/>
      <c r="W51" s="152"/>
      <c r="X51" s="151"/>
      <c r="Y51" s="152"/>
      <c r="Z51" s="151">
        <f aca="true" t="shared" si="21" ref="Z51:Z56">U51</f>
        <v>3588</v>
      </c>
    </row>
    <row r="52" spans="1:26" ht="20.25" customHeight="1" thickBot="1">
      <c r="A52" s="86" t="s">
        <v>39</v>
      </c>
      <c r="B52" s="86" t="s">
        <v>248</v>
      </c>
      <c r="C52" s="87">
        <v>1776</v>
      </c>
      <c r="D52" s="87">
        <v>8760</v>
      </c>
      <c r="E52" s="87">
        <v>0.3</v>
      </c>
      <c r="F52" s="88">
        <f t="shared" si="15"/>
        <v>2333.664</v>
      </c>
      <c r="G52" s="89">
        <v>2365</v>
      </c>
      <c r="H52" s="87">
        <v>0.25</v>
      </c>
      <c r="I52" s="88">
        <f t="shared" si="18"/>
        <v>1944.72</v>
      </c>
      <c r="J52" s="89">
        <v>1971</v>
      </c>
      <c r="K52" s="89">
        <v>0.25</v>
      </c>
      <c r="L52" s="90">
        <f t="shared" si="16"/>
        <v>815.184</v>
      </c>
      <c r="M52" s="89">
        <v>0.15</v>
      </c>
      <c r="N52" s="90">
        <f t="shared" si="19"/>
        <v>677.7216</v>
      </c>
      <c r="O52" s="90">
        <f t="shared" si="17"/>
        <v>1492.9056</v>
      </c>
      <c r="P52" s="89">
        <v>1513</v>
      </c>
      <c r="Q52" s="89">
        <v>0.25</v>
      </c>
      <c r="R52" s="90">
        <f>$C52*(3672*Q52)/2000</f>
        <v>815.184</v>
      </c>
      <c r="S52" s="89">
        <v>0.15</v>
      </c>
      <c r="T52" s="90">
        <f>$C52*(5088*S52)/2000</f>
        <v>677.7216</v>
      </c>
      <c r="U52" s="89">
        <v>1493</v>
      </c>
      <c r="V52" s="161" t="s">
        <v>278</v>
      </c>
      <c r="W52" s="162"/>
      <c r="X52" s="162"/>
      <c r="Y52" s="162"/>
      <c r="Z52" s="163"/>
    </row>
    <row r="53" spans="1:26" ht="18" customHeight="1" thickBot="1">
      <c r="A53" s="148" t="s">
        <v>40</v>
      </c>
      <c r="B53" s="148" t="s">
        <v>249</v>
      </c>
      <c r="C53" s="149">
        <v>1776</v>
      </c>
      <c r="D53" s="149">
        <v>8760</v>
      </c>
      <c r="E53" s="149">
        <v>0.3</v>
      </c>
      <c r="F53" s="150">
        <f t="shared" si="15"/>
        <v>2333.664</v>
      </c>
      <c r="G53" s="151">
        <v>2365</v>
      </c>
      <c r="H53" s="149">
        <v>0.25</v>
      </c>
      <c r="I53" s="150">
        <f t="shared" si="18"/>
        <v>1944.72</v>
      </c>
      <c r="J53" s="151">
        <v>1971</v>
      </c>
      <c r="K53" s="151">
        <v>0.25</v>
      </c>
      <c r="L53" s="152">
        <f t="shared" si="16"/>
        <v>815.184</v>
      </c>
      <c r="M53" s="151">
        <v>0.15</v>
      </c>
      <c r="N53" s="152">
        <f t="shared" si="19"/>
        <v>677.7216</v>
      </c>
      <c r="O53" s="152">
        <f t="shared" si="17"/>
        <v>1492.9056</v>
      </c>
      <c r="P53" s="151">
        <v>1513</v>
      </c>
      <c r="Q53" s="151">
        <v>0.25</v>
      </c>
      <c r="R53" s="152">
        <f>$C53*(3672*Q53)/2000</f>
        <v>815.184</v>
      </c>
      <c r="S53" s="151">
        <v>0.15</v>
      </c>
      <c r="T53" s="152">
        <f>$C53*(5088*S53)/2000</f>
        <v>677.7216</v>
      </c>
      <c r="U53" s="151">
        <v>1493</v>
      </c>
      <c r="V53" s="164"/>
      <c r="W53" s="165"/>
      <c r="X53" s="165"/>
      <c r="Y53" s="165"/>
      <c r="Z53" s="166"/>
    </row>
    <row r="54" spans="1:26" ht="13.5" thickBot="1">
      <c r="A54" s="86" t="s">
        <v>41</v>
      </c>
      <c r="B54" s="86" t="s">
        <v>250</v>
      </c>
      <c r="C54" s="87">
        <v>210</v>
      </c>
      <c r="D54" s="87">
        <v>8760</v>
      </c>
      <c r="E54" s="87">
        <v>0.9</v>
      </c>
      <c r="F54" s="88">
        <f t="shared" si="15"/>
        <v>827.82</v>
      </c>
      <c r="G54" s="89">
        <v>828</v>
      </c>
      <c r="H54" s="89">
        <v>0.29</v>
      </c>
      <c r="I54" s="88">
        <f t="shared" si="18"/>
        <v>266.742</v>
      </c>
      <c r="J54" s="89">
        <v>267</v>
      </c>
      <c r="K54" s="89">
        <v>0.29</v>
      </c>
      <c r="L54" s="90">
        <f t="shared" si="16"/>
        <v>111.8124</v>
      </c>
      <c r="M54" s="89">
        <v>0.15</v>
      </c>
      <c r="N54" s="90">
        <f t="shared" si="19"/>
        <v>80.136</v>
      </c>
      <c r="O54" s="90">
        <f t="shared" si="17"/>
        <v>191.9484</v>
      </c>
      <c r="P54" s="89">
        <v>146</v>
      </c>
      <c r="Q54" s="89">
        <v>0.29</v>
      </c>
      <c r="R54" s="90">
        <f>$C54*(3672*Q54)/2000</f>
        <v>111.8124</v>
      </c>
      <c r="S54" s="89">
        <v>0.15</v>
      </c>
      <c r="T54" s="90">
        <f>$C54*(5088*S54)/2000</f>
        <v>80.136</v>
      </c>
      <c r="U54" s="89">
        <f t="shared" si="20"/>
        <v>146</v>
      </c>
      <c r="V54" s="89">
        <v>0.29</v>
      </c>
      <c r="W54" s="90">
        <f>$C54*(3672*V54)/2000</f>
        <v>111.8124</v>
      </c>
      <c r="X54" s="89">
        <v>0.15</v>
      </c>
      <c r="Y54" s="90">
        <f>$C54*(5088*X54)/2000</f>
        <v>80.136</v>
      </c>
      <c r="Z54" s="89">
        <f t="shared" si="21"/>
        <v>146</v>
      </c>
    </row>
    <row r="55" spans="1:26" ht="13.5" thickBot="1">
      <c r="A55" s="86" t="s">
        <v>42</v>
      </c>
      <c r="B55" s="86" t="s">
        <v>251</v>
      </c>
      <c r="C55" s="87">
        <v>249</v>
      </c>
      <c r="D55" s="87">
        <v>8760</v>
      </c>
      <c r="E55" s="87">
        <v>0.9</v>
      </c>
      <c r="F55" s="88">
        <f t="shared" si="15"/>
        <v>981.558</v>
      </c>
      <c r="G55" s="89">
        <v>982</v>
      </c>
      <c r="H55" s="89">
        <v>0.29</v>
      </c>
      <c r="I55" s="88">
        <f t="shared" si="18"/>
        <v>316.27979999999997</v>
      </c>
      <c r="J55" s="89">
        <v>316</v>
      </c>
      <c r="K55" s="89">
        <v>0.29</v>
      </c>
      <c r="L55" s="90">
        <f t="shared" si="16"/>
        <v>132.57756</v>
      </c>
      <c r="M55" s="89">
        <v>0.15</v>
      </c>
      <c r="N55" s="90">
        <f t="shared" si="19"/>
        <v>95.0184</v>
      </c>
      <c r="O55" s="90">
        <f t="shared" si="17"/>
        <v>227.59596</v>
      </c>
      <c r="P55" s="89">
        <v>228</v>
      </c>
      <c r="Q55" s="89">
        <v>0.29</v>
      </c>
      <c r="R55" s="90">
        <f>$C55*(3672*Q55)/2000</f>
        <v>132.57756</v>
      </c>
      <c r="S55" s="89">
        <v>0.15</v>
      </c>
      <c r="T55" s="90">
        <f>$C55*(5088*S55)/2000</f>
        <v>95.0184</v>
      </c>
      <c r="U55" s="89">
        <f t="shared" si="20"/>
        <v>228</v>
      </c>
      <c r="V55" s="89">
        <v>0.29</v>
      </c>
      <c r="W55" s="90">
        <f>$C55*(3672*V55)/2000</f>
        <v>132.57756</v>
      </c>
      <c r="X55" s="89">
        <v>0.15</v>
      </c>
      <c r="Y55" s="90">
        <f>$C55*(5088*X55)/2000</f>
        <v>95.0184</v>
      </c>
      <c r="Z55" s="89">
        <f t="shared" si="21"/>
        <v>228</v>
      </c>
    </row>
    <row r="56" spans="1:26" ht="13.5" thickBot="1">
      <c r="A56" s="86" t="s">
        <v>43</v>
      </c>
      <c r="B56" s="86" t="s">
        <v>252</v>
      </c>
      <c r="C56" s="87">
        <v>399.5</v>
      </c>
      <c r="D56" s="87">
        <v>8760</v>
      </c>
      <c r="E56" s="87">
        <v>0.3</v>
      </c>
      <c r="F56" s="88">
        <f t="shared" si="15"/>
        <v>524.943</v>
      </c>
      <c r="G56" s="89">
        <v>524</v>
      </c>
      <c r="H56" s="89">
        <v>0.25</v>
      </c>
      <c r="I56" s="88">
        <f t="shared" si="18"/>
        <v>437.4525</v>
      </c>
      <c r="J56" s="89">
        <v>437</v>
      </c>
      <c r="K56" s="89">
        <v>0.25</v>
      </c>
      <c r="L56" s="90">
        <f t="shared" si="16"/>
        <v>183.3705</v>
      </c>
      <c r="M56" s="89">
        <v>0.15</v>
      </c>
      <c r="N56" s="90">
        <f t="shared" si="19"/>
        <v>152.4492</v>
      </c>
      <c r="O56" s="90">
        <f t="shared" si="17"/>
        <v>335.8197</v>
      </c>
      <c r="P56" s="89">
        <v>335</v>
      </c>
      <c r="Q56" s="89">
        <v>0.25</v>
      </c>
      <c r="R56" s="90">
        <f>$C56*(3672*Q56)/2000</f>
        <v>183.3705</v>
      </c>
      <c r="S56" s="89">
        <v>0.15</v>
      </c>
      <c r="T56" s="90">
        <f>$C56*(5088*S56)/2000</f>
        <v>152.4492</v>
      </c>
      <c r="U56" s="89">
        <f t="shared" si="20"/>
        <v>335</v>
      </c>
      <c r="V56" s="89">
        <v>0.25</v>
      </c>
      <c r="W56" s="90">
        <f>$C56*(3672*V56)/2000</f>
        <v>183.3705</v>
      </c>
      <c r="X56" s="89">
        <v>0.15</v>
      </c>
      <c r="Y56" s="90">
        <f>$C56*(5088*X56)/2000</f>
        <v>152.4492</v>
      </c>
      <c r="Z56" s="89">
        <f t="shared" si="21"/>
        <v>335</v>
      </c>
    </row>
    <row r="57" spans="1:26" ht="13.5" thickBot="1">
      <c r="A57" s="86" t="s">
        <v>44</v>
      </c>
      <c r="B57" s="86" t="s">
        <v>253</v>
      </c>
      <c r="C57" s="87">
        <v>266</v>
      </c>
      <c r="D57" s="87">
        <v>8760</v>
      </c>
      <c r="E57" s="87">
        <v>0.3</v>
      </c>
      <c r="F57" s="88">
        <f t="shared" si="15"/>
        <v>349.524</v>
      </c>
      <c r="G57" s="89">
        <v>351</v>
      </c>
      <c r="H57" s="87"/>
      <c r="I57" s="88"/>
      <c r="J57" s="89">
        <v>292</v>
      </c>
      <c r="K57" s="89"/>
      <c r="L57" s="89"/>
      <c r="M57" s="89"/>
      <c r="N57" s="89"/>
      <c r="O57" s="89">
        <v>52.13</v>
      </c>
      <c r="P57" s="99">
        <v>224</v>
      </c>
      <c r="Q57" s="158" t="s">
        <v>278</v>
      </c>
      <c r="R57" s="159"/>
      <c r="S57" s="159"/>
      <c r="T57" s="159"/>
      <c r="U57" s="159"/>
      <c r="V57" s="159"/>
      <c r="W57" s="159"/>
      <c r="X57" s="159"/>
      <c r="Y57" s="159"/>
      <c r="Z57" s="160"/>
    </row>
    <row r="58" spans="1:26" ht="13.5" thickBot="1">
      <c r="A58" s="86" t="s">
        <v>45</v>
      </c>
      <c r="B58" s="86" t="s">
        <v>254</v>
      </c>
      <c r="C58" s="87">
        <v>366</v>
      </c>
      <c r="D58" s="87">
        <v>8760</v>
      </c>
      <c r="E58" s="87"/>
      <c r="F58" s="88"/>
      <c r="G58" s="89">
        <v>41.71</v>
      </c>
      <c r="H58" s="87"/>
      <c r="I58" s="88"/>
      <c r="J58" s="89">
        <v>45.21</v>
      </c>
      <c r="K58" s="89"/>
      <c r="L58" s="89"/>
      <c r="M58" s="89"/>
      <c r="N58" s="89"/>
      <c r="O58" s="101">
        <v>45.76</v>
      </c>
      <c r="P58" s="89">
        <v>45.2</v>
      </c>
      <c r="Q58" s="89"/>
      <c r="R58" s="89">
        <f>U58/365*153</f>
        <v>17.865369863013697</v>
      </c>
      <c r="S58" s="89"/>
      <c r="T58" s="89">
        <f>(U58/365)*212</f>
        <v>24.7546301369863</v>
      </c>
      <c r="U58" s="89">
        <v>42.62</v>
      </c>
      <c r="V58" s="89"/>
      <c r="W58" s="89">
        <f>Z58/365*153</f>
        <v>17.865369863013697</v>
      </c>
      <c r="X58" s="89"/>
      <c r="Y58" s="89">
        <f>(Z58/365)*212</f>
        <v>24.7546301369863</v>
      </c>
      <c r="Z58" s="89">
        <v>42.62</v>
      </c>
    </row>
    <row r="59" spans="1:26" ht="13.5" thickBot="1">
      <c r="A59" s="86" t="s">
        <v>46</v>
      </c>
      <c r="B59" s="86" t="s">
        <v>255</v>
      </c>
      <c r="C59" s="87">
        <v>255</v>
      </c>
      <c r="D59" s="87">
        <v>8760</v>
      </c>
      <c r="E59" s="87">
        <v>0.9</v>
      </c>
      <c r="F59" s="88">
        <f aca="true" t="shared" si="22" ref="F59:F68">($C59*$D59*E59)/2000</f>
        <v>1005.21</v>
      </c>
      <c r="G59" s="89">
        <v>1005</v>
      </c>
      <c r="H59" s="89">
        <v>0.29</v>
      </c>
      <c r="I59" s="88">
        <f aca="true" t="shared" si="23" ref="I59:I66">($C59*$D59*H59)/2000</f>
        <v>323.901</v>
      </c>
      <c r="J59" s="89">
        <v>324</v>
      </c>
      <c r="K59" s="89">
        <v>0.29</v>
      </c>
      <c r="L59" s="90">
        <f aca="true" t="shared" si="24" ref="L59:L66">$C59*(3672*K59)/2000</f>
        <v>135.77219999999997</v>
      </c>
      <c r="M59" s="89">
        <v>0.15</v>
      </c>
      <c r="N59" s="90">
        <f aca="true" t="shared" si="25" ref="N59:N66">$C59*(5088*M59)/2000</f>
        <v>97.30799999999998</v>
      </c>
      <c r="O59" s="90">
        <f aca="true" t="shared" si="26" ref="O59:O66">L59+N59</f>
        <v>233.08019999999993</v>
      </c>
      <c r="P59" s="89">
        <v>233</v>
      </c>
      <c r="Q59" s="89">
        <v>0.29</v>
      </c>
      <c r="R59" s="90">
        <f aca="true" t="shared" si="27" ref="R59:R66">$C59*(3672*Q59)/2000</f>
        <v>135.77219999999997</v>
      </c>
      <c r="S59" s="89">
        <v>0.15</v>
      </c>
      <c r="T59" s="90">
        <f aca="true" t="shared" si="28" ref="T59:T66">$C59*(5088*S59)/2000</f>
        <v>97.30799999999998</v>
      </c>
      <c r="U59" s="91">
        <f>P59</f>
        <v>233</v>
      </c>
      <c r="V59" s="89">
        <v>0.29</v>
      </c>
      <c r="W59" s="90">
        <f aca="true" t="shared" si="29" ref="W59:W66">$C59*(3672*V59)/2000</f>
        <v>135.77219999999997</v>
      </c>
      <c r="X59" s="89">
        <v>0.15</v>
      </c>
      <c r="Y59" s="90">
        <f aca="true" t="shared" si="30" ref="Y59:Y66">$C59*(5088*X59)/2000</f>
        <v>97.30799999999998</v>
      </c>
      <c r="Z59" s="91">
        <f>U59</f>
        <v>233</v>
      </c>
    </row>
    <row r="60" spans="1:26" ht="13.5" thickBot="1">
      <c r="A60" s="86" t="s">
        <v>47</v>
      </c>
      <c r="B60" s="86" t="s">
        <v>256</v>
      </c>
      <c r="C60" s="87">
        <v>255</v>
      </c>
      <c r="D60" s="87">
        <v>8760</v>
      </c>
      <c r="E60" s="87">
        <v>0.9</v>
      </c>
      <c r="F60" s="88">
        <f t="shared" si="22"/>
        <v>1005.21</v>
      </c>
      <c r="G60" s="89">
        <v>1005</v>
      </c>
      <c r="H60" s="89">
        <v>0.29</v>
      </c>
      <c r="I60" s="88">
        <f t="shared" si="23"/>
        <v>323.901</v>
      </c>
      <c r="J60" s="89">
        <v>324</v>
      </c>
      <c r="K60" s="89">
        <v>0.29</v>
      </c>
      <c r="L60" s="90">
        <f t="shared" si="24"/>
        <v>135.77219999999997</v>
      </c>
      <c r="M60" s="89">
        <v>0.15</v>
      </c>
      <c r="N60" s="90">
        <f t="shared" si="25"/>
        <v>97.30799999999998</v>
      </c>
      <c r="O60" s="90">
        <f t="shared" si="26"/>
        <v>233.08019999999993</v>
      </c>
      <c r="P60" s="89">
        <v>233</v>
      </c>
      <c r="Q60" s="89">
        <v>0.29</v>
      </c>
      <c r="R60" s="90">
        <f t="shared" si="27"/>
        <v>135.77219999999997</v>
      </c>
      <c r="S60" s="89">
        <v>0.15</v>
      </c>
      <c r="T60" s="90">
        <f t="shared" si="28"/>
        <v>97.30799999999998</v>
      </c>
      <c r="U60" s="91">
        <f aca="true" t="shared" si="31" ref="U60:U73">P60</f>
        <v>233</v>
      </c>
      <c r="V60" s="89">
        <v>0.29</v>
      </c>
      <c r="W60" s="90">
        <f t="shared" si="29"/>
        <v>135.77219999999997</v>
      </c>
      <c r="X60" s="89">
        <v>0.15</v>
      </c>
      <c r="Y60" s="90">
        <f t="shared" si="30"/>
        <v>97.30799999999998</v>
      </c>
      <c r="Z60" s="91">
        <f aca="true" t="shared" si="32" ref="Z60:Z73">U60</f>
        <v>233</v>
      </c>
    </row>
    <row r="61" spans="1:26" ht="13.5" thickBot="1">
      <c r="A61" s="86" t="s">
        <v>48</v>
      </c>
      <c r="B61" s="86" t="s">
        <v>257</v>
      </c>
      <c r="C61" s="87">
        <v>255</v>
      </c>
      <c r="D61" s="87">
        <v>8760</v>
      </c>
      <c r="E61" s="87">
        <v>0.9</v>
      </c>
      <c r="F61" s="88">
        <f t="shared" si="22"/>
        <v>1005.21</v>
      </c>
      <c r="G61" s="89">
        <v>1005</v>
      </c>
      <c r="H61" s="89">
        <v>0.29</v>
      </c>
      <c r="I61" s="88">
        <f t="shared" si="23"/>
        <v>323.901</v>
      </c>
      <c r="J61" s="89">
        <v>324</v>
      </c>
      <c r="K61" s="89">
        <v>0.29</v>
      </c>
      <c r="L61" s="90">
        <f t="shared" si="24"/>
        <v>135.77219999999997</v>
      </c>
      <c r="M61" s="89">
        <v>0.15</v>
      </c>
      <c r="N61" s="90">
        <f t="shared" si="25"/>
        <v>97.30799999999998</v>
      </c>
      <c r="O61" s="90">
        <f t="shared" si="26"/>
        <v>233.08019999999993</v>
      </c>
      <c r="P61" s="89">
        <v>233</v>
      </c>
      <c r="Q61" s="89">
        <v>0.29</v>
      </c>
      <c r="R61" s="90">
        <f t="shared" si="27"/>
        <v>135.77219999999997</v>
      </c>
      <c r="S61" s="89">
        <v>0.15</v>
      </c>
      <c r="T61" s="90">
        <f t="shared" si="28"/>
        <v>97.30799999999998</v>
      </c>
      <c r="U61" s="91">
        <f t="shared" si="31"/>
        <v>233</v>
      </c>
      <c r="V61" s="89">
        <v>0.29</v>
      </c>
      <c r="W61" s="90">
        <f t="shared" si="29"/>
        <v>135.77219999999997</v>
      </c>
      <c r="X61" s="89">
        <v>0.15</v>
      </c>
      <c r="Y61" s="90">
        <f t="shared" si="30"/>
        <v>97.30799999999998</v>
      </c>
      <c r="Z61" s="91">
        <f t="shared" si="32"/>
        <v>233</v>
      </c>
    </row>
    <row r="62" spans="1:26" ht="13.5" thickBot="1">
      <c r="A62" s="86" t="s">
        <v>49</v>
      </c>
      <c r="B62" s="86" t="s">
        <v>258</v>
      </c>
      <c r="C62" s="87">
        <v>255</v>
      </c>
      <c r="D62" s="87">
        <v>8760</v>
      </c>
      <c r="E62" s="87">
        <v>0.9</v>
      </c>
      <c r="F62" s="88">
        <f t="shared" si="22"/>
        <v>1005.21</v>
      </c>
      <c r="G62" s="89">
        <v>1005</v>
      </c>
      <c r="H62" s="89">
        <v>0.29</v>
      </c>
      <c r="I62" s="88">
        <f t="shared" si="23"/>
        <v>323.901</v>
      </c>
      <c r="J62" s="89">
        <v>324</v>
      </c>
      <c r="K62" s="89">
        <v>0.29</v>
      </c>
      <c r="L62" s="90">
        <f t="shared" si="24"/>
        <v>135.77219999999997</v>
      </c>
      <c r="M62" s="89">
        <v>0.15</v>
      </c>
      <c r="N62" s="90">
        <f t="shared" si="25"/>
        <v>97.30799999999998</v>
      </c>
      <c r="O62" s="90">
        <f t="shared" si="26"/>
        <v>233.08019999999993</v>
      </c>
      <c r="P62" s="89">
        <v>233</v>
      </c>
      <c r="Q62" s="89">
        <v>0.29</v>
      </c>
      <c r="R62" s="90">
        <f t="shared" si="27"/>
        <v>135.77219999999997</v>
      </c>
      <c r="S62" s="89">
        <v>0.15</v>
      </c>
      <c r="T62" s="90">
        <f t="shared" si="28"/>
        <v>97.30799999999998</v>
      </c>
      <c r="U62" s="91">
        <f t="shared" si="31"/>
        <v>233</v>
      </c>
      <c r="V62" s="89">
        <v>0.29</v>
      </c>
      <c r="W62" s="90">
        <f t="shared" si="29"/>
        <v>135.77219999999997</v>
      </c>
      <c r="X62" s="89">
        <v>0.15</v>
      </c>
      <c r="Y62" s="90">
        <f t="shared" si="30"/>
        <v>97.30799999999998</v>
      </c>
      <c r="Z62" s="91">
        <f t="shared" si="32"/>
        <v>233</v>
      </c>
    </row>
    <row r="63" spans="1:26" ht="13.5" thickBot="1">
      <c r="A63" s="86" t="s">
        <v>50</v>
      </c>
      <c r="B63" s="86" t="s">
        <v>259</v>
      </c>
      <c r="C63" s="87">
        <v>255</v>
      </c>
      <c r="D63" s="87">
        <v>8760</v>
      </c>
      <c r="E63" s="87">
        <v>0.9</v>
      </c>
      <c r="F63" s="88">
        <f t="shared" si="22"/>
        <v>1005.21</v>
      </c>
      <c r="G63" s="89">
        <v>1005</v>
      </c>
      <c r="H63" s="89">
        <v>0.29</v>
      </c>
      <c r="I63" s="88">
        <f t="shared" si="23"/>
        <v>323.901</v>
      </c>
      <c r="J63" s="89">
        <v>324</v>
      </c>
      <c r="K63" s="89">
        <v>0.29</v>
      </c>
      <c r="L63" s="90">
        <f t="shared" si="24"/>
        <v>135.77219999999997</v>
      </c>
      <c r="M63" s="89">
        <v>0.15</v>
      </c>
      <c r="N63" s="90">
        <f t="shared" si="25"/>
        <v>97.30799999999998</v>
      </c>
      <c r="O63" s="90">
        <f t="shared" si="26"/>
        <v>233.08019999999993</v>
      </c>
      <c r="P63" s="89">
        <v>233</v>
      </c>
      <c r="Q63" s="89">
        <v>0.29</v>
      </c>
      <c r="R63" s="90">
        <f t="shared" si="27"/>
        <v>135.77219999999997</v>
      </c>
      <c r="S63" s="89">
        <v>0.15</v>
      </c>
      <c r="T63" s="90">
        <f t="shared" si="28"/>
        <v>97.30799999999998</v>
      </c>
      <c r="U63" s="91">
        <f t="shared" si="31"/>
        <v>233</v>
      </c>
      <c r="V63" s="89">
        <v>0.29</v>
      </c>
      <c r="W63" s="90">
        <f t="shared" si="29"/>
        <v>135.77219999999997</v>
      </c>
      <c r="X63" s="89">
        <v>0.15</v>
      </c>
      <c r="Y63" s="90">
        <f t="shared" si="30"/>
        <v>97.30799999999998</v>
      </c>
      <c r="Z63" s="91">
        <f t="shared" si="32"/>
        <v>233</v>
      </c>
    </row>
    <row r="64" spans="1:26" ht="13.5" thickBot="1">
      <c r="A64" s="86" t="s">
        <v>51</v>
      </c>
      <c r="B64" s="86" t="s">
        <v>260</v>
      </c>
      <c r="C64" s="87">
        <v>255</v>
      </c>
      <c r="D64" s="87">
        <v>8760</v>
      </c>
      <c r="E64" s="87">
        <v>0.9</v>
      </c>
      <c r="F64" s="88">
        <f t="shared" si="22"/>
        <v>1005.21</v>
      </c>
      <c r="G64" s="89">
        <v>1005</v>
      </c>
      <c r="H64" s="89">
        <v>0.29</v>
      </c>
      <c r="I64" s="88">
        <f t="shared" si="23"/>
        <v>323.901</v>
      </c>
      <c r="J64" s="89">
        <v>324</v>
      </c>
      <c r="K64" s="89">
        <v>0.29</v>
      </c>
      <c r="L64" s="90">
        <f t="shared" si="24"/>
        <v>135.77219999999997</v>
      </c>
      <c r="M64" s="89">
        <v>0.15</v>
      </c>
      <c r="N64" s="90">
        <f t="shared" si="25"/>
        <v>97.30799999999998</v>
      </c>
      <c r="O64" s="90">
        <f t="shared" si="26"/>
        <v>233.08019999999993</v>
      </c>
      <c r="P64" s="89">
        <v>233</v>
      </c>
      <c r="Q64" s="89">
        <v>0.29</v>
      </c>
      <c r="R64" s="90">
        <f t="shared" si="27"/>
        <v>135.77219999999997</v>
      </c>
      <c r="S64" s="89">
        <v>0.15</v>
      </c>
      <c r="T64" s="90">
        <f t="shared" si="28"/>
        <v>97.30799999999998</v>
      </c>
      <c r="U64" s="91">
        <f t="shared" si="31"/>
        <v>233</v>
      </c>
      <c r="V64" s="89">
        <v>0.29</v>
      </c>
      <c r="W64" s="90">
        <f t="shared" si="29"/>
        <v>135.77219999999997</v>
      </c>
      <c r="X64" s="89">
        <v>0.15</v>
      </c>
      <c r="Y64" s="90">
        <f t="shared" si="30"/>
        <v>97.30799999999998</v>
      </c>
      <c r="Z64" s="91">
        <f t="shared" si="32"/>
        <v>233</v>
      </c>
    </row>
    <row r="65" spans="1:26" ht="13.5" thickBot="1">
      <c r="A65" s="86" t="s">
        <v>52</v>
      </c>
      <c r="B65" s="86" t="s">
        <v>261</v>
      </c>
      <c r="C65" s="87">
        <v>255</v>
      </c>
      <c r="D65" s="87">
        <v>8760</v>
      </c>
      <c r="E65" s="87">
        <v>0.9</v>
      </c>
      <c r="F65" s="88">
        <f t="shared" si="22"/>
        <v>1005.21</v>
      </c>
      <c r="G65" s="89">
        <v>1005</v>
      </c>
      <c r="H65" s="89">
        <v>0.29</v>
      </c>
      <c r="I65" s="88">
        <f t="shared" si="23"/>
        <v>323.901</v>
      </c>
      <c r="J65" s="89">
        <v>324</v>
      </c>
      <c r="K65" s="89">
        <v>0.29</v>
      </c>
      <c r="L65" s="90">
        <f t="shared" si="24"/>
        <v>135.77219999999997</v>
      </c>
      <c r="M65" s="89">
        <v>0.15</v>
      </c>
      <c r="N65" s="90">
        <f t="shared" si="25"/>
        <v>97.30799999999998</v>
      </c>
      <c r="O65" s="90">
        <f t="shared" si="26"/>
        <v>233.08019999999993</v>
      </c>
      <c r="P65" s="89">
        <v>233</v>
      </c>
      <c r="Q65" s="89">
        <v>0.29</v>
      </c>
      <c r="R65" s="90">
        <f t="shared" si="27"/>
        <v>135.77219999999997</v>
      </c>
      <c r="S65" s="89">
        <v>0.15</v>
      </c>
      <c r="T65" s="90">
        <f t="shared" si="28"/>
        <v>97.30799999999998</v>
      </c>
      <c r="U65" s="91">
        <f t="shared" si="31"/>
        <v>233</v>
      </c>
      <c r="V65" s="89">
        <v>0.29</v>
      </c>
      <c r="W65" s="90">
        <f t="shared" si="29"/>
        <v>135.77219999999997</v>
      </c>
      <c r="X65" s="89">
        <v>0.15</v>
      </c>
      <c r="Y65" s="90">
        <f t="shared" si="30"/>
        <v>97.30799999999998</v>
      </c>
      <c r="Z65" s="91">
        <f t="shared" si="32"/>
        <v>233</v>
      </c>
    </row>
    <row r="66" spans="1:26" ht="13.5" thickBot="1">
      <c r="A66" s="86" t="s">
        <v>53</v>
      </c>
      <c r="B66" s="86" t="s">
        <v>262</v>
      </c>
      <c r="C66" s="87">
        <v>255</v>
      </c>
      <c r="D66" s="87">
        <v>8760</v>
      </c>
      <c r="E66" s="87">
        <v>0.9</v>
      </c>
      <c r="F66" s="88">
        <f t="shared" si="22"/>
        <v>1005.21</v>
      </c>
      <c r="G66" s="89">
        <v>1005</v>
      </c>
      <c r="H66" s="89">
        <v>0.29</v>
      </c>
      <c r="I66" s="88">
        <f t="shared" si="23"/>
        <v>323.901</v>
      </c>
      <c r="J66" s="89">
        <v>324</v>
      </c>
      <c r="K66" s="89">
        <v>0.29</v>
      </c>
      <c r="L66" s="90">
        <f t="shared" si="24"/>
        <v>135.77219999999997</v>
      </c>
      <c r="M66" s="89">
        <v>0.15</v>
      </c>
      <c r="N66" s="90">
        <f t="shared" si="25"/>
        <v>97.30799999999998</v>
      </c>
      <c r="O66" s="90">
        <f t="shared" si="26"/>
        <v>233.08019999999993</v>
      </c>
      <c r="P66" s="89">
        <v>233</v>
      </c>
      <c r="Q66" s="89">
        <v>0.29</v>
      </c>
      <c r="R66" s="90">
        <f t="shared" si="27"/>
        <v>135.77219999999997</v>
      </c>
      <c r="S66" s="89">
        <v>0.15</v>
      </c>
      <c r="T66" s="90">
        <f t="shared" si="28"/>
        <v>97.30799999999998</v>
      </c>
      <c r="U66" s="91">
        <f t="shared" si="31"/>
        <v>233</v>
      </c>
      <c r="V66" s="89">
        <v>0.29</v>
      </c>
      <c r="W66" s="90">
        <f t="shared" si="29"/>
        <v>135.77219999999997</v>
      </c>
      <c r="X66" s="89">
        <v>0.15</v>
      </c>
      <c r="Y66" s="90">
        <f t="shared" si="30"/>
        <v>97.30799999999998</v>
      </c>
      <c r="Z66" s="91">
        <f t="shared" si="32"/>
        <v>233</v>
      </c>
    </row>
    <row r="67" spans="1:26" ht="13.5" thickBot="1">
      <c r="A67" s="86" t="s">
        <v>54</v>
      </c>
      <c r="B67" s="86" t="s">
        <v>238</v>
      </c>
      <c r="C67" s="87">
        <v>230</v>
      </c>
      <c r="D67" s="87">
        <v>8760</v>
      </c>
      <c r="E67" s="87">
        <v>0.9</v>
      </c>
      <c r="F67" s="88">
        <f t="shared" si="22"/>
        <v>906.66</v>
      </c>
      <c r="G67" s="89">
        <v>907</v>
      </c>
      <c r="H67" s="89">
        <v>0.29</v>
      </c>
      <c r="I67" s="88">
        <f>($C67*$D67*H67)/2000</f>
        <v>292.146</v>
      </c>
      <c r="J67" s="89">
        <v>292</v>
      </c>
      <c r="K67" s="89">
        <v>0.29</v>
      </c>
      <c r="L67" s="90">
        <f>$C67*(3672*K67)/2000</f>
        <v>122.46119999999998</v>
      </c>
      <c r="M67" s="89">
        <v>0.15</v>
      </c>
      <c r="N67" s="90">
        <f>$C67*(5088*M67)/2000</f>
        <v>87.76799999999999</v>
      </c>
      <c r="O67" s="90">
        <f>L67+N67</f>
        <v>210.22919999999996</v>
      </c>
      <c r="P67" s="89">
        <v>210</v>
      </c>
      <c r="Q67" s="89">
        <v>0.29</v>
      </c>
      <c r="R67" s="90">
        <f>$C67*(3672*Q67)/2000</f>
        <v>122.46119999999998</v>
      </c>
      <c r="S67" s="89">
        <v>0.15</v>
      </c>
      <c r="T67" s="90">
        <f>$C67*(5088*S67)/2000</f>
        <v>87.76799999999999</v>
      </c>
      <c r="U67" s="91">
        <f t="shared" si="31"/>
        <v>210</v>
      </c>
      <c r="V67" s="89">
        <v>0.29</v>
      </c>
      <c r="W67" s="90">
        <f>$C67*(3672*V67)/2000</f>
        <v>122.46119999999998</v>
      </c>
      <c r="X67" s="89">
        <v>0.15</v>
      </c>
      <c r="Y67" s="90">
        <f>$C67*(5088*X67)/2000</f>
        <v>87.76799999999999</v>
      </c>
      <c r="Z67" s="91">
        <f t="shared" si="32"/>
        <v>210</v>
      </c>
    </row>
    <row r="68" spans="1:26" ht="13.5" thickBot="1">
      <c r="A68" s="86" t="s">
        <v>55</v>
      </c>
      <c r="B68" s="86" t="s">
        <v>263</v>
      </c>
      <c r="C68" s="87">
        <v>230</v>
      </c>
      <c r="D68" s="87">
        <v>8760</v>
      </c>
      <c r="E68" s="87">
        <v>0.9</v>
      </c>
      <c r="F68" s="88">
        <f t="shared" si="22"/>
        <v>906.66</v>
      </c>
      <c r="G68" s="89">
        <v>907</v>
      </c>
      <c r="H68" s="89">
        <v>0.29</v>
      </c>
      <c r="I68" s="88">
        <f>($C68*$D68*H68)/2000</f>
        <v>292.146</v>
      </c>
      <c r="J68" s="89">
        <v>292</v>
      </c>
      <c r="K68" s="89">
        <v>0.29</v>
      </c>
      <c r="L68" s="90">
        <f>$C68*(3672*K68)/2000</f>
        <v>122.46119999999998</v>
      </c>
      <c r="M68" s="89">
        <v>0.15</v>
      </c>
      <c r="N68" s="90">
        <f>$C68*(5088*M68)/2000</f>
        <v>87.76799999999999</v>
      </c>
      <c r="O68" s="90">
        <f>L68+N68</f>
        <v>210.22919999999996</v>
      </c>
      <c r="P68" s="89">
        <v>210</v>
      </c>
      <c r="Q68" s="89">
        <v>0.29</v>
      </c>
      <c r="R68" s="90">
        <f>$C68*(3672*Q68)/2000</f>
        <v>122.46119999999998</v>
      </c>
      <c r="S68" s="89">
        <v>0.15</v>
      </c>
      <c r="T68" s="90">
        <f>$C68*(5088*S68)/2000</f>
        <v>87.76799999999999</v>
      </c>
      <c r="U68" s="91">
        <f t="shared" si="31"/>
        <v>210</v>
      </c>
      <c r="V68" s="89">
        <v>0.29</v>
      </c>
      <c r="W68" s="90">
        <f>$C68*(3672*V68)/2000</f>
        <v>122.46119999999998</v>
      </c>
      <c r="X68" s="89">
        <v>0.15</v>
      </c>
      <c r="Y68" s="90">
        <f>$C68*(5088*X68)/2000</f>
        <v>87.76799999999999</v>
      </c>
      <c r="Z68" s="91">
        <f t="shared" si="32"/>
        <v>210</v>
      </c>
    </row>
    <row r="69" spans="1:26" ht="13.5" thickBot="1">
      <c r="A69" s="86" t="s">
        <v>56</v>
      </c>
      <c r="B69" s="86" t="s">
        <v>264</v>
      </c>
      <c r="C69" s="87">
        <v>461.2</v>
      </c>
      <c r="D69" s="87">
        <v>4000</v>
      </c>
      <c r="E69" s="87"/>
      <c r="F69" s="88"/>
      <c r="G69" s="89" t="s">
        <v>68</v>
      </c>
      <c r="H69" s="87"/>
      <c r="I69" s="88"/>
      <c r="J69" s="89">
        <v>8.6</v>
      </c>
      <c r="K69" s="89"/>
      <c r="L69" s="89"/>
      <c r="M69" s="89"/>
      <c r="N69" s="89"/>
      <c r="O69" s="90"/>
      <c r="P69" s="89">
        <v>8.6</v>
      </c>
      <c r="Q69" s="89"/>
      <c r="R69" s="89"/>
      <c r="S69" s="89"/>
      <c r="T69" s="89"/>
      <c r="U69" s="91">
        <f t="shared" si="31"/>
        <v>8.6</v>
      </c>
      <c r="V69" s="89"/>
      <c r="W69" s="89"/>
      <c r="X69" s="89"/>
      <c r="Y69" s="89"/>
      <c r="Z69" s="91">
        <f t="shared" si="32"/>
        <v>8.6</v>
      </c>
    </row>
    <row r="70" spans="1:26" ht="13.5" thickBot="1">
      <c r="A70" s="86" t="s">
        <v>57</v>
      </c>
      <c r="B70" s="86" t="s">
        <v>265</v>
      </c>
      <c r="C70" s="87">
        <v>461.2</v>
      </c>
      <c r="D70" s="87">
        <v>4000</v>
      </c>
      <c r="E70" s="87"/>
      <c r="F70" s="88"/>
      <c r="G70" s="89" t="s">
        <v>68</v>
      </c>
      <c r="H70" s="87"/>
      <c r="I70" s="88"/>
      <c r="J70" s="89">
        <v>8.6</v>
      </c>
      <c r="K70" s="89"/>
      <c r="L70" s="89"/>
      <c r="M70" s="89"/>
      <c r="N70" s="89"/>
      <c r="O70" s="90"/>
      <c r="P70" s="89">
        <v>8.6</v>
      </c>
      <c r="Q70" s="89"/>
      <c r="R70" s="89"/>
      <c r="S70" s="89"/>
      <c r="T70" s="89"/>
      <c r="U70" s="91">
        <f t="shared" si="31"/>
        <v>8.6</v>
      </c>
      <c r="V70" s="89"/>
      <c r="W70" s="89"/>
      <c r="X70" s="89"/>
      <c r="Y70" s="89"/>
      <c r="Z70" s="91">
        <f t="shared" si="32"/>
        <v>8.6</v>
      </c>
    </row>
    <row r="71" spans="1:26" ht="13.5" thickBot="1">
      <c r="A71" s="86" t="s">
        <v>58</v>
      </c>
      <c r="B71" s="86" t="s">
        <v>266</v>
      </c>
      <c r="C71" s="87">
        <v>461.2</v>
      </c>
      <c r="D71" s="87">
        <v>4000</v>
      </c>
      <c r="E71" s="87"/>
      <c r="F71" s="88"/>
      <c r="G71" s="89" t="s">
        <v>68</v>
      </c>
      <c r="H71" s="87"/>
      <c r="I71" s="88"/>
      <c r="J71" s="89">
        <v>8.6</v>
      </c>
      <c r="K71" s="89"/>
      <c r="L71" s="89"/>
      <c r="M71" s="89"/>
      <c r="N71" s="89"/>
      <c r="O71" s="90"/>
      <c r="P71" s="89">
        <v>8.6</v>
      </c>
      <c r="Q71" s="89"/>
      <c r="R71" s="89"/>
      <c r="S71" s="89"/>
      <c r="T71" s="89"/>
      <c r="U71" s="91">
        <f t="shared" si="31"/>
        <v>8.6</v>
      </c>
      <c r="V71" s="89"/>
      <c r="W71" s="89"/>
      <c r="X71" s="89"/>
      <c r="Y71" s="89"/>
      <c r="Z71" s="91">
        <f t="shared" si="32"/>
        <v>8.6</v>
      </c>
    </row>
    <row r="72" spans="1:26" ht="13.5" thickBot="1">
      <c r="A72" s="86" t="s">
        <v>59</v>
      </c>
      <c r="B72" s="86" t="s">
        <v>267</v>
      </c>
      <c r="C72" s="87">
        <v>461.2</v>
      </c>
      <c r="D72" s="87">
        <v>4000</v>
      </c>
      <c r="E72" s="87"/>
      <c r="F72" s="88"/>
      <c r="G72" s="89" t="s">
        <v>68</v>
      </c>
      <c r="H72" s="87"/>
      <c r="I72" s="88"/>
      <c r="J72" s="89">
        <v>8.6</v>
      </c>
      <c r="K72" s="89"/>
      <c r="L72" s="89"/>
      <c r="M72" s="89"/>
      <c r="N72" s="89"/>
      <c r="O72" s="90"/>
      <c r="P72" s="89">
        <v>8.6</v>
      </c>
      <c r="Q72" s="89"/>
      <c r="R72" s="89"/>
      <c r="S72" s="89"/>
      <c r="T72" s="89"/>
      <c r="U72" s="91">
        <f t="shared" si="31"/>
        <v>8.6</v>
      </c>
      <c r="V72" s="89"/>
      <c r="W72" s="89"/>
      <c r="X72" s="89"/>
      <c r="Y72" s="89"/>
      <c r="Z72" s="91">
        <f t="shared" si="32"/>
        <v>8.6</v>
      </c>
    </row>
    <row r="73" spans="1:26" ht="13.5" thickBot="1">
      <c r="A73" s="86" t="s">
        <v>60</v>
      </c>
      <c r="B73" s="86" t="s">
        <v>268</v>
      </c>
      <c r="C73" s="87">
        <v>461.2</v>
      </c>
      <c r="D73" s="87">
        <v>4000</v>
      </c>
      <c r="E73" s="87"/>
      <c r="F73" s="88"/>
      <c r="G73" s="89" t="s">
        <v>68</v>
      </c>
      <c r="H73" s="87"/>
      <c r="I73" s="88"/>
      <c r="J73" s="89">
        <v>8.6</v>
      </c>
      <c r="K73" s="89"/>
      <c r="L73" s="89"/>
      <c r="M73" s="89"/>
      <c r="N73" s="89"/>
      <c r="O73" s="90"/>
      <c r="P73" s="89">
        <v>8.6</v>
      </c>
      <c r="Q73" s="89"/>
      <c r="R73" s="89"/>
      <c r="S73" s="89"/>
      <c r="T73" s="89"/>
      <c r="U73" s="91">
        <f t="shared" si="31"/>
        <v>8.6</v>
      </c>
      <c r="V73" s="89"/>
      <c r="W73" s="89"/>
      <c r="X73" s="89"/>
      <c r="Y73" s="89"/>
      <c r="Z73" s="91">
        <f t="shared" si="32"/>
        <v>8.6</v>
      </c>
    </row>
    <row r="74" spans="1:26" ht="13.5" thickBot="1">
      <c r="A74" s="86" t="s">
        <v>87</v>
      </c>
      <c r="B74" s="86"/>
      <c r="C74" s="87"/>
      <c r="D74" s="87"/>
      <c r="E74" s="87"/>
      <c r="F74" s="88"/>
      <c r="G74" s="89"/>
      <c r="H74" s="87"/>
      <c r="I74" s="88"/>
      <c r="J74" s="89"/>
      <c r="K74" s="89"/>
      <c r="L74" s="89"/>
      <c r="M74" s="89"/>
      <c r="N74" s="89"/>
      <c r="O74" s="90"/>
      <c r="P74" s="89"/>
      <c r="Q74" s="89"/>
      <c r="R74" s="89">
        <f>U74/365*153</f>
        <v>16.557534246575344</v>
      </c>
      <c r="S74" s="89"/>
      <c r="T74" s="89">
        <f>(U74/365)*212</f>
        <v>22.942465753424656</v>
      </c>
      <c r="U74" s="91">
        <v>39.5</v>
      </c>
      <c r="V74" s="89"/>
      <c r="W74" s="89">
        <f>Z74/365*153</f>
        <v>16.557534246575344</v>
      </c>
      <c r="X74" s="89"/>
      <c r="Y74" s="89">
        <f>(Z74/365)*212</f>
        <v>22.942465753424656</v>
      </c>
      <c r="Z74" s="91">
        <v>39.5</v>
      </c>
    </row>
    <row r="75" spans="1:26" ht="13.5" thickBot="1">
      <c r="A75" s="86" t="s">
        <v>61</v>
      </c>
      <c r="B75" s="86" t="s">
        <v>269</v>
      </c>
      <c r="C75" s="87"/>
      <c r="D75" s="87">
        <v>8760</v>
      </c>
      <c r="E75" s="87"/>
      <c r="F75" s="88"/>
      <c r="G75" s="89" t="s">
        <v>68</v>
      </c>
      <c r="H75" s="87"/>
      <c r="I75" s="88"/>
      <c r="J75" s="89" t="s">
        <v>68</v>
      </c>
      <c r="K75" s="89"/>
      <c r="L75" s="89"/>
      <c r="M75" s="89">
        <v>0.15</v>
      </c>
      <c r="N75" s="89"/>
      <c r="O75" s="89">
        <f>24.99/3</f>
        <v>8.33</v>
      </c>
      <c r="P75" s="89">
        <v>23.5</v>
      </c>
      <c r="Q75" s="89"/>
      <c r="R75" s="89"/>
      <c r="S75" s="89">
        <v>0.15</v>
      </c>
      <c r="T75" s="89"/>
      <c r="U75" s="91">
        <f>24.99/3</f>
        <v>8.33</v>
      </c>
      <c r="V75" s="89"/>
      <c r="W75" s="89"/>
      <c r="X75" s="89">
        <v>0.15</v>
      </c>
      <c r="Y75" s="89"/>
      <c r="Z75" s="91">
        <v>8.33</v>
      </c>
    </row>
    <row r="76" spans="1:26" ht="14.25" customHeight="1" thickBot="1">
      <c r="A76" s="86" t="s">
        <v>62</v>
      </c>
      <c r="B76" s="86" t="s">
        <v>270</v>
      </c>
      <c r="C76" s="87"/>
      <c r="D76" s="87">
        <v>8760</v>
      </c>
      <c r="E76" s="87"/>
      <c r="F76" s="88"/>
      <c r="G76" s="89" t="s">
        <v>68</v>
      </c>
      <c r="H76" s="87"/>
      <c r="I76" s="88"/>
      <c r="J76" s="89" t="s">
        <v>68</v>
      </c>
      <c r="K76" s="89"/>
      <c r="L76" s="89"/>
      <c r="M76" s="89">
        <v>0.15</v>
      </c>
      <c r="N76" s="89"/>
      <c r="O76" s="89">
        <f>24.99/3</f>
        <v>8.33</v>
      </c>
      <c r="P76" s="89">
        <v>23.5</v>
      </c>
      <c r="Q76" s="89"/>
      <c r="R76" s="89">
        <f>U76/365*153</f>
        <v>3.4917534246575346</v>
      </c>
      <c r="S76" s="89">
        <v>0.15</v>
      </c>
      <c r="T76" s="89">
        <f>(U76/365)*212</f>
        <v>4.838246575342466</v>
      </c>
      <c r="U76" s="91">
        <f>24.99/3</f>
        <v>8.33</v>
      </c>
      <c r="V76" s="89"/>
      <c r="W76" s="89">
        <f>Z76/365*153</f>
        <v>3.4917534246575346</v>
      </c>
      <c r="X76" s="89">
        <v>0.15</v>
      </c>
      <c r="Y76" s="89">
        <f>(Z76/365)*212</f>
        <v>4.838246575342466</v>
      </c>
      <c r="Z76" s="91">
        <v>8.33</v>
      </c>
    </row>
    <row r="77" spans="1:26" ht="13.5" thickBot="1">
      <c r="A77" s="86" t="s">
        <v>63</v>
      </c>
      <c r="B77" s="86" t="s">
        <v>271</v>
      </c>
      <c r="C77" s="87"/>
      <c r="D77" s="87">
        <v>8760</v>
      </c>
      <c r="E77" s="87"/>
      <c r="F77" s="88"/>
      <c r="G77" s="89" t="s">
        <v>68</v>
      </c>
      <c r="H77" s="87"/>
      <c r="I77" s="88"/>
      <c r="J77" s="89" t="s">
        <v>68</v>
      </c>
      <c r="K77" s="89"/>
      <c r="L77" s="89"/>
      <c r="M77" s="89">
        <v>0.15</v>
      </c>
      <c r="N77" s="89"/>
      <c r="O77" s="89">
        <f>24.99/3</f>
        <v>8.33</v>
      </c>
      <c r="P77" s="89">
        <v>23.5</v>
      </c>
      <c r="Q77" s="89"/>
      <c r="R77" s="89">
        <f>U77/365*153</f>
        <v>3.4917534246575346</v>
      </c>
      <c r="S77" s="89">
        <v>0.15</v>
      </c>
      <c r="T77" s="89">
        <f>(U77/365)*212</f>
        <v>4.838246575342466</v>
      </c>
      <c r="U77" s="91">
        <f>24.99/3</f>
        <v>8.33</v>
      </c>
      <c r="V77" s="89"/>
      <c r="W77" s="89">
        <f>Z77/365*153</f>
        <v>3.4917534246575346</v>
      </c>
      <c r="X77" s="89">
        <v>0.15</v>
      </c>
      <c r="Y77" s="89">
        <f>(Z77/365)*212</f>
        <v>4.838246575342466</v>
      </c>
      <c r="Z77" s="93">
        <v>8.33</v>
      </c>
    </row>
    <row r="78" spans="1:26" ht="13.5" thickBot="1">
      <c r="A78" s="108" t="s">
        <v>64</v>
      </c>
      <c r="B78" s="87"/>
      <c r="C78" s="87"/>
      <c r="D78" s="87"/>
      <c r="E78" s="88"/>
      <c r="F78" s="89"/>
      <c r="G78" s="90">
        <f>SUM(G54:G77,F52:F53,G51,F49:F50,G42:G48,F41,G23:G40,F21:F22,G4:G18)</f>
        <v>89811.304</v>
      </c>
      <c r="H78" s="88"/>
      <c r="I78" s="86"/>
      <c r="J78" s="90">
        <f>SUM(J54:J77,I52:I53,J51,I49:I50,J42:J48,I41,J23:J40,I21:I22,J4:J18)</f>
        <v>46186.3978</v>
      </c>
      <c r="K78" s="89"/>
      <c r="L78" s="89"/>
      <c r="M78" s="89"/>
      <c r="N78" s="89"/>
      <c r="O78" s="90"/>
      <c r="P78" s="90">
        <f>SUM(P58:P73,O52:O53,P51,O49:O50,P42:P48,O41,P23:P40,O21:O22,P4:P5,O57,P54:P56,O6,P8:P20,P7,O75:O77)</f>
        <v>34809.28968</v>
      </c>
      <c r="Q78" s="89"/>
      <c r="R78" s="89"/>
      <c r="S78" s="89"/>
      <c r="T78" s="89"/>
      <c r="U78" s="90">
        <f>SUM(U58:U77,U53,U51:U52,U50,U42:U49,U41,U23:U40,T21:T22,U4:U20,T57,U54:U56)</f>
        <v>33278.81415392</v>
      </c>
      <c r="V78" s="89"/>
      <c r="W78" s="89"/>
      <c r="X78" s="89"/>
      <c r="Y78" s="89"/>
      <c r="Z78" s="90">
        <f>SUM(Z58:Z77,Y53,Z51:Z52,Z50,Z42:Z49,Z41,Z23:Z40,Y21:Y22,Z4:Z20,Y57,Z54:Z56)</f>
        <v>27390.499353920008</v>
      </c>
    </row>
    <row r="79" spans="1:26" ht="26.25" customHeight="1">
      <c r="A79" s="102" t="s">
        <v>306</v>
      </c>
      <c r="B79" s="102"/>
      <c r="C79" s="102"/>
      <c r="D79" s="102"/>
      <c r="E79" s="103"/>
      <c r="F79" s="133"/>
      <c r="G79" s="133">
        <f>SUM(G12,G15,G40,G39,F50,G51,F53)</f>
        <v>43658.276</v>
      </c>
      <c r="H79" s="104"/>
      <c r="I79" s="102"/>
      <c r="J79" s="133">
        <f>SUM(J12,J15,I39:I40,I50,J51,I53)</f>
        <v>28423.868000000002</v>
      </c>
      <c r="K79" s="102"/>
      <c r="L79" s="102"/>
      <c r="M79" s="102"/>
      <c r="N79" s="102"/>
      <c r="O79" s="103"/>
      <c r="P79" s="133">
        <f>SUM(P12,P15,P40,P39,P50,P51,O53)</f>
        <v>19767.420400000003</v>
      </c>
      <c r="Q79" s="102"/>
      <c r="R79" s="103">
        <f>U79-P79</f>
        <v>0.09439999999813153</v>
      </c>
      <c r="S79" s="102"/>
      <c r="T79" s="102"/>
      <c r="U79" s="133">
        <f>SUM(U12,U15,U40,U39,U50,U51,U53)</f>
        <v>19767.5148</v>
      </c>
      <c r="V79" s="102"/>
      <c r="W79" s="102"/>
      <c r="X79" s="102"/>
      <c r="Y79" s="102"/>
      <c r="Z79" s="133">
        <f>SUM(Z12,Z15,Z40,Z39,Z50,Z51,Y53)</f>
        <v>18078</v>
      </c>
    </row>
    <row r="80" spans="1:26" ht="12.75" customHeight="1">
      <c r="A80" s="105"/>
      <c r="B80" s="106"/>
      <c r="C80" s="107"/>
      <c r="D80" s="102"/>
      <c r="E80" s="103"/>
      <c r="F80" s="133"/>
      <c r="G80" s="103"/>
      <c r="H80" s="104"/>
      <c r="I80" s="102"/>
      <c r="J80" s="103"/>
      <c r="K80" s="102"/>
      <c r="L80" s="102"/>
      <c r="M80" s="102"/>
      <c r="N80" s="102"/>
      <c r="O80" s="103"/>
      <c r="P80" s="103"/>
      <c r="Q80" s="102"/>
      <c r="R80" s="102"/>
      <c r="S80" s="102"/>
      <c r="T80" s="102"/>
      <c r="U80" s="143"/>
      <c r="V80" s="102"/>
      <c r="W80" s="102"/>
      <c r="X80" s="102"/>
      <c r="Y80" s="102"/>
      <c r="Z80" s="103"/>
    </row>
    <row r="81" spans="1:26" ht="12" customHeight="1">
      <c r="A81" s="105" t="s">
        <v>307</v>
      </c>
      <c r="B81" s="106"/>
      <c r="C81" s="107"/>
      <c r="D81" s="102"/>
      <c r="E81" s="103"/>
      <c r="F81" s="133"/>
      <c r="G81" s="133">
        <f>89811-G78</f>
        <v>-0.3040000000037253</v>
      </c>
      <c r="H81" s="104"/>
      <c r="I81" s="102"/>
      <c r="J81" s="133">
        <f>J78-46187</f>
        <v>-0.6022000000011758</v>
      </c>
      <c r="K81" s="102"/>
      <c r="L81" s="102"/>
      <c r="M81" s="102"/>
      <c r="N81" s="102"/>
      <c r="O81" s="103"/>
      <c r="P81" s="142">
        <f>P78-34833.38</f>
        <v>-24.0903199999957</v>
      </c>
      <c r="Q81" s="102"/>
      <c r="R81" s="102"/>
      <c r="S81" s="102"/>
      <c r="T81" s="102"/>
      <c r="U81" s="104"/>
      <c r="V81" s="102"/>
      <c r="W81" s="102"/>
      <c r="X81" s="102"/>
      <c r="Y81" s="102"/>
      <c r="Z81" s="104"/>
    </row>
    <row r="82" spans="18:23" ht="12.75">
      <c r="R82" s="14"/>
      <c r="W82" s="14">
        <f>SUM(Y52:Y53,Y11,Y15)</f>
        <v>104.93999999999998</v>
      </c>
    </row>
  </sheetData>
  <sheetProtection/>
  <mergeCells count="7">
    <mergeCell ref="V11:Z11"/>
    <mergeCell ref="V52:Z53"/>
    <mergeCell ref="Q57:Z57"/>
    <mergeCell ref="Q21:Z22"/>
    <mergeCell ref="A1:Z1"/>
    <mergeCell ref="A2:Z2"/>
    <mergeCell ref="V4:Z5"/>
  </mergeCells>
  <printOptions/>
  <pageMargins left="0.75" right="0.75" top="1" bottom="1" header="0.5" footer="0.5"/>
  <pageSetup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"/>
  <sheetViews>
    <sheetView tabSelected="1" zoomScalePageLayoutView="0" workbookViewId="0" topLeftCell="A1">
      <selection activeCell="N14" sqref="N14"/>
    </sheetView>
  </sheetViews>
  <sheetFormatPr defaultColWidth="9.140625" defaultRowHeight="12.75"/>
  <sheetData>
    <row r="2" spans="3:8" ht="12.75">
      <c r="C2">
        <v>1994</v>
      </c>
      <c r="D2">
        <v>2001</v>
      </c>
      <c r="E2">
        <v>2002</v>
      </c>
      <c r="F2">
        <v>2006</v>
      </c>
      <c r="G2">
        <v>2011</v>
      </c>
      <c r="H2">
        <v>2014</v>
      </c>
    </row>
    <row r="3" spans="1:10" ht="12.75">
      <c r="A3" s="171" t="s">
        <v>274</v>
      </c>
      <c r="B3" t="s">
        <v>272</v>
      </c>
      <c r="C3">
        <f>ACTNOx!B75</f>
        <v>13163.5</v>
      </c>
      <c r="E3">
        <f>ACTNOx!C75</f>
        <v>5901.2</v>
      </c>
      <c r="F3">
        <f>ACTNOx!D75</f>
        <v>5099.599999999997</v>
      </c>
      <c r="G3">
        <f>ACTNOx!E75</f>
        <v>1602.2600000000004</v>
      </c>
      <c r="H3">
        <f>ACTNOx!F75</f>
        <v>1971.5665268179998</v>
      </c>
      <c r="I3">
        <f>C3-G3</f>
        <v>11561.24</v>
      </c>
      <c r="J3">
        <f>I3/C3</f>
        <v>0.8782800926805181</v>
      </c>
    </row>
    <row r="4" spans="1:10" ht="12.75">
      <c r="A4" s="171"/>
      <c r="B4" t="s">
        <v>273</v>
      </c>
      <c r="D4">
        <f>ACTSO2!B75</f>
        <v>35625</v>
      </c>
      <c r="E4">
        <f>ACTSO2!C75</f>
        <v>13055.80000000001</v>
      </c>
      <c r="F4">
        <f>ACTSO2!D75</f>
        <v>7146.400000000002</v>
      </c>
      <c r="G4">
        <f>ACTSO2!E75</f>
        <v>852.0907999999998</v>
      </c>
      <c r="H4">
        <f>ACTSO2!F75</f>
        <v>1491.5708913792005</v>
      </c>
      <c r="I4">
        <f>D4-G4</f>
        <v>34772.9092</v>
      </c>
      <c r="J4">
        <f>I4/D4</f>
        <v>0.976081661754386</v>
      </c>
    </row>
  </sheetData>
  <sheetProtection/>
  <mergeCells count="1">
    <mergeCell ref="A3:A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wjacobs</dc:creator>
  <cp:keywords/>
  <dc:description/>
  <cp:lastModifiedBy>KnightK</cp:lastModifiedBy>
  <cp:lastPrinted>2015-04-27T17:24:45Z</cp:lastPrinted>
  <dcterms:created xsi:type="dcterms:W3CDTF">2007-09-19T12:13:05Z</dcterms:created>
  <dcterms:modified xsi:type="dcterms:W3CDTF">2015-04-30T21:18:17Z</dcterms:modified>
  <cp:category/>
  <cp:version/>
  <cp:contentType/>
  <cp:contentStatus/>
</cp:coreProperties>
</file>