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80" yWindow="150" windowWidth="20730" windowHeight="10740" activeTab="3"/>
  </bookViews>
  <sheets>
    <sheet name="NOx - SCR-More 95th" sheetId="7" r:id="rId1"/>
    <sheet name="NOx - SCR-More 50th" sheetId="34" r:id="rId2"/>
    <sheet name="NOx - SCR-Less 95th" sheetId="33" r:id="rId3"/>
    <sheet name="NOx - SCR-Less 50th" sheetId="35" r:id="rId4"/>
  </sheets>
  <definedNames>
    <definedName name="crf" localSheetId="3">#REF!</definedName>
    <definedName name="crf" localSheetId="1">#REF!</definedName>
    <definedName name="crf">#REF!</definedName>
    <definedName name="DSI_lookup" localSheetId="3">#REF!</definedName>
    <definedName name="DSI_lookup" localSheetId="1">#REF!</definedName>
    <definedName name="DSI_lookup">#REF!</definedName>
    <definedName name="ins" localSheetId="3">#REF!</definedName>
    <definedName name="ins" localSheetId="1">#REF!</definedName>
    <definedName name="ins">#REF!</definedName>
    <definedName name="LNB_lookup" localSheetId="3">#REF!</definedName>
    <definedName name="LNB_lookup" localSheetId="2">#REF!</definedName>
    <definedName name="LNB_lookup" localSheetId="1">#REF!</definedName>
    <definedName name="LNB_lookup">#REF!</definedName>
    <definedName name="NH3_slip" localSheetId="3">#REF!</definedName>
    <definedName name="NH3_slip" localSheetId="2">#REF!</definedName>
    <definedName name="NH3_slip" localSheetId="1">#REF!</definedName>
    <definedName name="NH3_slip">#REF!</definedName>
    <definedName name="Plant_Data" localSheetId="3">#REF!</definedName>
    <definedName name="Plant_Data" localSheetId="1">#REF!</definedName>
    <definedName name="Plant_Data">#REF!</definedName>
    <definedName name="ppm_NOx" localSheetId="3">#REF!</definedName>
    <definedName name="ppm_NOx" localSheetId="2">#REF!</definedName>
    <definedName name="ppm_NOx" localSheetId="1">#REF!</definedName>
    <definedName name="ppm_NOx">#REF!</definedName>
    <definedName name="prop_tax" localSheetId="3">#REF!</definedName>
    <definedName name="prop_tax" localSheetId="1">#REF!</definedName>
    <definedName name="prop_tax">#REF!</definedName>
  </definedNames>
  <calcPr calcId="145621"/>
</workbook>
</file>

<file path=xl/calcChain.xml><?xml version="1.0" encoding="utf-8"?>
<calcChain xmlns="http://schemas.openxmlformats.org/spreadsheetml/2006/main">
  <c r="G19" i="35" l="1"/>
  <c r="D86" i="35"/>
  <c r="D83" i="35"/>
  <c r="D82" i="35"/>
  <c r="D79" i="35"/>
  <c r="D78" i="35"/>
  <c r="D65" i="35"/>
  <c r="D61" i="35"/>
  <c r="D60" i="35"/>
  <c r="D20" i="35"/>
  <c r="D18" i="35"/>
  <c r="D17" i="35"/>
  <c r="D21" i="35" s="1"/>
  <c r="D16" i="35"/>
  <c r="D24" i="35" s="1"/>
  <c r="D71" i="35" s="1"/>
  <c r="G15" i="34"/>
  <c r="D86" i="34"/>
  <c r="D90" i="34" s="1"/>
  <c r="D83" i="34"/>
  <c r="D82" i="34"/>
  <c r="D78" i="34"/>
  <c r="D79" i="34" s="1"/>
  <c r="D61" i="34"/>
  <c r="D60" i="34"/>
  <c r="D65" i="34" s="1"/>
  <c r="D21" i="34"/>
  <c r="D36" i="34" s="1"/>
  <c r="D20" i="34"/>
  <c r="D18" i="34"/>
  <c r="D17" i="34"/>
  <c r="D85" i="34" s="1"/>
  <c r="D16" i="34"/>
  <c r="D38" i="34" s="1"/>
  <c r="D86" i="33"/>
  <c r="D83" i="33"/>
  <c r="D90" i="33" s="1"/>
  <c r="D82" i="33"/>
  <c r="D78" i="33"/>
  <c r="D79" i="33" s="1"/>
  <c r="D61" i="33"/>
  <c r="D60" i="33"/>
  <c r="D38" i="33"/>
  <c r="D20" i="33"/>
  <c r="D35" i="33" s="1"/>
  <c r="D18" i="33"/>
  <c r="D17" i="33"/>
  <c r="D21" i="33" s="1"/>
  <c r="D16" i="33"/>
  <c r="D24" i="33" s="1"/>
  <c r="D71" i="33" s="1"/>
  <c r="D78" i="7"/>
  <c r="D85" i="33" l="1"/>
  <c r="D87" i="33" s="1"/>
  <c r="D93" i="33" s="1"/>
  <c r="D70" i="34"/>
  <c r="D65" i="33"/>
  <c r="D70" i="35"/>
  <c r="D90" i="35"/>
  <c r="D36" i="35"/>
  <c r="D22" i="35"/>
  <c r="D35" i="35"/>
  <c r="D38" i="35"/>
  <c r="D85" i="35"/>
  <c r="D89" i="34"/>
  <c r="D91" i="34" s="1"/>
  <c r="D87" i="34"/>
  <c r="D93" i="34" s="1"/>
  <c r="D24" i="34"/>
  <c r="D71" i="34" s="1"/>
  <c r="D35" i="34"/>
  <c r="D40" i="34" s="1"/>
  <c r="D22" i="34"/>
  <c r="D70" i="33"/>
  <c r="D36" i="33"/>
  <c r="D40" i="33" s="1"/>
  <c r="D22" i="33"/>
  <c r="D89" i="33" l="1"/>
  <c r="D91" i="33" s="1"/>
  <c r="D87" i="35"/>
  <c r="D93" i="35" s="1"/>
  <c r="D89" i="35"/>
  <c r="D91" i="35" s="1"/>
  <c r="D40" i="35"/>
  <c r="D23" i="35"/>
  <c r="D72" i="35" s="1"/>
  <c r="D69" i="35"/>
  <c r="D44" i="34"/>
  <c r="D46" i="34"/>
  <c r="D45" i="34"/>
  <c r="D41" i="34"/>
  <c r="D69" i="34"/>
  <c r="D23" i="34"/>
  <c r="D72" i="34" s="1"/>
  <c r="D46" i="33"/>
  <c r="D45" i="33"/>
  <c r="D41" i="33"/>
  <c r="D44" i="33"/>
  <c r="D23" i="33"/>
  <c r="D72" i="33" s="1"/>
  <c r="D69" i="33"/>
  <c r="D75" i="33" l="1"/>
  <c r="D75" i="35"/>
  <c r="D46" i="35"/>
  <c r="D45" i="35"/>
  <c r="D41" i="35"/>
  <c r="D44" i="35"/>
  <c r="D48" i="34"/>
  <c r="D49" i="34" s="1"/>
  <c r="D75" i="34"/>
  <c r="D48" i="33"/>
  <c r="D49" i="33" s="1"/>
  <c r="D79" i="7"/>
  <c r="D51" i="34" l="1"/>
  <c r="D52" i="34" s="1"/>
  <c r="D54" i="34" s="1"/>
  <c r="D48" i="35"/>
  <c r="D51" i="35" s="1"/>
  <c r="D52" i="35" s="1"/>
  <c r="D51" i="33"/>
  <c r="D52" i="33" s="1"/>
  <c r="D16" i="7"/>
  <c r="D24" i="7" s="1"/>
  <c r="D71" i="7" s="1"/>
  <c r="D49" i="35" l="1"/>
  <c r="D54" i="35"/>
  <c r="D95" i="34"/>
  <c r="D96" i="34" s="1"/>
  <c r="D55" i="34"/>
  <c r="D54" i="33"/>
  <c r="D55" i="33" s="1"/>
  <c r="D60" i="7"/>
  <c r="D61" i="7"/>
  <c r="D17" i="7"/>
  <c r="D85" i="7" s="1"/>
  <c r="D38" i="7"/>
  <c r="D82" i="7"/>
  <c r="D18" i="7"/>
  <c r="D86" i="7"/>
  <c r="D95" i="35" l="1"/>
  <c r="D96" i="35" s="1"/>
  <c r="D55" i="35"/>
  <c r="D95" i="33"/>
  <c r="D96" i="33" s="1"/>
  <c r="D65" i="7"/>
  <c r="D21" i="7"/>
  <c r="D83" i="7"/>
  <c r="D20" i="7"/>
  <c r="D87" i="7"/>
  <c r="D89" i="7" l="1"/>
  <c r="D90" i="7"/>
  <c r="D93" i="7"/>
  <c r="D35" i="7"/>
  <c r="D70" i="7"/>
  <c r="D22" i="7"/>
  <c r="D36" i="7"/>
  <c r="D91" i="7" l="1"/>
  <c r="D40" i="7"/>
  <c r="D45" i="7" s="1"/>
  <c r="D23" i="7"/>
  <c r="D72" i="7" s="1"/>
  <c r="D69" i="7"/>
  <c r="D75" i="7" l="1"/>
  <c r="D41" i="7"/>
  <c r="D44" i="7"/>
  <c r="D46" i="7"/>
  <c r="D48" i="7" l="1"/>
  <c r="D51" i="7" l="1"/>
  <c r="D52" i="7" s="1"/>
  <c r="D49" i="7"/>
  <c r="D54" i="7" l="1"/>
  <c r="D55" i="7" l="1"/>
  <c r="D95" i="7"/>
  <c r="D96" i="7" s="1"/>
</calcChain>
</file>

<file path=xl/sharedStrings.xml><?xml version="1.0" encoding="utf-8"?>
<sst xmlns="http://schemas.openxmlformats.org/spreadsheetml/2006/main" count="612" uniqueCount="145">
  <si>
    <t>Variable</t>
  </si>
  <si>
    <t>Designation</t>
  </si>
  <si>
    <t>Units</t>
  </si>
  <si>
    <t>Calculation</t>
  </si>
  <si>
    <t>Unit Size</t>
  </si>
  <si>
    <t>Retrofit Factor</t>
  </si>
  <si>
    <t>Gross Heat Rate</t>
  </si>
  <si>
    <t>Type of Coal</t>
  </si>
  <si>
    <t>Coal Factor</t>
  </si>
  <si>
    <t>HR Factor</t>
  </si>
  <si>
    <t>Heat Input</t>
  </si>
  <si>
    <t>Aux. Power</t>
  </si>
  <si>
    <t>Aux Power Cost</t>
  </si>
  <si>
    <t>Operating Labor Rate</t>
  </si>
  <si>
    <t>A</t>
  </si>
  <si>
    <t>B</t>
  </si>
  <si>
    <t>C</t>
  </si>
  <si>
    <t>D</t>
  </si>
  <si>
    <t>F</t>
  </si>
  <si>
    <t>G</t>
  </si>
  <si>
    <t>H</t>
  </si>
  <si>
    <t>K</t>
  </si>
  <si>
    <t>L</t>
  </si>
  <si>
    <t>M</t>
  </si>
  <si>
    <t>N</t>
  </si>
  <si>
    <t>P</t>
  </si>
  <si>
    <t>R</t>
  </si>
  <si>
    <t>S</t>
  </si>
  <si>
    <t>T</t>
  </si>
  <si>
    <t>MW</t>
  </si>
  <si>
    <t>Btu/kwhr</t>
  </si>
  <si>
    <t>Btu/hr</t>
  </si>
  <si>
    <t>%</t>
  </si>
  <si>
    <t>$/ton</t>
  </si>
  <si>
    <t>$/kwh</t>
  </si>
  <si>
    <t>$/hr</t>
  </si>
  <si>
    <t>C/10000</t>
  </si>
  <si>
    <t>A*C*1000</t>
  </si>
  <si>
    <t>Total Labor Cost</t>
  </si>
  <si>
    <t>Capital Cost Calculation (includes equipment, installation, buildings, foundations,electrical, minor physical/chemical ww treatment and retrofit difficulty)</t>
  </si>
  <si>
    <t xml:space="preserve">BMR ($) = </t>
  </si>
  <si>
    <t xml:space="preserve">BMF ($) = </t>
  </si>
  <si>
    <t xml:space="preserve">BMB ($) = </t>
  </si>
  <si>
    <t xml:space="preserve">BM ($) = </t>
  </si>
  <si>
    <t xml:space="preserve">BM ($/KW) = </t>
  </si>
  <si>
    <t>Total Project Cost</t>
  </si>
  <si>
    <t xml:space="preserve">A1 = 10% of BM ($) = </t>
  </si>
  <si>
    <t>A2 = 10% of BM ($) =</t>
  </si>
  <si>
    <t>A3 = 10% of BM ($) =</t>
  </si>
  <si>
    <t xml:space="preserve">CECC ($) = </t>
  </si>
  <si>
    <t xml:space="preserve">CECC ($/kw) = </t>
  </si>
  <si>
    <t>B1 = 5% of CECC</t>
  </si>
  <si>
    <t xml:space="preserve">TPC ($) = </t>
  </si>
  <si>
    <t xml:space="preserve">TPC ($/kw) = </t>
  </si>
  <si>
    <t>Fixed O&amp;M Cost</t>
  </si>
  <si>
    <t xml:space="preserve">FOMO ($/kw-yr) = </t>
  </si>
  <si>
    <t xml:space="preserve">FOMM ($/kw-yr) = </t>
  </si>
  <si>
    <t xml:space="preserve">FOM ($/kw-yr) = </t>
  </si>
  <si>
    <t>Variable O&amp;M Cost</t>
  </si>
  <si>
    <t xml:space="preserve">VOMR ($/MWhr) = </t>
  </si>
  <si>
    <t xml:space="preserve">VOMW ($/MWhr) = </t>
  </si>
  <si>
    <t xml:space="preserve">VOMM ($/MWhr) = </t>
  </si>
  <si>
    <t xml:space="preserve">VOM ($/MWhr) = </t>
  </si>
  <si>
    <t>base reagent preparation cost</t>
  </si>
  <si>
    <t>Total base cost</t>
  </si>
  <si>
    <t>Eng. and Construction management</t>
  </si>
  <si>
    <t>Labor adjustment</t>
  </si>
  <si>
    <t>Contractor profit/fees</t>
  </si>
  <si>
    <t xml:space="preserve">Cap., Eng. and management </t>
  </si>
  <si>
    <t>owners cost</t>
  </si>
  <si>
    <t>Total project cost</t>
  </si>
  <si>
    <t>fixed O&amp;M - additional labor cost</t>
  </si>
  <si>
    <t>fixed O&amp;M - additional maintenace, mtl and labor cost</t>
  </si>
  <si>
    <t>Total Fixed O&amp;M Cost</t>
  </si>
  <si>
    <t>Total Variable O&amp;M Cost</t>
  </si>
  <si>
    <t>NOx Rate</t>
  </si>
  <si>
    <t>CF</t>
  </si>
  <si>
    <t>NOx Removal Eff</t>
  </si>
  <si>
    <t>NOx Removal factor</t>
  </si>
  <si>
    <t>Urea rate (100%)</t>
  </si>
  <si>
    <t>Steam Required</t>
  </si>
  <si>
    <t>Urea Cost (50% sol)</t>
  </si>
  <si>
    <t>Catalyst Cost</t>
  </si>
  <si>
    <t>Steam Cost</t>
  </si>
  <si>
    <t>I</t>
  </si>
  <si>
    <t>J</t>
  </si>
  <si>
    <t>O</t>
  </si>
  <si>
    <t>U</t>
  </si>
  <si>
    <t>V</t>
  </si>
  <si>
    <t>lb/hr</t>
  </si>
  <si>
    <t>$/m3</t>
  </si>
  <si>
    <t>$/Klb</t>
  </si>
  <si>
    <t>M*0.525*60/46*1.01/.99</t>
  </si>
  <si>
    <t>N*1.13</t>
  </si>
  <si>
    <t>0.56*(G*H)^0.43</t>
  </si>
  <si>
    <t xml:space="preserve">BMA ($) = </t>
  </si>
  <si>
    <t>SCR</t>
  </si>
  <si>
    <t>APH (SO@&gt; 3lb/Mmbtu)</t>
  </si>
  <si>
    <t xml:space="preserve">fans/aux power </t>
  </si>
  <si>
    <t>B2 = 6% of CECC + B1</t>
  </si>
  <si>
    <t xml:space="preserve">Variable O&amp;M - urea </t>
  </si>
  <si>
    <t>Variable O&amp;M - catalyst disposal</t>
  </si>
  <si>
    <t>Variable O&amp;M - steam</t>
  </si>
  <si>
    <t>AFUDC (2yr cycle)</t>
  </si>
  <si>
    <t>NOx Removed</t>
  </si>
  <si>
    <t>Cost of control - $/Ton</t>
  </si>
  <si>
    <t>Control Efficiency</t>
  </si>
  <si>
    <t>(lb/Mbtu*Heat Input)/1000000</t>
  </si>
  <si>
    <t>Lb/hr*8760*CF/2000</t>
  </si>
  <si>
    <t>Total Cost/year</t>
  </si>
  <si>
    <t>TPC*CR+(FOM*MW)+VOM(MW*8760)*CF</t>
  </si>
  <si>
    <t xml:space="preserve">CR = </t>
  </si>
  <si>
    <t>D*I/10^6*K</t>
  </si>
  <si>
    <t>Uncontrolled Rate</t>
  </si>
  <si>
    <t>Controlled Rate</t>
  </si>
  <si>
    <t xml:space="preserve">CF  </t>
  </si>
  <si>
    <t xml:space="preserve">Tons/Year Removed  </t>
  </si>
  <si>
    <t xml:space="preserve">$/Ton  </t>
  </si>
  <si>
    <t xml:space="preserve">NOx Rate (lb/hr)  </t>
  </si>
  <si>
    <t xml:space="preserve">NOx Rate (lb/MMBtu) </t>
  </si>
  <si>
    <t xml:space="preserve">NOx (TPY)  </t>
  </si>
  <si>
    <t>http://www.epa.gov/airmarkets/progsregs/epa-ipm/BaseCasev410.html#documentation</t>
  </si>
  <si>
    <t>Unique ID</t>
  </si>
  <si>
    <t>Unit</t>
  </si>
  <si>
    <t>Plant</t>
  </si>
  <si>
    <t>Property Taxes and Insurance</t>
  </si>
  <si>
    <t>Total Charge Rate</t>
  </si>
  <si>
    <t>1 = typical retrofit</t>
  </si>
  <si>
    <t xml:space="preserve"> equals K/80% based upon 8/10/12 email from Sargent &amp; Lundy, and See pdf pg 10/79 at http://www.epa.gov/airmarkets/progsregs/epa-ipm/docs/SuppDoc410MATS.pdf</t>
  </si>
  <si>
    <t>See pdf pg 10/79 at http://www.epa.gov/airmarkets/progsregs/epa-ipm/docs/SuppDoc410MATS.pdf</t>
  </si>
  <si>
    <t>Variable O&amp;M Power</t>
  </si>
  <si>
    <t xml:space="preserve">VOMP ($/MWhr)= </t>
  </si>
  <si>
    <t>This is not included in the S&amp;L calculations, but should be</t>
  </si>
  <si>
    <t>Bridgeport</t>
  </si>
  <si>
    <t>LowS</t>
  </si>
  <si>
    <t>Assumed, per regulation</t>
  </si>
  <si>
    <t>[i=7%, n=20]</t>
  </si>
  <si>
    <t>[Insurance = 0.3%, Tax = 0.9%]</t>
  </si>
  <si>
    <t>95th percentile 2012-mid 2015</t>
  </si>
  <si>
    <t>lb/MMBtu</t>
  </si>
  <si>
    <t>Bit=1; PRB (low S)=1.05; Lig=1.07</t>
  </si>
  <si>
    <t>Calculation, per modeling</t>
  </si>
  <si>
    <t>[95th percentile, per modeling]</t>
  </si>
  <si>
    <t>50th percentile 2012-mid 2015</t>
  </si>
  <si>
    <t>[50th percentile, per modeling]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</si>
</sst>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00"/>
    <numFmt numFmtId="167" formatCode="0.0000"/>
    <numFmt numFmtId="168" formatCode="0.0%"/>
    <numFmt numFmtId="169" formatCode="&quot;$&quot;#,##0"/>
    <numFmt numFmtId="170" formatCode="#,##0.0000_);[Red]\(#,##0.00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3">
    <xf numFmtId="0" fontId="0" fillId="0" borderId="0" xfId="0"/>
    <xf numFmtId="0" fontId="3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8" fillId="0" borderId="0" xfId="3"/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2" fillId="0" borderId="13" xfId="0" applyFont="1" applyFill="1" applyBorder="1"/>
    <xf numFmtId="0" fontId="0" fillId="0" borderId="14" xfId="0" applyFill="1" applyBorder="1"/>
    <xf numFmtId="0" fontId="0" fillId="0" borderId="9" xfId="0" applyFill="1" applyBorder="1"/>
    <xf numFmtId="0" fontId="0" fillId="0" borderId="15" xfId="0" applyFill="1" applyBorder="1"/>
    <xf numFmtId="0" fontId="0" fillId="0" borderId="10" xfId="0" applyFill="1" applyBorder="1"/>
    <xf numFmtId="0" fontId="0" fillId="0" borderId="15" xfId="0" applyFill="1" applyBorder="1" applyAlignment="1">
      <alignment horizontal="right"/>
    </xf>
    <xf numFmtId="0" fontId="2" fillId="0" borderId="15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right"/>
    </xf>
    <xf numFmtId="0" fontId="2" fillId="0" borderId="0" xfId="0" applyFont="1" applyFill="1" applyBorder="1"/>
    <xf numFmtId="0" fontId="4" fillId="0" borderId="15" xfId="0" applyFont="1" applyFill="1" applyBorder="1"/>
    <xf numFmtId="0" fontId="2" fillId="0" borderId="15" xfId="0" applyFont="1" applyFill="1" applyBorder="1"/>
    <xf numFmtId="0" fontId="6" fillId="0" borderId="15" xfId="0" applyFont="1" applyFill="1" applyBorder="1"/>
    <xf numFmtId="0" fontId="5" fillId="0" borderId="15" xfId="0" applyFont="1" applyFill="1" applyBorder="1" applyAlignment="1">
      <alignment horizontal="right"/>
    </xf>
    <xf numFmtId="0" fontId="7" fillId="0" borderId="15" xfId="0" applyFont="1" applyFill="1" applyBorder="1" applyAlignment="1"/>
    <xf numFmtId="0" fontId="2" fillId="0" borderId="16" xfId="0" applyFont="1" applyFill="1" applyBorder="1" applyAlignment="1">
      <alignment horizontal="right" vertical="center"/>
    </xf>
    <xf numFmtId="0" fontId="0" fillId="0" borderId="12" xfId="0" applyFill="1" applyBorder="1"/>
    <xf numFmtId="0" fontId="0" fillId="0" borderId="11" xfId="0" applyFill="1" applyBorder="1"/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1" fontId="0" fillId="0" borderId="0" xfId="0" applyNumberFormat="1" applyFill="1" applyBorder="1" applyAlignment="1">
      <alignment horizontal="center"/>
    </xf>
    <xf numFmtId="168" fontId="0" fillId="0" borderId="0" xfId="0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9" fontId="0" fillId="0" borderId="0" xfId="0" applyNumberFormat="1" applyFill="1" applyBorder="1" applyAlignment="1">
      <alignment horizontal="center"/>
    </xf>
    <xf numFmtId="9" fontId="0" fillId="0" borderId="0" xfId="2" applyFont="1" applyFill="1" applyBorder="1" applyAlignment="1">
      <alignment horizontal="center"/>
    </xf>
    <xf numFmtId="17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167" fontId="0" fillId="2" borderId="0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169" fontId="2" fillId="0" borderId="12" xfId="0" applyNumberFormat="1" applyFont="1" applyFill="1" applyBorder="1" applyAlignment="1">
      <alignment horizontal="center"/>
    </xf>
    <xf numFmtId="0" fontId="0" fillId="0" borderId="15" xfId="0" applyFont="1" applyFill="1" applyBorder="1" applyAlignment="1">
      <alignment horizontal="right"/>
    </xf>
    <xf numFmtId="0" fontId="0" fillId="0" borderId="0" xfId="0" applyFont="1" applyFill="1" applyBorder="1"/>
    <xf numFmtId="1" fontId="0" fillId="0" borderId="0" xfId="0" applyNumberFormat="1" applyFont="1" applyFill="1" applyBorder="1" applyAlignment="1">
      <alignment horizontal="center"/>
    </xf>
    <xf numFmtId="0" fontId="0" fillId="0" borderId="15" xfId="0" applyFont="1" applyFill="1" applyBorder="1"/>
    <xf numFmtId="0" fontId="0" fillId="0" borderId="0" xfId="0" applyFont="1" applyFill="1" applyBorder="1" applyAlignment="1">
      <alignment horizontal="center"/>
    </xf>
    <xf numFmtId="169" fontId="0" fillId="0" borderId="0" xfId="0" applyNumberFormat="1" applyFont="1" applyFill="1" applyBorder="1" applyAlignment="1">
      <alignment horizont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15</xdr:col>
      <xdr:colOff>66675</xdr:colOff>
      <xdr:row>19</xdr:row>
      <xdr:rowOff>180975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43525" y="390525"/>
          <a:ext cx="433387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15</xdr:col>
      <xdr:colOff>66675</xdr:colOff>
      <xdr:row>19</xdr:row>
      <xdr:rowOff>180975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3975" y="390525"/>
          <a:ext cx="433387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15</xdr:col>
      <xdr:colOff>66675</xdr:colOff>
      <xdr:row>19</xdr:row>
      <xdr:rowOff>180975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3975" y="390525"/>
          <a:ext cx="433387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15</xdr:col>
      <xdr:colOff>66675</xdr:colOff>
      <xdr:row>19</xdr:row>
      <xdr:rowOff>180975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63975" y="390525"/>
          <a:ext cx="433387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pa.gov/airmarkets/progsregs/epa-ipm/BaseCasev410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epa.gov/airmarkets/progsregs/epa-ipm/BaseCasev410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epa.gov/airmarkets/progsregs/epa-ipm/BaseCasev410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epa.gov/airmarkets/progsregs/epa-ipm/BaseCasev41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6"/>
  <sheetViews>
    <sheetView topLeftCell="A2" workbookViewId="0">
      <pane xSplit="3" ySplit="7" topLeftCell="D80" activePane="bottomRight" state="frozen"/>
      <selection activeCell="A2" sqref="A2"/>
      <selection pane="topRight" activeCell="D2" sqref="D2"/>
      <selection pane="bottomLeft" activeCell="A9" sqref="A9"/>
      <selection pane="bottomRight" activeCell="E91" sqref="E91"/>
    </sheetView>
  </sheetViews>
  <sheetFormatPr defaultRowHeight="15" x14ac:dyDescent="0.25"/>
  <cols>
    <col min="1" max="1" width="22" customWidth="1"/>
    <col min="2" max="2" width="38" customWidth="1"/>
    <col min="3" max="3" width="10.42578125" customWidth="1"/>
    <col min="4" max="4" width="14" style="38" customWidth="1"/>
    <col min="5" max="8" width="41" customWidth="1"/>
  </cols>
  <sheetData>
    <row r="2" spans="1:8" ht="15.75" thickBot="1" x14ac:dyDescent="0.3"/>
    <row r="3" spans="1:8" ht="15.75" thickTop="1" x14ac:dyDescent="0.25">
      <c r="A3" s="4"/>
      <c r="B3" s="5"/>
      <c r="C3" s="5"/>
      <c r="D3" s="39"/>
      <c r="E3" s="6"/>
      <c r="F3" s="2"/>
      <c r="G3" s="2"/>
      <c r="H3" s="2"/>
    </row>
    <row r="4" spans="1:8" ht="15.75" x14ac:dyDescent="0.25">
      <c r="A4" s="7" t="s">
        <v>0</v>
      </c>
      <c r="B4" s="1" t="s">
        <v>1</v>
      </c>
      <c r="C4" s="1" t="s">
        <v>2</v>
      </c>
      <c r="D4" s="1"/>
      <c r="E4" s="8" t="s">
        <v>3</v>
      </c>
      <c r="F4" s="1"/>
      <c r="G4" s="1"/>
      <c r="H4" s="1"/>
    </row>
    <row r="5" spans="1:8" x14ac:dyDescent="0.25">
      <c r="A5" s="9"/>
      <c r="B5" s="2"/>
      <c r="C5" s="2"/>
      <c r="D5" s="3"/>
      <c r="E5" s="10"/>
      <c r="F5" s="2"/>
      <c r="G5" s="2"/>
      <c r="H5" s="2"/>
    </row>
    <row r="6" spans="1:8" x14ac:dyDescent="0.25">
      <c r="A6" s="2" t="s">
        <v>122</v>
      </c>
      <c r="B6" s="2"/>
      <c r="D6" s="3" t="s">
        <v>133</v>
      </c>
      <c r="E6" s="10"/>
      <c r="F6" s="2"/>
      <c r="G6" s="2"/>
      <c r="H6" s="2"/>
    </row>
    <row r="7" spans="1:8" x14ac:dyDescent="0.25">
      <c r="A7" s="2" t="s">
        <v>124</v>
      </c>
      <c r="B7" s="2"/>
      <c r="D7" s="14" t="s">
        <v>133</v>
      </c>
      <c r="E7" s="10"/>
      <c r="F7" s="2"/>
      <c r="G7" s="2"/>
      <c r="H7" s="2"/>
    </row>
    <row r="8" spans="1:8" x14ac:dyDescent="0.25">
      <c r="A8" t="s">
        <v>123</v>
      </c>
      <c r="D8" s="14">
        <v>3</v>
      </c>
      <c r="E8" s="10"/>
      <c r="F8" s="2"/>
      <c r="G8" s="2"/>
      <c r="H8" s="2"/>
    </row>
    <row r="9" spans="1:8" x14ac:dyDescent="0.25">
      <c r="A9" s="9" t="s">
        <v>4</v>
      </c>
      <c r="B9" s="3" t="s">
        <v>14</v>
      </c>
      <c r="C9" s="3" t="s">
        <v>29</v>
      </c>
      <c r="D9" s="14">
        <v>410</v>
      </c>
      <c r="E9" s="10"/>
      <c r="F9" s="2"/>
      <c r="G9" s="2"/>
      <c r="H9" s="2"/>
    </row>
    <row r="10" spans="1:8" x14ac:dyDescent="0.25">
      <c r="A10" s="9" t="s">
        <v>6</v>
      </c>
      <c r="B10" s="3" t="s">
        <v>16</v>
      </c>
      <c r="C10" s="3" t="s">
        <v>30</v>
      </c>
      <c r="D10" s="14">
        <v>10000</v>
      </c>
      <c r="E10" s="10"/>
      <c r="F10" s="2"/>
      <c r="G10" s="2"/>
      <c r="H10" s="2"/>
    </row>
    <row r="11" spans="1:8" x14ac:dyDescent="0.25">
      <c r="A11" s="9" t="s">
        <v>75</v>
      </c>
      <c r="B11" s="3" t="s">
        <v>17</v>
      </c>
      <c r="C11" s="3" t="s">
        <v>139</v>
      </c>
      <c r="D11" s="55">
        <v>0.157</v>
      </c>
      <c r="E11" s="10" t="s">
        <v>138</v>
      </c>
      <c r="F11" s="2"/>
      <c r="G11" s="2"/>
      <c r="H11" s="2"/>
    </row>
    <row r="12" spans="1:8" x14ac:dyDescent="0.25">
      <c r="A12" s="9" t="s">
        <v>76</v>
      </c>
      <c r="B12" s="3" t="s">
        <v>85</v>
      </c>
      <c r="C12" s="3" t="s">
        <v>76</v>
      </c>
      <c r="D12" s="14">
        <v>1</v>
      </c>
      <c r="E12" s="10" t="s">
        <v>135</v>
      </c>
      <c r="F12" s="2"/>
      <c r="G12" s="2"/>
      <c r="H12" s="2"/>
    </row>
    <row r="13" spans="1:8" x14ac:dyDescent="0.25">
      <c r="A13" s="9" t="s">
        <v>7</v>
      </c>
      <c r="B13" s="3" t="s">
        <v>18</v>
      </c>
      <c r="C13" s="3"/>
      <c r="D13" s="14" t="s">
        <v>134</v>
      </c>
      <c r="E13" s="10"/>
      <c r="F13" s="2"/>
      <c r="G13" s="2"/>
      <c r="H13" s="2"/>
    </row>
    <row r="14" spans="1:8" x14ac:dyDescent="0.25">
      <c r="A14" s="9" t="s">
        <v>8</v>
      </c>
      <c r="B14" s="3" t="s">
        <v>19</v>
      </c>
      <c r="C14" s="3"/>
      <c r="D14" s="14">
        <v>1.05</v>
      </c>
      <c r="E14" s="10" t="s">
        <v>140</v>
      </c>
      <c r="F14" s="2"/>
      <c r="G14" s="2"/>
      <c r="H14" s="2"/>
    </row>
    <row r="15" spans="1:8" x14ac:dyDescent="0.25">
      <c r="A15" s="9" t="s">
        <v>5</v>
      </c>
      <c r="B15" s="3" t="s">
        <v>15</v>
      </c>
      <c r="C15" s="3"/>
      <c r="D15" s="14">
        <v>1</v>
      </c>
      <c r="E15" s="10" t="s">
        <v>127</v>
      </c>
      <c r="F15" s="2"/>
      <c r="G15" s="2"/>
      <c r="H15" s="2"/>
    </row>
    <row r="16" spans="1:8" x14ac:dyDescent="0.25">
      <c r="A16" s="9" t="s">
        <v>9</v>
      </c>
      <c r="B16" s="3" t="s">
        <v>20</v>
      </c>
      <c r="C16" s="3"/>
      <c r="D16" s="14">
        <f t="shared" ref="D16" si="0">D10/10000</f>
        <v>1</v>
      </c>
      <c r="E16" s="10" t="s">
        <v>36</v>
      </c>
      <c r="F16" s="2"/>
      <c r="G16" s="2"/>
      <c r="H16" s="2"/>
    </row>
    <row r="17" spans="1:9" x14ac:dyDescent="0.25">
      <c r="A17" s="9" t="s">
        <v>10</v>
      </c>
      <c r="B17" s="3" t="s">
        <v>84</v>
      </c>
      <c r="C17" s="3" t="s">
        <v>31</v>
      </c>
      <c r="D17" s="40">
        <f t="shared" ref="D17" si="1">D9*D10*1000</f>
        <v>4100000000</v>
      </c>
      <c r="E17" s="10" t="s">
        <v>37</v>
      </c>
      <c r="F17" s="2"/>
      <c r="G17" s="2"/>
      <c r="H17" s="2"/>
    </row>
    <row r="18" spans="1:9" x14ac:dyDescent="0.25">
      <c r="A18" s="19" t="s">
        <v>76</v>
      </c>
      <c r="B18" s="14" t="s">
        <v>85</v>
      </c>
      <c r="D18" s="17">
        <f t="shared" ref="D18" si="2">D12</f>
        <v>1</v>
      </c>
      <c r="E18" s="10"/>
      <c r="F18" s="2"/>
      <c r="G18" s="2"/>
      <c r="H18" s="2"/>
    </row>
    <row r="19" spans="1:9" x14ac:dyDescent="0.25">
      <c r="A19" s="9" t="s">
        <v>77</v>
      </c>
      <c r="B19" s="3" t="s">
        <v>21</v>
      </c>
      <c r="C19" s="3" t="s">
        <v>32</v>
      </c>
      <c r="D19" s="41">
        <v>0.51800000000000002</v>
      </c>
      <c r="E19" s="37" t="s">
        <v>141</v>
      </c>
    </row>
    <row r="20" spans="1:9" x14ac:dyDescent="0.25">
      <c r="A20" s="9" t="s">
        <v>78</v>
      </c>
      <c r="B20" s="3" t="s">
        <v>22</v>
      </c>
      <c r="C20" s="3"/>
      <c r="D20" s="42">
        <f t="shared" ref="D20" si="3">D19/0.8</f>
        <v>0.64749999999999996</v>
      </c>
      <c r="E20" s="10" t="s">
        <v>128</v>
      </c>
      <c r="F20" s="18"/>
      <c r="G20" s="18"/>
      <c r="H20" s="18"/>
    </row>
    <row r="21" spans="1:9" x14ac:dyDescent="0.25">
      <c r="A21" s="9" t="s">
        <v>104</v>
      </c>
      <c r="B21" s="3" t="s">
        <v>23</v>
      </c>
      <c r="C21" s="3" t="s">
        <v>89</v>
      </c>
      <c r="D21" s="40">
        <f t="shared" ref="D21" si="4">D11*D17/10^6*D19</f>
        <v>333.43660000000006</v>
      </c>
      <c r="E21" s="10" t="s">
        <v>112</v>
      </c>
      <c r="F21" s="2"/>
      <c r="G21" s="2"/>
      <c r="H21" s="2"/>
    </row>
    <row r="22" spans="1:9" x14ac:dyDescent="0.25">
      <c r="A22" s="9" t="s">
        <v>79</v>
      </c>
      <c r="B22" s="3" t="s">
        <v>24</v>
      </c>
      <c r="C22" s="3" t="s">
        <v>89</v>
      </c>
      <c r="D22" s="43">
        <f t="shared" ref="D22" si="5">D21*0.525*60/46*1.01/0.99</f>
        <v>232.94434407114628</v>
      </c>
      <c r="E22" s="10" t="s">
        <v>92</v>
      </c>
      <c r="F22" s="2"/>
      <c r="G22" s="2"/>
      <c r="H22" s="2"/>
    </row>
    <row r="23" spans="1:9" x14ac:dyDescent="0.25">
      <c r="A23" s="9" t="s">
        <v>80</v>
      </c>
      <c r="B23" s="3" t="s">
        <v>86</v>
      </c>
      <c r="C23" s="3" t="s">
        <v>89</v>
      </c>
      <c r="D23" s="43">
        <f t="shared" ref="D23" si="6">D22*1.13</f>
        <v>263.22710880039529</v>
      </c>
      <c r="E23" s="10" t="s">
        <v>93</v>
      </c>
      <c r="F23" s="2"/>
      <c r="G23" s="2"/>
      <c r="H23" s="2"/>
    </row>
    <row r="24" spans="1:9" x14ac:dyDescent="0.25">
      <c r="A24" s="9" t="s">
        <v>11</v>
      </c>
      <c r="B24" s="3" t="s">
        <v>25</v>
      </c>
      <c r="C24" s="3" t="s">
        <v>32</v>
      </c>
      <c r="D24" s="42">
        <f t="shared" ref="D24" si="7">0.56*(D14*D16)^0.43</f>
        <v>0.57187278015269738</v>
      </c>
      <c r="E24" s="10" t="s">
        <v>94</v>
      </c>
      <c r="F24" s="2"/>
      <c r="G24" s="2"/>
      <c r="H24" s="2"/>
    </row>
    <row r="25" spans="1:9" x14ac:dyDescent="0.25">
      <c r="A25" s="9" t="s">
        <v>81</v>
      </c>
      <c r="B25" s="3" t="s">
        <v>26</v>
      </c>
      <c r="C25" s="3" t="s">
        <v>33</v>
      </c>
      <c r="D25" s="14">
        <v>400</v>
      </c>
      <c r="E25" s="10"/>
      <c r="F25" s="2"/>
      <c r="G25" s="2"/>
      <c r="H25" s="2"/>
      <c r="I25" s="16" t="s">
        <v>121</v>
      </c>
    </row>
    <row r="26" spans="1:9" x14ac:dyDescent="0.25">
      <c r="A26" s="9" t="s">
        <v>82</v>
      </c>
      <c r="B26" s="3" t="s">
        <v>27</v>
      </c>
      <c r="C26" s="3" t="s">
        <v>90</v>
      </c>
      <c r="D26" s="14">
        <v>8000</v>
      </c>
      <c r="E26" s="10"/>
      <c r="F26" s="2"/>
      <c r="G26" s="2"/>
      <c r="H26" s="2"/>
    </row>
    <row r="27" spans="1:9" x14ac:dyDescent="0.25">
      <c r="A27" s="9" t="s">
        <v>12</v>
      </c>
      <c r="B27" s="3" t="s">
        <v>28</v>
      </c>
      <c r="C27" s="3" t="s">
        <v>34</v>
      </c>
      <c r="D27" s="14">
        <v>0.06</v>
      </c>
      <c r="E27" s="10"/>
      <c r="F27" s="2"/>
      <c r="G27" s="2"/>
      <c r="H27" s="2"/>
    </row>
    <row r="28" spans="1:9" x14ac:dyDescent="0.25">
      <c r="A28" s="9" t="s">
        <v>83</v>
      </c>
      <c r="B28" s="3" t="s">
        <v>87</v>
      </c>
      <c r="C28" s="3" t="s">
        <v>91</v>
      </c>
      <c r="D28" s="14">
        <v>4</v>
      </c>
      <c r="E28" s="10"/>
      <c r="F28" s="2"/>
      <c r="G28" s="2"/>
      <c r="H28" s="2"/>
    </row>
    <row r="29" spans="1:9" x14ac:dyDescent="0.25">
      <c r="A29" s="9" t="s">
        <v>13</v>
      </c>
      <c r="B29" s="14" t="s">
        <v>88</v>
      </c>
      <c r="C29" s="3" t="s">
        <v>35</v>
      </c>
      <c r="D29" s="14">
        <v>60</v>
      </c>
      <c r="E29" s="10" t="s">
        <v>38</v>
      </c>
      <c r="F29" s="2"/>
      <c r="G29" s="2"/>
      <c r="H29" s="2"/>
    </row>
    <row r="30" spans="1:9" ht="15.75" thickBot="1" x14ac:dyDescent="0.3">
      <c r="A30" s="11"/>
      <c r="B30" s="12"/>
      <c r="C30" s="12"/>
      <c r="D30" s="15"/>
      <c r="E30" s="13"/>
      <c r="F30" s="2"/>
      <c r="G30" s="2"/>
      <c r="H30" s="2"/>
    </row>
    <row r="31" spans="1:9" ht="15.75" thickTop="1" x14ac:dyDescent="0.25"/>
    <row r="32" spans="1:9" ht="15.75" thickBot="1" x14ac:dyDescent="0.3"/>
    <row r="33" spans="1:8" x14ac:dyDescent="0.25">
      <c r="A33" s="20" t="s">
        <v>39</v>
      </c>
      <c r="B33" s="21"/>
      <c r="C33" s="21"/>
      <c r="D33" s="44"/>
      <c r="E33" s="22"/>
      <c r="F33" s="18"/>
      <c r="G33" s="18"/>
      <c r="H33" s="18"/>
    </row>
    <row r="34" spans="1:8" x14ac:dyDescent="0.25">
      <c r="A34" s="23"/>
      <c r="B34" s="18"/>
      <c r="C34" s="18"/>
      <c r="D34" s="14"/>
      <c r="E34" s="24"/>
      <c r="F34" s="18"/>
      <c r="G34" s="18"/>
      <c r="H34" s="18"/>
    </row>
    <row r="35" spans="1:8" x14ac:dyDescent="0.25">
      <c r="A35" s="25" t="s">
        <v>40</v>
      </c>
      <c r="B35" s="18" t="s">
        <v>96</v>
      </c>
      <c r="C35" s="18"/>
      <c r="D35" s="45">
        <f t="shared" ref="D35" si="8">180000*D15*D20^0.2*(D9*D14*D16)^0.92</f>
        <v>43729625.994648561</v>
      </c>
      <c r="E35" s="24"/>
      <c r="F35" s="18"/>
      <c r="G35" s="18"/>
      <c r="H35" s="18"/>
    </row>
    <row r="36" spans="1:8" x14ac:dyDescent="0.25">
      <c r="A36" s="25" t="s">
        <v>41</v>
      </c>
      <c r="B36" s="18" t="s">
        <v>63</v>
      </c>
      <c r="C36" s="18"/>
      <c r="D36" s="45">
        <f t="shared" ref="D36" si="9">410000*(D21)^0.25</f>
        <v>1752012.3933168985</v>
      </c>
      <c r="E36" s="24"/>
      <c r="F36" s="18"/>
      <c r="G36" s="18"/>
      <c r="H36" s="18"/>
    </row>
    <row r="37" spans="1:8" x14ac:dyDescent="0.25">
      <c r="A37" s="25" t="s">
        <v>95</v>
      </c>
      <c r="B37" s="18" t="s">
        <v>97</v>
      </c>
      <c r="C37" s="18"/>
      <c r="D37" s="45"/>
      <c r="E37" s="24"/>
      <c r="F37" s="18"/>
      <c r="G37" s="18"/>
      <c r="H37" s="18"/>
    </row>
    <row r="38" spans="1:8" x14ac:dyDescent="0.25">
      <c r="A38" s="25" t="s">
        <v>42</v>
      </c>
      <c r="B38" s="18" t="s">
        <v>98</v>
      </c>
      <c r="C38" s="18"/>
      <c r="D38" s="45">
        <f t="shared" ref="D38" si="10">380000*D15*(D9*D14*D16)^0.42</f>
        <v>4853469.6928634066</v>
      </c>
      <c r="E38" s="24"/>
      <c r="F38" s="18"/>
      <c r="G38" s="18"/>
      <c r="H38" s="18"/>
    </row>
    <row r="39" spans="1:8" x14ac:dyDescent="0.25">
      <c r="A39" s="25"/>
      <c r="B39" s="18"/>
      <c r="C39" s="18"/>
      <c r="D39" s="14"/>
      <c r="E39" s="24"/>
      <c r="F39" s="18"/>
      <c r="G39" s="18"/>
      <c r="H39" s="18"/>
    </row>
    <row r="40" spans="1:8" x14ac:dyDescent="0.25">
      <c r="A40" s="25" t="s">
        <v>43</v>
      </c>
      <c r="B40" s="18" t="s">
        <v>64</v>
      </c>
      <c r="C40" s="18"/>
      <c r="D40" s="46">
        <f t="shared" ref="D40" si="11">SUM(D35:D38)</f>
        <v>50335108.08082886</v>
      </c>
      <c r="E40" s="24"/>
      <c r="F40" s="18"/>
      <c r="G40" s="18"/>
      <c r="H40" s="18"/>
    </row>
    <row r="41" spans="1:8" x14ac:dyDescent="0.25">
      <c r="A41" s="25" t="s">
        <v>44</v>
      </c>
      <c r="B41" s="18"/>
      <c r="C41" s="18"/>
      <c r="D41" s="46">
        <f t="shared" ref="D41" si="12">D40/D9/1000</f>
        <v>122.76855629470454</v>
      </c>
      <c r="E41" s="24"/>
      <c r="F41" s="18"/>
      <c r="G41" s="18"/>
      <c r="H41" s="18"/>
    </row>
    <row r="42" spans="1:8" x14ac:dyDescent="0.25">
      <c r="A42" s="23"/>
      <c r="B42" s="18"/>
      <c r="C42" s="18"/>
      <c r="D42" s="14"/>
      <c r="E42" s="24"/>
      <c r="F42" s="18"/>
      <c r="G42" s="18"/>
      <c r="H42" s="18"/>
    </row>
    <row r="43" spans="1:8" x14ac:dyDescent="0.25">
      <c r="A43" s="26" t="s">
        <v>45</v>
      </c>
      <c r="B43" s="18"/>
      <c r="C43" s="18"/>
      <c r="D43" s="14"/>
      <c r="E43" s="24"/>
      <c r="F43" s="18"/>
      <c r="G43" s="18"/>
      <c r="H43" s="18"/>
    </row>
    <row r="44" spans="1:8" x14ac:dyDescent="0.25">
      <c r="A44" s="25" t="s">
        <v>46</v>
      </c>
      <c r="B44" s="18" t="s">
        <v>65</v>
      </c>
      <c r="C44" s="18"/>
      <c r="D44" s="46">
        <f t="shared" ref="D44" si="13">0.1*D40</f>
        <v>5033510.808082886</v>
      </c>
      <c r="E44" s="24"/>
      <c r="F44" s="18"/>
      <c r="G44" s="18"/>
      <c r="H44" s="18"/>
    </row>
    <row r="45" spans="1:8" x14ac:dyDescent="0.25">
      <c r="A45" s="25" t="s">
        <v>47</v>
      </c>
      <c r="B45" s="18" t="s">
        <v>66</v>
      </c>
      <c r="C45" s="18"/>
      <c r="D45" s="46">
        <f t="shared" ref="D45" si="14">0.1*D40</f>
        <v>5033510.808082886</v>
      </c>
      <c r="E45" s="24"/>
      <c r="F45" s="18"/>
      <c r="G45" s="18"/>
      <c r="H45" s="18"/>
    </row>
    <row r="46" spans="1:8" x14ac:dyDescent="0.25">
      <c r="A46" s="25" t="s">
        <v>48</v>
      </c>
      <c r="B46" s="18" t="s">
        <v>67</v>
      </c>
      <c r="C46" s="18"/>
      <c r="D46" s="46">
        <f t="shared" ref="D46" si="15">0.1*D40</f>
        <v>5033510.808082886</v>
      </c>
      <c r="E46" s="24"/>
      <c r="F46" s="18"/>
      <c r="G46" s="18"/>
      <c r="H46" s="18"/>
    </row>
    <row r="47" spans="1:8" x14ac:dyDescent="0.25">
      <c r="A47" s="23"/>
      <c r="B47" s="18"/>
      <c r="C47" s="18"/>
      <c r="D47" s="14"/>
      <c r="E47" s="24"/>
      <c r="F47" s="18"/>
      <c r="G47" s="18"/>
      <c r="H47" s="18"/>
    </row>
    <row r="48" spans="1:8" x14ac:dyDescent="0.25">
      <c r="A48" s="27" t="s">
        <v>49</v>
      </c>
      <c r="B48" s="18" t="s">
        <v>68</v>
      </c>
      <c r="C48" s="18"/>
      <c r="D48" s="46">
        <f t="shared" ref="D48" si="16">D40+D44+D45+D46</f>
        <v>65435640.505077519</v>
      </c>
      <c r="E48" s="24"/>
      <c r="F48" s="18"/>
      <c r="G48" s="18"/>
      <c r="H48" s="18"/>
    </row>
    <row r="49" spans="1:8" x14ac:dyDescent="0.25">
      <c r="A49" s="27" t="s">
        <v>50</v>
      </c>
      <c r="B49" s="18"/>
      <c r="C49" s="18"/>
      <c r="D49" s="46">
        <f t="shared" ref="D49" si="17">D48/D9/1000</f>
        <v>159.59912318311592</v>
      </c>
      <c r="E49" s="24"/>
      <c r="F49" s="18"/>
      <c r="G49" s="18"/>
      <c r="H49" s="18"/>
    </row>
    <row r="50" spans="1:8" x14ac:dyDescent="0.25">
      <c r="A50" s="23"/>
      <c r="B50" s="18"/>
      <c r="C50" s="18"/>
      <c r="D50" s="14"/>
      <c r="E50" s="24"/>
      <c r="F50" s="18"/>
      <c r="G50" s="18"/>
      <c r="H50" s="18"/>
    </row>
    <row r="51" spans="1:8" x14ac:dyDescent="0.25">
      <c r="A51" s="25" t="s">
        <v>51</v>
      </c>
      <c r="B51" s="18" t="s">
        <v>69</v>
      </c>
      <c r="C51" s="18"/>
      <c r="D51" s="46">
        <f>0.05*D48</f>
        <v>3271782.0252538761</v>
      </c>
      <c r="E51" s="24"/>
      <c r="F51" s="18"/>
      <c r="G51" s="18"/>
      <c r="H51" s="18"/>
    </row>
    <row r="52" spans="1:8" x14ac:dyDescent="0.25">
      <c r="A52" s="25" t="s">
        <v>99</v>
      </c>
      <c r="B52" s="18" t="s">
        <v>103</v>
      </c>
      <c r="C52" s="18"/>
      <c r="D52" s="46">
        <f>D51+0.06*D48</f>
        <v>7197920.4555585273</v>
      </c>
      <c r="E52" s="24"/>
      <c r="F52" s="18"/>
      <c r="G52" s="18"/>
      <c r="H52" s="18"/>
    </row>
    <row r="53" spans="1:8" x14ac:dyDescent="0.25">
      <c r="A53" s="23"/>
      <c r="B53" s="18"/>
      <c r="C53" s="18"/>
      <c r="D53" s="14"/>
      <c r="E53" s="24"/>
      <c r="F53" s="18"/>
      <c r="G53" s="18"/>
      <c r="H53" s="18"/>
    </row>
    <row r="54" spans="1:8" x14ac:dyDescent="0.25">
      <c r="A54" s="27" t="s">
        <v>52</v>
      </c>
      <c r="B54" s="28" t="s">
        <v>70</v>
      </c>
      <c r="C54" s="18"/>
      <c r="D54" s="46">
        <f t="shared" ref="D54" si="18">D48+D51+D52</f>
        <v>75905342.985889912</v>
      </c>
      <c r="E54" s="24"/>
      <c r="F54" s="18"/>
      <c r="G54" s="18"/>
      <c r="H54" s="18"/>
    </row>
    <row r="55" spans="1:8" x14ac:dyDescent="0.25">
      <c r="A55" s="27" t="s">
        <v>53</v>
      </c>
      <c r="B55" s="18"/>
      <c r="C55" s="18"/>
      <c r="D55" s="46">
        <f t="shared" ref="D55" si="19">D54/D9/1000</f>
        <v>185.1349828924144</v>
      </c>
      <c r="E55" s="24"/>
      <c r="F55" s="18"/>
      <c r="G55" s="18"/>
      <c r="H55" s="18"/>
    </row>
    <row r="56" spans="1:8" x14ac:dyDescent="0.25">
      <c r="A56" s="23"/>
      <c r="B56" s="18"/>
      <c r="C56" s="18"/>
      <c r="D56" s="14"/>
      <c r="E56" s="24"/>
      <c r="F56" s="18"/>
      <c r="G56" s="18"/>
      <c r="H56" s="18"/>
    </row>
    <row r="57" spans="1:8" x14ac:dyDescent="0.25">
      <c r="A57" s="23"/>
      <c r="B57" s="18"/>
      <c r="C57" s="18"/>
      <c r="D57" s="14"/>
      <c r="E57" s="24"/>
      <c r="F57" s="18"/>
      <c r="G57" s="18"/>
      <c r="H57" s="18"/>
    </row>
    <row r="58" spans="1:8" x14ac:dyDescent="0.25">
      <c r="A58" s="29" t="s">
        <v>54</v>
      </c>
      <c r="B58" s="18"/>
      <c r="C58" s="18"/>
      <c r="D58" s="14"/>
      <c r="E58" s="24"/>
      <c r="F58" s="18"/>
      <c r="G58" s="18"/>
      <c r="H58" s="18"/>
    </row>
    <row r="59" spans="1:8" x14ac:dyDescent="0.25">
      <c r="A59" s="23"/>
      <c r="B59" s="18"/>
      <c r="C59" s="18"/>
      <c r="D59" s="14"/>
      <c r="E59" s="24"/>
      <c r="F59" s="18"/>
      <c r="G59" s="18"/>
      <c r="H59" s="18"/>
    </row>
    <row r="60" spans="1:8" x14ac:dyDescent="0.25">
      <c r="A60" s="25" t="s">
        <v>55</v>
      </c>
      <c r="B60" s="18" t="s">
        <v>71</v>
      </c>
      <c r="C60" s="18"/>
      <c r="D60" s="47">
        <f t="shared" ref="D60" si="20">0.5*2080*D29/(D9*1000)</f>
        <v>0.15219512195121951</v>
      </c>
      <c r="E60" s="24"/>
      <c r="F60" s="18"/>
      <c r="G60" s="18"/>
      <c r="H60" s="18"/>
    </row>
    <row r="61" spans="1:8" x14ac:dyDescent="0.25">
      <c r="A61" s="25" t="s">
        <v>56</v>
      </c>
      <c r="B61" s="18" t="s">
        <v>72</v>
      </c>
      <c r="C61" s="18"/>
      <c r="D61" s="47">
        <f t="shared" ref="D61" si="21">300000/D9/1000</f>
        <v>0.73170731707317072</v>
      </c>
      <c r="E61" s="24"/>
      <c r="F61" s="18"/>
      <c r="G61" s="18"/>
      <c r="H61" s="18"/>
    </row>
    <row r="62" spans="1:8" x14ac:dyDescent="0.25">
      <c r="A62" s="25"/>
      <c r="B62" s="18"/>
      <c r="C62" s="18"/>
      <c r="D62" s="42"/>
      <c r="E62" s="24"/>
      <c r="F62" s="18"/>
      <c r="G62" s="18"/>
      <c r="H62" s="18"/>
    </row>
    <row r="63" spans="1:8" x14ac:dyDescent="0.25">
      <c r="A63" s="25"/>
      <c r="B63" s="18"/>
      <c r="C63" s="18"/>
      <c r="D63" s="14"/>
      <c r="E63" s="24"/>
      <c r="F63" s="18"/>
      <c r="G63" s="18"/>
      <c r="H63" s="18"/>
    </row>
    <row r="64" spans="1:8" x14ac:dyDescent="0.25">
      <c r="A64" s="25"/>
      <c r="B64" s="18"/>
      <c r="C64" s="18"/>
      <c r="D64" s="14"/>
      <c r="E64" s="24"/>
      <c r="F64" s="18"/>
      <c r="G64" s="18"/>
      <c r="H64" s="18"/>
    </row>
    <row r="65" spans="1:8" x14ac:dyDescent="0.25">
      <c r="A65" s="27" t="s">
        <v>57</v>
      </c>
      <c r="B65" s="28" t="s">
        <v>73</v>
      </c>
      <c r="C65" s="18"/>
      <c r="D65" s="42">
        <f t="shared" ref="D65" si="22">SUM(D60:D62)</f>
        <v>0.88390243902439025</v>
      </c>
      <c r="E65" s="24"/>
      <c r="F65" s="18"/>
      <c r="G65" s="18"/>
      <c r="H65" s="18"/>
    </row>
    <row r="66" spans="1:8" x14ac:dyDescent="0.25">
      <c r="A66" s="23"/>
      <c r="B66" s="18"/>
      <c r="C66" s="18"/>
      <c r="D66" s="14"/>
      <c r="E66" s="24"/>
      <c r="F66" s="18"/>
      <c r="G66" s="18"/>
      <c r="H66" s="18"/>
    </row>
    <row r="67" spans="1:8" x14ac:dyDescent="0.25">
      <c r="A67" s="29" t="s">
        <v>58</v>
      </c>
      <c r="B67" s="18"/>
      <c r="C67" s="18"/>
      <c r="D67" s="14"/>
      <c r="E67" s="24"/>
      <c r="F67" s="18"/>
      <c r="G67" s="18"/>
      <c r="H67" s="18"/>
    </row>
    <row r="68" spans="1:8" x14ac:dyDescent="0.25">
      <c r="A68" s="23"/>
      <c r="B68" s="18"/>
      <c r="C68" s="18"/>
      <c r="D68" s="14"/>
      <c r="E68" s="24"/>
      <c r="F68" s="18"/>
      <c r="G68" s="18"/>
      <c r="H68" s="18"/>
    </row>
    <row r="69" spans="1:8" x14ac:dyDescent="0.25">
      <c r="A69" s="25" t="s">
        <v>59</v>
      </c>
      <c r="B69" s="18" t="s">
        <v>100</v>
      </c>
      <c r="C69" s="18"/>
      <c r="D69" s="42">
        <f t="shared" ref="D69" si="23">D22*D25/D9/1000</f>
        <v>0.22726277470355735</v>
      </c>
      <c r="E69" s="24"/>
      <c r="F69" s="18"/>
      <c r="G69" s="18"/>
      <c r="H69" s="18"/>
    </row>
    <row r="70" spans="1:8" x14ac:dyDescent="0.25">
      <c r="A70" s="25" t="s">
        <v>60</v>
      </c>
      <c r="B70" s="18" t="s">
        <v>101</v>
      </c>
      <c r="C70" s="18"/>
      <c r="D70" s="42">
        <f t="shared" ref="D70" si="24">0.3*D14^2.9*(D20)^0.71/8760/D18*D26</f>
        <v>0.23181222822070041</v>
      </c>
      <c r="E70" s="24" t="s">
        <v>129</v>
      </c>
      <c r="F70" s="18"/>
      <c r="G70" s="18"/>
      <c r="H70" s="18"/>
    </row>
    <row r="71" spans="1:8" x14ac:dyDescent="0.25">
      <c r="A71" s="25" t="s">
        <v>131</v>
      </c>
      <c r="B71" s="18" t="s">
        <v>130</v>
      </c>
      <c r="C71" s="18"/>
      <c r="D71" s="42">
        <f t="shared" ref="D71" si="25">D24*D27*10</f>
        <v>0.34312366809161837</v>
      </c>
      <c r="E71" s="24" t="s">
        <v>132</v>
      </c>
      <c r="F71" s="18"/>
      <c r="G71" s="18"/>
      <c r="H71" s="18"/>
    </row>
    <row r="72" spans="1:8" x14ac:dyDescent="0.25">
      <c r="A72" s="25" t="s">
        <v>61</v>
      </c>
      <c r="B72" s="18" t="s">
        <v>102</v>
      </c>
      <c r="C72" s="18"/>
      <c r="D72" s="48">
        <f t="shared" ref="D72" si="26">D23*D28/D9/1000</f>
        <v>2.568069354150198E-3</v>
      </c>
      <c r="E72" s="24"/>
      <c r="F72" s="18"/>
      <c r="G72" s="18"/>
      <c r="H72" s="18"/>
    </row>
    <row r="73" spans="1:8" x14ac:dyDescent="0.25">
      <c r="A73" s="25"/>
      <c r="B73" s="18"/>
      <c r="C73" s="18"/>
      <c r="D73" s="14"/>
      <c r="E73" s="24"/>
      <c r="F73" s="18"/>
      <c r="G73" s="18"/>
      <c r="H73" s="18"/>
    </row>
    <row r="74" spans="1:8" x14ac:dyDescent="0.25">
      <c r="A74" s="23"/>
      <c r="B74" s="18"/>
      <c r="C74" s="18"/>
      <c r="D74" s="14"/>
      <c r="E74" s="24"/>
      <c r="F74" s="18"/>
      <c r="G74" s="18"/>
      <c r="H74" s="18"/>
    </row>
    <row r="75" spans="1:8" x14ac:dyDescent="0.25">
      <c r="A75" s="27" t="s">
        <v>62</v>
      </c>
      <c r="B75" s="28" t="s">
        <v>74</v>
      </c>
      <c r="C75" s="18"/>
      <c r="D75" s="42">
        <f t="shared" ref="D75" si="27">SUM(D69:D72)</f>
        <v>0.80476674037002638</v>
      </c>
      <c r="E75" s="24"/>
      <c r="F75" s="18"/>
      <c r="G75" s="18"/>
      <c r="H75" s="18"/>
    </row>
    <row r="76" spans="1:8" x14ac:dyDescent="0.25">
      <c r="A76" s="23"/>
      <c r="B76" s="18"/>
      <c r="C76" s="18"/>
      <c r="D76" s="14"/>
      <c r="E76" s="24"/>
      <c r="F76" s="18"/>
      <c r="G76" s="18"/>
      <c r="H76" s="18"/>
    </row>
    <row r="77" spans="1:8" x14ac:dyDescent="0.25">
      <c r="A77" s="25" t="s">
        <v>111</v>
      </c>
      <c r="B77" s="18"/>
      <c r="C77" s="18"/>
      <c r="D77" s="52">
        <v>9.4399999999999998E-2</v>
      </c>
      <c r="E77" s="24" t="s">
        <v>136</v>
      </c>
      <c r="F77" s="18"/>
      <c r="G77" s="18"/>
      <c r="H77" s="18"/>
    </row>
    <row r="78" spans="1:8" x14ac:dyDescent="0.25">
      <c r="A78" s="25" t="s">
        <v>125</v>
      </c>
      <c r="B78" s="18"/>
      <c r="C78" s="18"/>
      <c r="D78" s="53">
        <f>0.003+0.009</f>
        <v>1.2E-2</v>
      </c>
      <c r="E78" s="24" t="s">
        <v>137</v>
      </c>
      <c r="F78" s="18"/>
      <c r="G78" s="18"/>
      <c r="H78" s="18"/>
    </row>
    <row r="79" spans="1:8" x14ac:dyDescent="0.25">
      <c r="A79" s="25" t="s">
        <v>126</v>
      </c>
      <c r="B79" s="18"/>
      <c r="C79" s="18"/>
      <c r="D79" s="49">
        <f t="shared" ref="D79" si="28">D77+D78</f>
        <v>0.10639999999999999</v>
      </c>
      <c r="E79" s="24"/>
      <c r="F79" s="18"/>
      <c r="G79" s="18"/>
      <c r="H79" s="18"/>
    </row>
    <row r="80" spans="1:8" x14ac:dyDescent="0.25">
      <c r="A80" s="25"/>
      <c r="B80" s="18"/>
      <c r="C80" s="18"/>
      <c r="D80" s="49"/>
      <c r="E80" s="24"/>
      <c r="F80" s="18"/>
      <c r="G80" s="18"/>
      <c r="H80" s="18"/>
    </row>
    <row r="81" spans="1:8" x14ac:dyDescent="0.25">
      <c r="A81" s="30" t="s">
        <v>105</v>
      </c>
      <c r="B81" s="18"/>
      <c r="C81" s="18"/>
      <c r="D81" s="14"/>
      <c r="E81" s="24"/>
      <c r="F81" s="18"/>
      <c r="G81" s="18"/>
      <c r="H81" s="18"/>
    </row>
    <row r="82" spans="1:8" x14ac:dyDescent="0.25">
      <c r="A82" s="25" t="s">
        <v>115</v>
      </c>
      <c r="B82" s="18"/>
      <c r="C82" s="18"/>
      <c r="D82" s="50">
        <f t="shared" ref="D82" si="29">D12</f>
        <v>1</v>
      </c>
      <c r="E82" s="24"/>
      <c r="F82" s="18"/>
      <c r="G82" s="18"/>
      <c r="H82" s="18"/>
    </row>
    <row r="83" spans="1:8" x14ac:dyDescent="0.25">
      <c r="A83" s="25" t="s">
        <v>106</v>
      </c>
      <c r="B83" s="18"/>
      <c r="C83" s="18"/>
      <c r="D83" s="51">
        <f t="shared" ref="D83" si="30">D19</f>
        <v>0.51800000000000002</v>
      </c>
      <c r="E83" s="24"/>
      <c r="F83" s="18"/>
      <c r="G83" s="18"/>
      <c r="H83" s="18"/>
    </row>
    <row r="84" spans="1:8" x14ac:dyDescent="0.25">
      <c r="A84" s="31" t="s">
        <v>113</v>
      </c>
      <c r="B84" s="18" t="s">
        <v>107</v>
      </c>
      <c r="C84" s="18"/>
      <c r="D84" s="51"/>
      <c r="E84" s="24"/>
      <c r="F84" s="18"/>
      <c r="G84" s="18"/>
      <c r="H84" s="18"/>
    </row>
    <row r="85" spans="1:8" x14ac:dyDescent="0.25">
      <c r="A85" s="25" t="s">
        <v>118</v>
      </c>
      <c r="B85" s="18" t="s">
        <v>108</v>
      </c>
      <c r="C85" s="18"/>
      <c r="D85" s="43">
        <f t="shared" ref="D85" si="31">(D11*D17/1000000)</f>
        <v>643.70000000000005</v>
      </c>
      <c r="E85" s="24"/>
      <c r="F85" s="18"/>
      <c r="G85" s="18"/>
      <c r="H85" s="18"/>
    </row>
    <row r="86" spans="1:8" x14ac:dyDescent="0.25">
      <c r="A86" s="32" t="s">
        <v>119</v>
      </c>
      <c r="B86" s="18"/>
      <c r="C86" s="18"/>
      <c r="D86" s="48">
        <f t="shared" ref="D86" si="32">D11</f>
        <v>0.157</v>
      </c>
      <c r="E86" s="24"/>
      <c r="F86" s="18"/>
      <c r="G86" s="18"/>
      <c r="H86" s="18"/>
    </row>
    <row r="87" spans="1:8" x14ac:dyDescent="0.25">
      <c r="A87" s="25" t="s">
        <v>120</v>
      </c>
      <c r="B87" s="18"/>
      <c r="C87" s="18"/>
      <c r="D87" s="43">
        <f t="shared" ref="D87" si="33">D85*(8760/2000)*D82</f>
        <v>2819.4059999999999</v>
      </c>
      <c r="E87" s="24"/>
      <c r="F87" s="18"/>
      <c r="G87" s="18"/>
      <c r="H87" s="18"/>
    </row>
    <row r="88" spans="1:8" x14ac:dyDescent="0.25">
      <c r="A88" s="33" t="s">
        <v>114</v>
      </c>
      <c r="B88" s="18"/>
      <c r="C88" s="18"/>
      <c r="D88" s="14"/>
      <c r="E88" s="24"/>
      <c r="F88" s="18"/>
      <c r="G88" s="18"/>
      <c r="H88" s="18"/>
    </row>
    <row r="89" spans="1:8" x14ac:dyDescent="0.25">
      <c r="A89" s="25" t="s">
        <v>118</v>
      </c>
      <c r="B89" s="18"/>
      <c r="C89" s="18"/>
      <c r="D89" s="47">
        <f t="shared" ref="D89" si="34">D85*(1-D83)</f>
        <v>310.26339999999999</v>
      </c>
      <c r="E89" s="24"/>
      <c r="F89" s="18"/>
      <c r="G89" s="18"/>
      <c r="H89" s="18"/>
    </row>
    <row r="90" spans="1:8" x14ac:dyDescent="0.25">
      <c r="A90" s="32" t="s">
        <v>119</v>
      </c>
      <c r="B90" s="18" t="s">
        <v>110</v>
      </c>
      <c r="C90" s="18"/>
      <c r="D90" s="54">
        <f>D86*(1-D83)</f>
        <v>7.5673999999999991E-2</v>
      </c>
      <c r="E90" s="24" t="s">
        <v>142</v>
      </c>
      <c r="F90" s="18"/>
      <c r="G90" s="18"/>
      <c r="H90" s="18"/>
    </row>
    <row r="91" spans="1:8" x14ac:dyDescent="0.25">
      <c r="A91" s="25" t="s">
        <v>120</v>
      </c>
      <c r="B91" s="18"/>
      <c r="C91" s="18"/>
      <c r="D91" s="43">
        <f>D89*(8760/2000)*D82</f>
        <v>1358.9536919999998</v>
      </c>
      <c r="E91" s="24"/>
      <c r="F91" s="18"/>
      <c r="G91" s="18"/>
      <c r="H91" s="18"/>
    </row>
    <row r="92" spans="1:8" x14ac:dyDescent="0.25">
      <c r="A92" s="25"/>
      <c r="B92" s="18"/>
      <c r="C92" s="18"/>
      <c r="D92" s="14"/>
      <c r="E92" s="24"/>
      <c r="F92" s="18"/>
      <c r="G92" s="18"/>
      <c r="H92" s="18"/>
    </row>
    <row r="93" spans="1:8" x14ac:dyDescent="0.25">
      <c r="A93" s="57" t="s">
        <v>116</v>
      </c>
      <c r="B93" s="58"/>
      <c r="C93" s="58"/>
      <c r="D93" s="59">
        <f t="shared" ref="D93" si="35">D87*D83</f>
        <v>1460.4523080000001</v>
      </c>
      <c r="E93" s="24"/>
      <c r="F93" s="18"/>
      <c r="G93" s="18"/>
      <c r="H93" s="18"/>
    </row>
    <row r="94" spans="1:8" x14ac:dyDescent="0.25">
      <c r="A94" s="60"/>
      <c r="B94" s="58"/>
      <c r="C94" s="58"/>
      <c r="D94" s="61"/>
      <c r="E94" s="24"/>
      <c r="F94" s="18"/>
      <c r="G94" s="18"/>
      <c r="H94" s="18"/>
    </row>
    <row r="95" spans="1:8" x14ac:dyDescent="0.25">
      <c r="A95" s="57" t="s">
        <v>109</v>
      </c>
      <c r="B95" s="58"/>
      <c r="C95" s="58"/>
      <c r="D95" s="62">
        <f>D54*D79+(D65*D9*1000)+D75*D9*8760*D82</f>
        <v>11329128.718411673</v>
      </c>
      <c r="E95" s="24"/>
      <c r="F95" s="18"/>
      <c r="G95" s="18"/>
      <c r="H95" s="18"/>
    </row>
    <row r="96" spans="1:8" ht="15.75" thickBot="1" x14ac:dyDescent="0.3">
      <c r="A96" s="34" t="s">
        <v>117</v>
      </c>
      <c r="B96" s="35"/>
      <c r="C96" s="35"/>
      <c r="D96" s="56">
        <f t="shared" ref="D96" si="36">D95/D93</f>
        <v>7757.2740009060753</v>
      </c>
      <c r="E96" s="36"/>
      <c r="F96" s="18"/>
      <c r="G96" s="18"/>
      <c r="H96" s="18"/>
    </row>
  </sheetData>
  <hyperlinks>
    <hyperlink ref="I25" r:id="rId1" location="documentation" display="http://www.epa.gov/airmarkets/progsregs/epa-ipm/BaseCasev410.html - documentation"/>
  </hyperlinks>
  <pageMargins left="0.7" right="0.7" top="0.75" bottom="0.75" header="0.3" footer="0.3"/>
  <pageSetup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6"/>
  <sheetViews>
    <sheetView topLeftCell="A2" workbookViewId="0">
      <pane xSplit="3" ySplit="7" topLeftCell="D80" activePane="bottomRight" state="frozen"/>
      <selection activeCell="A2" sqref="A2"/>
      <selection pane="topRight" activeCell="D2" sqref="D2"/>
      <selection pane="bottomLeft" activeCell="A9" sqref="A9"/>
      <selection pane="bottomRight" activeCell="D91" sqref="D91"/>
    </sheetView>
  </sheetViews>
  <sheetFormatPr defaultRowHeight="15" x14ac:dyDescent="0.25"/>
  <cols>
    <col min="1" max="1" width="22" style="37" customWidth="1"/>
    <col min="2" max="2" width="38" style="37" customWidth="1"/>
    <col min="3" max="3" width="10.42578125" style="37" customWidth="1"/>
    <col min="4" max="4" width="14" style="38" customWidth="1"/>
    <col min="5" max="6" width="41" style="37" customWidth="1"/>
    <col min="7" max="7" width="11.28515625" style="37" customWidth="1"/>
    <col min="8" max="8" width="41" style="37" customWidth="1"/>
    <col min="9" max="16384" width="9.140625" style="37"/>
  </cols>
  <sheetData>
    <row r="2" spans="1:8" ht="15.75" thickBot="1" x14ac:dyDescent="0.3"/>
    <row r="3" spans="1:8" ht="15.75" thickTop="1" x14ac:dyDescent="0.25">
      <c r="A3" s="4"/>
      <c r="B3" s="5"/>
      <c r="C3" s="5"/>
      <c r="D3" s="39"/>
      <c r="E3" s="6"/>
      <c r="F3" s="2"/>
      <c r="G3" s="2"/>
      <c r="H3" s="2"/>
    </row>
    <row r="4" spans="1:8" ht="15.75" x14ac:dyDescent="0.25">
      <c r="A4" s="7" t="s">
        <v>0</v>
      </c>
      <c r="B4" s="1" t="s">
        <v>1</v>
      </c>
      <c r="C4" s="1" t="s">
        <v>2</v>
      </c>
      <c r="D4" s="1"/>
      <c r="E4" s="8" t="s">
        <v>3</v>
      </c>
      <c r="F4" s="1"/>
      <c r="G4" s="1"/>
      <c r="H4" s="1"/>
    </row>
    <row r="5" spans="1:8" x14ac:dyDescent="0.25">
      <c r="A5" s="9"/>
      <c r="B5" s="2"/>
      <c r="C5" s="2"/>
      <c r="D5" s="3"/>
      <c r="E5" s="10"/>
      <c r="F5" s="2"/>
      <c r="G5" s="2"/>
      <c r="H5" s="2"/>
    </row>
    <row r="6" spans="1:8" x14ac:dyDescent="0.25">
      <c r="A6" s="2" t="s">
        <v>122</v>
      </c>
      <c r="B6" s="2"/>
      <c r="D6" s="3" t="s">
        <v>133</v>
      </c>
      <c r="E6" s="10"/>
      <c r="F6" s="2"/>
      <c r="G6" s="2"/>
      <c r="H6" s="2"/>
    </row>
    <row r="7" spans="1:8" x14ac:dyDescent="0.25">
      <c r="A7" s="2" t="s">
        <v>124</v>
      </c>
      <c r="B7" s="2"/>
      <c r="D7" s="14" t="s">
        <v>133</v>
      </c>
      <c r="E7" s="10"/>
      <c r="F7" s="2"/>
      <c r="G7" s="2"/>
      <c r="H7" s="2"/>
    </row>
    <row r="8" spans="1:8" x14ac:dyDescent="0.25">
      <c r="A8" s="37" t="s">
        <v>123</v>
      </c>
      <c r="D8" s="14">
        <v>3</v>
      </c>
      <c r="E8" s="10"/>
      <c r="F8" s="2"/>
      <c r="G8" s="2"/>
      <c r="H8" s="2"/>
    </row>
    <row r="9" spans="1:8" x14ac:dyDescent="0.25">
      <c r="A9" s="9" t="s">
        <v>4</v>
      </c>
      <c r="B9" s="3" t="s">
        <v>14</v>
      </c>
      <c r="C9" s="3" t="s">
        <v>29</v>
      </c>
      <c r="D9" s="14">
        <v>410</v>
      </c>
      <c r="E9" s="10"/>
      <c r="F9" s="2"/>
      <c r="G9" s="2"/>
      <c r="H9" s="2"/>
    </row>
    <row r="10" spans="1:8" x14ac:dyDescent="0.25">
      <c r="A10" s="9" t="s">
        <v>6</v>
      </c>
      <c r="B10" s="3" t="s">
        <v>16</v>
      </c>
      <c r="C10" s="3" t="s">
        <v>30</v>
      </c>
      <c r="D10" s="14">
        <v>10000</v>
      </c>
      <c r="E10" s="10"/>
      <c r="F10" s="2"/>
      <c r="G10" s="2"/>
      <c r="H10" s="2"/>
    </row>
    <row r="11" spans="1:8" x14ac:dyDescent="0.25">
      <c r="A11" s="9" t="s">
        <v>75</v>
      </c>
      <c r="B11" s="3" t="s">
        <v>17</v>
      </c>
      <c r="C11" s="3" t="s">
        <v>139</v>
      </c>
      <c r="D11" s="55">
        <v>0.13500000000000001</v>
      </c>
      <c r="E11" s="10" t="s">
        <v>143</v>
      </c>
      <c r="F11" s="2"/>
      <c r="G11" s="2"/>
      <c r="H11" s="2"/>
    </row>
    <row r="12" spans="1:8" x14ac:dyDescent="0.25">
      <c r="A12" s="9" t="s">
        <v>76</v>
      </c>
      <c r="B12" s="3" t="s">
        <v>85</v>
      </c>
      <c r="C12" s="3" t="s">
        <v>76</v>
      </c>
      <c r="D12" s="14">
        <v>1</v>
      </c>
      <c r="E12" s="10" t="s">
        <v>135</v>
      </c>
      <c r="F12" s="2"/>
      <c r="G12" s="2"/>
      <c r="H12" s="2"/>
    </row>
    <row r="13" spans="1:8" x14ac:dyDescent="0.25">
      <c r="A13" s="9" t="s">
        <v>7</v>
      </c>
      <c r="B13" s="3" t="s">
        <v>18</v>
      </c>
      <c r="C13" s="3"/>
      <c r="D13" s="14" t="s">
        <v>134</v>
      </c>
      <c r="E13" s="10"/>
      <c r="F13" s="2"/>
      <c r="G13" s="2"/>
      <c r="H13" s="2"/>
    </row>
    <row r="14" spans="1:8" x14ac:dyDescent="0.25">
      <c r="A14" s="9" t="s">
        <v>8</v>
      </c>
      <c r="B14" s="3" t="s">
        <v>19</v>
      </c>
      <c r="C14" s="3"/>
      <c r="D14" s="14">
        <v>1.05</v>
      </c>
      <c r="E14" s="10" t="s">
        <v>140</v>
      </c>
      <c r="F14" s="2"/>
      <c r="G14" s="2"/>
      <c r="H14" s="2"/>
    </row>
    <row r="15" spans="1:8" x14ac:dyDescent="0.25">
      <c r="A15" s="9" t="s">
        <v>5</v>
      </c>
      <c r="B15" s="3" t="s">
        <v>15</v>
      </c>
      <c r="C15" s="3"/>
      <c r="D15" s="14">
        <v>1</v>
      </c>
      <c r="E15" s="10" t="s">
        <v>127</v>
      </c>
      <c r="F15" s="2"/>
      <c r="G15" s="2">
        <f>1-(0.014/0.135)</f>
        <v>0.89629629629629626</v>
      </c>
      <c r="H15" s="2"/>
    </row>
    <row r="16" spans="1:8" x14ac:dyDescent="0.25">
      <c r="A16" s="9" t="s">
        <v>9</v>
      </c>
      <c r="B16" s="3" t="s">
        <v>20</v>
      </c>
      <c r="C16" s="3"/>
      <c r="D16" s="14">
        <f t="shared" ref="D16" si="0">D10/10000</f>
        <v>1</v>
      </c>
      <c r="E16" s="10" t="s">
        <v>36</v>
      </c>
      <c r="F16" s="2"/>
      <c r="G16" s="2"/>
      <c r="H16" s="2"/>
    </row>
    <row r="17" spans="1:9" x14ac:dyDescent="0.25">
      <c r="A17" s="9" t="s">
        <v>10</v>
      </c>
      <c r="B17" s="3" t="s">
        <v>84</v>
      </c>
      <c r="C17" s="3" t="s">
        <v>31</v>
      </c>
      <c r="D17" s="40">
        <f t="shared" ref="D17" si="1">D9*D10*1000</f>
        <v>4100000000</v>
      </c>
      <c r="E17" s="10" t="s">
        <v>37</v>
      </c>
      <c r="F17" s="2"/>
      <c r="G17" s="2"/>
      <c r="H17" s="2"/>
    </row>
    <row r="18" spans="1:9" x14ac:dyDescent="0.25">
      <c r="A18" s="19" t="s">
        <v>76</v>
      </c>
      <c r="B18" s="14" t="s">
        <v>85</v>
      </c>
      <c r="D18" s="17">
        <f t="shared" ref="D18" si="2">D12</f>
        <v>1</v>
      </c>
      <c r="E18" s="10"/>
      <c r="F18" s="2"/>
      <c r="G18" s="2"/>
      <c r="H18" s="2"/>
    </row>
    <row r="19" spans="1:9" x14ac:dyDescent="0.25">
      <c r="A19" s="9" t="s">
        <v>77</v>
      </c>
      <c r="B19" s="3" t="s">
        <v>21</v>
      </c>
      <c r="C19" s="3" t="s">
        <v>32</v>
      </c>
      <c r="D19" s="41">
        <v>0.89600000000000002</v>
      </c>
      <c r="E19" s="37" t="s">
        <v>141</v>
      </c>
    </row>
    <row r="20" spans="1:9" x14ac:dyDescent="0.25">
      <c r="A20" s="9" t="s">
        <v>78</v>
      </c>
      <c r="B20" s="3" t="s">
        <v>22</v>
      </c>
      <c r="C20" s="3"/>
      <c r="D20" s="42">
        <f t="shared" ref="D20" si="3">D19/0.8</f>
        <v>1.1199999999999999</v>
      </c>
      <c r="E20" s="10" t="s">
        <v>128</v>
      </c>
      <c r="F20" s="18"/>
      <c r="G20" s="18"/>
      <c r="H20" s="18"/>
    </row>
    <row r="21" spans="1:9" x14ac:dyDescent="0.25">
      <c r="A21" s="9" t="s">
        <v>104</v>
      </c>
      <c r="B21" s="3" t="s">
        <v>23</v>
      </c>
      <c r="C21" s="3" t="s">
        <v>89</v>
      </c>
      <c r="D21" s="40">
        <f t="shared" ref="D21" si="4">D11*D17/10^6*D19</f>
        <v>495.93600000000004</v>
      </c>
      <c r="E21" s="10" t="s">
        <v>112</v>
      </c>
      <c r="F21" s="2"/>
      <c r="G21" s="2"/>
      <c r="H21" s="2"/>
    </row>
    <row r="22" spans="1:9" x14ac:dyDescent="0.25">
      <c r="A22" s="9" t="s">
        <v>79</v>
      </c>
      <c r="B22" s="3" t="s">
        <v>24</v>
      </c>
      <c r="C22" s="3" t="s">
        <v>89</v>
      </c>
      <c r="D22" s="43">
        <f t="shared" ref="D22" si="5">D21*0.525*60/46*1.01/0.99</f>
        <v>346.46912252964438</v>
      </c>
      <c r="E22" s="10" t="s">
        <v>92</v>
      </c>
      <c r="F22" s="2"/>
      <c r="G22" s="2"/>
      <c r="H22" s="2"/>
    </row>
    <row r="23" spans="1:9" x14ac:dyDescent="0.25">
      <c r="A23" s="9" t="s">
        <v>80</v>
      </c>
      <c r="B23" s="3" t="s">
        <v>86</v>
      </c>
      <c r="C23" s="3" t="s">
        <v>89</v>
      </c>
      <c r="D23" s="43">
        <f t="shared" ref="D23" si="6">D22*1.13</f>
        <v>391.51010845849811</v>
      </c>
      <c r="E23" s="10" t="s">
        <v>93</v>
      </c>
      <c r="F23" s="2"/>
      <c r="G23" s="2"/>
      <c r="H23" s="2"/>
    </row>
    <row r="24" spans="1:9" x14ac:dyDescent="0.25">
      <c r="A24" s="9" t="s">
        <v>11</v>
      </c>
      <c r="B24" s="3" t="s">
        <v>25</v>
      </c>
      <c r="C24" s="3" t="s">
        <v>32</v>
      </c>
      <c r="D24" s="42">
        <f t="shared" ref="D24" si="7">0.56*(D14*D16)^0.43</f>
        <v>0.57187278015269738</v>
      </c>
      <c r="E24" s="10" t="s">
        <v>94</v>
      </c>
      <c r="F24" s="2"/>
      <c r="G24" s="2"/>
      <c r="H24" s="2"/>
    </row>
    <row r="25" spans="1:9" x14ac:dyDescent="0.25">
      <c r="A25" s="9" t="s">
        <v>81</v>
      </c>
      <c r="B25" s="3" t="s">
        <v>26</v>
      </c>
      <c r="C25" s="3" t="s">
        <v>33</v>
      </c>
      <c r="D25" s="14">
        <v>400</v>
      </c>
      <c r="E25" s="10"/>
      <c r="F25" s="2"/>
      <c r="G25" s="2"/>
      <c r="H25" s="2"/>
      <c r="I25" s="16" t="s">
        <v>121</v>
      </c>
    </row>
    <row r="26" spans="1:9" x14ac:dyDescent="0.25">
      <c r="A26" s="9" t="s">
        <v>82</v>
      </c>
      <c r="B26" s="3" t="s">
        <v>27</v>
      </c>
      <c r="C26" s="3" t="s">
        <v>90</v>
      </c>
      <c r="D26" s="14">
        <v>8000</v>
      </c>
      <c r="E26" s="10"/>
      <c r="F26" s="2"/>
      <c r="G26" s="2"/>
      <c r="H26" s="2"/>
    </row>
    <row r="27" spans="1:9" x14ac:dyDescent="0.25">
      <c r="A27" s="9" t="s">
        <v>12</v>
      </c>
      <c r="B27" s="3" t="s">
        <v>28</v>
      </c>
      <c r="C27" s="3" t="s">
        <v>34</v>
      </c>
      <c r="D27" s="14">
        <v>0.06</v>
      </c>
      <c r="E27" s="10"/>
      <c r="F27" s="2"/>
      <c r="G27" s="2"/>
      <c r="H27" s="2"/>
    </row>
    <row r="28" spans="1:9" x14ac:dyDescent="0.25">
      <c r="A28" s="9" t="s">
        <v>83</v>
      </c>
      <c r="B28" s="3" t="s">
        <v>87</v>
      </c>
      <c r="C28" s="3" t="s">
        <v>91</v>
      </c>
      <c r="D28" s="14">
        <v>4</v>
      </c>
      <c r="E28" s="10"/>
      <c r="F28" s="2"/>
      <c r="G28" s="2"/>
      <c r="H28" s="2"/>
    </row>
    <row r="29" spans="1:9" x14ac:dyDescent="0.25">
      <c r="A29" s="9" t="s">
        <v>13</v>
      </c>
      <c r="B29" s="14" t="s">
        <v>88</v>
      </c>
      <c r="C29" s="3" t="s">
        <v>35</v>
      </c>
      <c r="D29" s="14">
        <v>60</v>
      </c>
      <c r="E29" s="10" t="s">
        <v>38</v>
      </c>
      <c r="F29" s="2"/>
      <c r="G29" s="2"/>
      <c r="H29" s="2"/>
    </row>
    <row r="30" spans="1:9" ht="15.75" thickBot="1" x14ac:dyDescent="0.3">
      <c r="A30" s="11"/>
      <c r="B30" s="12"/>
      <c r="C30" s="12"/>
      <c r="D30" s="15"/>
      <c r="E30" s="13"/>
      <c r="F30" s="2"/>
      <c r="G30" s="2"/>
      <c r="H30" s="2"/>
    </row>
    <row r="31" spans="1:9" ht="15.75" thickTop="1" x14ac:dyDescent="0.25"/>
    <row r="32" spans="1:9" ht="15.75" thickBot="1" x14ac:dyDescent="0.3"/>
    <row r="33" spans="1:8" x14ac:dyDescent="0.25">
      <c r="A33" s="20" t="s">
        <v>39</v>
      </c>
      <c r="B33" s="21"/>
      <c r="C33" s="21"/>
      <c r="D33" s="44"/>
      <c r="E33" s="22"/>
      <c r="F33" s="18"/>
      <c r="G33" s="18"/>
      <c r="H33" s="18"/>
    </row>
    <row r="34" spans="1:8" x14ac:dyDescent="0.25">
      <c r="A34" s="23"/>
      <c r="B34" s="18"/>
      <c r="C34" s="18"/>
      <c r="D34" s="14"/>
      <c r="E34" s="24"/>
      <c r="F34" s="18"/>
      <c r="G34" s="18"/>
      <c r="H34" s="18"/>
    </row>
    <row r="35" spans="1:8" x14ac:dyDescent="0.25">
      <c r="A35" s="25" t="s">
        <v>40</v>
      </c>
      <c r="B35" s="18" t="s">
        <v>96</v>
      </c>
      <c r="C35" s="18"/>
      <c r="D35" s="45">
        <f t="shared" ref="D35" si="8">180000*D15*D20^0.2*(D9*D14*D16)^0.92</f>
        <v>48794560.765704535</v>
      </c>
      <c r="E35" s="24"/>
      <c r="F35" s="18"/>
      <c r="G35" s="18"/>
      <c r="H35" s="18"/>
    </row>
    <row r="36" spans="1:8" x14ac:dyDescent="0.25">
      <c r="A36" s="25" t="s">
        <v>41</v>
      </c>
      <c r="B36" s="18" t="s">
        <v>63</v>
      </c>
      <c r="C36" s="18"/>
      <c r="D36" s="45">
        <f t="shared" ref="D36" si="9">410000*(D21)^0.25</f>
        <v>1934818.6521131236</v>
      </c>
      <c r="E36" s="24"/>
      <c r="F36" s="18"/>
      <c r="G36" s="18"/>
      <c r="H36" s="18"/>
    </row>
    <row r="37" spans="1:8" x14ac:dyDescent="0.25">
      <c r="A37" s="25" t="s">
        <v>95</v>
      </c>
      <c r="B37" s="18" t="s">
        <v>97</v>
      </c>
      <c r="C37" s="18"/>
      <c r="D37" s="45"/>
      <c r="E37" s="24"/>
      <c r="F37" s="18"/>
      <c r="G37" s="18"/>
      <c r="H37" s="18"/>
    </row>
    <row r="38" spans="1:8" x14ac:dyDescent="0.25">
      <c r="A38" s="25" t="s">
        <v>42</v>
      </c>
      <c r="B38" s="18" t="s">
        <v>98</v>
      </c>
      <c r="C38" s="18"/>
      <c r="D38" s="45">
        <f t="shared" ref="D38" si="10">380000*D15*(D9*D14*D16)^0.42</f>
        <v>4853469.6928634066</v>
      </c>
      <c r="E38" s="24"/>
      <c r="F38" s="18"/>
      <c r="G38" s="18"/>
      <c r="H38" s="18"/>
    </row>
    <row r="39" spans="1:8" x14ac:dyDescent="0.25">
      <c r="A39" s="25"/>
      <c r="B39" s="18"/>
      <c r="C39" s="18"/>
      <c r="D39" s="14"/>
      <c r="E39" s="24"/>
      <c r="F39" s="18"/>
      <c r="G39" s="18"/>
      <c r="H39" s="18"/>
    </row>
    <row r="40" spans="1:8" x14ac:dyDescent="0.25">
      <c r="A40" s="25" t="s">
        <v>43</v>
      </c>
      <c r="B40" s="18" t="s">
        <v>64</v>
      </c>
      <c r="C40" s="18"/>
      <c r="D40" s="46">
        <f t="shared" ref="D40" si="11">SUM(D35:D38)</f>
        <v>55582849.110681064</v>
      </c>
      <c r="E40" s="24"/>
      <c r="F40" s="18"/>
      <c r="G40" s="18"/>
      <c r="H40" s="18"/>
    </row>
    <row r="41" spans="1:8" x14ac:dyDescent="0.25">
      <c r="A41" s="25" t="s">
        <v>44</v>
      </c>
      <c r="B41" s="18"/>
      <c r="C41" s="18"/>
      <c r="D41" s="46">
        <f t="shared" ref="D41" si="12">D40/D9/1000</f>
        <v>135.56792466019772</v>
      </c>
      <c r="E41" s="24"/>
      <c r="F41" s="18"/>
      <c r="G41" s="18"/>
      <c r="H41" s="18"/>
    </row>
    <row r="42" spans="1:8" x14ac:dyDescent="0.25">
      <c r="A42" s="23"/>
      <c r="B42" s="18"/>
      <c r="C42" s="18"/>
      <c r="D42" s="14"/>
      <c r="E42" s="24"/>
      <c r="F42" s="18"/>
      <c r="G42" s="18"/>
      <c r="H42" s="18"/>
    </row>
    <row r="43" spans="1:8" x14ac:dyDescent="0.25">
      <c r="A43" s="26" t="s">
        <v>45</v>
      </c>
      <c r="B43" s="18"/>
      <c r="C43" s="18"/>
      <c r="D43" s="14"/>
      <c r="E43" s="24"/>
      <c r="F43" s="18"/>
      <c r="G43" s="18"/>
      <c r="H43" s="18"/>
    </row>
    <row r="44" spans="1:8" x14ac:dyDescent="0.25">
      <c r="A44" s="25" t="s">
        <v>46</v>
      </c>
      <c r="B44" s="18" t="s">
        <v>65</v>
      </c>
      <c r="C44" s="18"/>
      <c r="D44" s="46">
        <f t="shared" ref="D44" si="13">0.1*D40</f>
        <v>5558284.911068107</v>
      </c>
      <c r="E44" s="24"/>
      <c r="F44" s="18"/>
      <c r="G44" s="18"/>
      <c r="H44" s="18"/>
    </row>
    <row r="45" spans="1:8" x14ac:dyDescent="0.25">
      <c r="A45" s="25" t="s">
        <v>47</v>
      </c>
      <c r="B45" s="18" t="s">
        <v>66</v>
      </c>
      <c r="C45" s="18"/>
      <c r="D45" s="46">
        <f t="shared" ref="D45" si="14">0.1*D40</f>
        <v>5558284.911068107</v>
      </c>
      <c r="E45" s="24"/>
      <c r="F45" s="18"/>
      <c r="G45" s="18"/>
      <c r="H45" s="18"/>
    </row>
    <row r="46" spans="1:8" x14ac:dyDescent="0.25">
      <c r="A46" s="25" t="s">
        <v>48</v>
      </c>
      <c r="B46" s="18" t="s">
        <v>67</v>
      </c>
      <c r="C46" s="18"/>
      <c r="D46" s="46">
        <f t="shared" ref="D46" si="15">0.1*D40</f>
        <v>5558284.911068107</v>
      </c>
      <c r="E46" s="24"/>
      <c r="F46" s="18"/>
      <c r="G46" s="18"/>
      <c r="H46" s="18"/>
    </row>
    <row r="47" spans="1:8" x14ac:dyDescent="0.25">
      <c r="A47" s="23"/>
      <c r="B47" s="18"/>
      <c r="C47" s="18"/>
      <c r="D47" s="14"/>
      <c r="E47" s="24"/>
      <c r="F47" s="18"/>
      <c r="G47" s="18"/>
      <c r="H47" s="18"/>
    </row>
    <row r="48" spans="1:8" x14ac:dyDescent="0.25">
      <c r="A48" s="27" t="s">
        <v>49</v>
      </c>
      <c r="B48" s="18" t="s">
        <v>68</v>
      </c>
      <c r="C48" s="18"/>
      <c r="D48" s="46">
        <f t="shared" ref="D48" si="16">D40+D44+D45+D46</f>
        <v>72257703.843885377</v>
      </c>
      <c r="E48" s="24"/>
      <c r="F48" s="18"/>
      <c r="G48" s="18"/>
      <c r="H48" s="18"/>
    </row>
    <row r="49" spans="1:8" x14ac:dyDescent="0.25">
      <c r="A49" s="27" t="s">
        <v>50</v>
      </c>
      <c r="B49" s="18"/>
      <c r="C49" s="18"/>
      <c r="D49" s="46">
        <f t="shared" ref="D49" si="17">D48/D9/1000</f>
        <v>176.23830205825701</v>
      </c>
      <c r="E49" s="24"/>
      <c r="F49" s="18"/>
      <c r="G49" s="18"/>
      <c r="H49" s="18"/>
    </row>
    <row r="50" spans="1:8" x14ac:dyDescent="0.25">
      <c r="A50" s="23"/>
      <c r="B50" s="18"/>
      <c r="C50" s="18"/>
      <c r="D50" s="14"/>
      <c r="E50" s="24"/>
      <c r="F50" s="18"/>
      <c r="G50" s="18"/>
      <c r="H50" s="18"/>
    </row>
    <row r="51" spans="1:8" x14ac:dyDescent="0.25">
      <c r="A51" s="25" t="s">
        <v>51</v>
      </c>
      <c r="B51" s="18" t="s">
        <v>69</v>
      </c>
      <c r="C51" s="18"/>
      <c r="D51" s="46">
        <f>0.05*D48</f>
        <v>3612885.192194269</v>
      </c>
      <c r="E51" s="24"/>
      <c r="F51" s="18"/>
      <c r="G51" s="18"/>
      <c r="H51" s="18"/>
    </row>
    <row r="52" spans="1:8" x14ac:dyDescent="0.25">
      <c r="A52" s="25" t="s">
        <v>99</v>
      </c>
      <c r="B52" s="18" t="s">
        <v>103</v>
      </c>
      <c r="C52" s="18"/>
      <c r="D52" s="46">
        <f>D51+0.06*D48</f>
        <v>7948347.4228273919</v>
      </c>
      <c r="E52" s="24"/>
      <c r="F52" s="18"/>
      <c r="G52" s="18"/>
      <c r="H52" s="18"/>
    </row>
    <row r="53" spans="1:8" x14ac:dyDescent="0.25">
      <c r="A53" s="23"/>
      <c r="B53" s="18"/>
      <c r="C53" s="18"/>
      <c r="D53" s="14"/>
      <c r="E53" s="24"/>
      <c r="F53" s="18"/>
      <c r="G53" s="18"/>
      <c r="H53" s="18"/>
    </row>
    <row r="54" spans="1:8" x14ac:dyDescent="0.25">
      <c r="A54" s="27" t="s">
        <v>52</v>
      </c>
      <c r="B54" s="28" t="s">
        <v>70</v>
      </c>
      <c r="C54" s="18"/>
      <c r="D54" s="46">
        <f t="shared" ref="D54" si="18">D48+D51+D52</f>
        <v>83818936.458907038</v>
      </c>
      <c r="E54" s="24"/>
      <c r="F54" s="18"/>
      <c r="G54" s="18"/>
      <c r="H54" s="18"/>
    </row>
    <row r="55" spans="1:8" x14ac:dyDescent="0.25">
      <c r="A55" s="27" t="s">
        <v>53</v>
      </c>
      <c r="B55" s="18"/>
      <c r="C55" s="18"/>
      <c r="D55" s="46">
        <f t="shared" ref="D55" si="19">D54/D9/1000</f>
        <v>204.43643038757816</v>
      </c>
      <c r="E55" s="24"/>
      <c r="F55" s="18"/>
      <c r="G55" s="18"/>
      <c r="H55" s="18"/>
    </row>
    <row r="56" spans="1:8" x14ac:dyDescent="0.25">
      <c r="A56" s="23"/>
      <c r="B56" s="18"/>
      <c r="C56" s="18"/>
      <c r="D56" s="14"/>
      <c r="E56" s="24"/>
      <c r="F56" s="18"/>
      <c r="G56" s="18"/>
      <c r="H56" s="18"/>
    </row>
    <row r="57" spans="1:8" x14ac:dyDescent="0.25">
      <c r="A57" s="23"/>
      <c r="B57" s="18"/>
      <c r="C57" s="18"/>
      <c r="D57" s="14"/>
      <c r="E57" s="24"/>
      <c r="F57" s="18"/>
      <c r="G57" s="18"/>
      <c r="H57" s="18"/>
    </row>
    <row r="58" spans="1:8" x14ac:dyDescent="0.25">
      <c r="A58" s="29" t="s">
        <v>54</v>
      </c>
      <c r="B58" s="18"/>
      <c r="C58" s="18"/>
      <c r="D58" s="14"/>
      <c r="E58" s="24"/>
      <c r="F58" s="18"/>
      <c r="G58" s="18"/>
      <c r="H58" s="18"/>
    </row>
    <row r="59" spans="1:8" x14ac:dyDescent="0.25">
      <c r="A59" s="23"/>
      <c r="B59" s="18"/>
      <c r="C59" s="18"/>
      <c r="D59" s="14"/>
      <c r="E59" s="24"/>
      <c r="F59" s="18"/>
      <c r="G59" s="18"/>
      <c r="H59" s="18"/>
    </row>
    <row r="60" spans="1:8" x14ac:dyDescent="0.25">
      <c r="A60" s="25" t="s">
        <v>55</v>
      </c>
      <c r="B60" s="18" t="s">
        <v>71</v>
      </c>
      <c r="C60" s="18"/>
      <c r="D60" s="47">
        <f t="shared" ref="D60" si="20">0.5*2080*D29/(D9*1000)</f>
        <v>0.15219512195121951</v>
      </c>
      <c r="E60" s="24"/>
      <c r="F60" s="18"/>
      <c r="G60" s="18"/>
      <c r="H60" s="18"/>
    </row>
    <row r="61" spans="1:8" x14ac:dyDescent="0.25">
      <c r="A61" s="25" t="s">
        <v>56</v>
      </c>
      <c r="B61" s="18" t="s">
        <v>72</v>
      </c>
      <c r="C61" s="18"/>
      <c r="D61" s="47">
        <f t="shared" ref="D61" si="21">300000/D9/1000</f>
        <v>0.73170731707317072</v>
      </c>
      <c r="E61" s="24"/>
      <c r="F61" s="18"/>
      <c r="G61" s="18"/>
      <c r="H61" s="18"/>
    </row>
    <row r="62" spans="1:8" x14ac:dyDescent="0.25">
      <c r="A62" s="25"/>
      <c r="B62" s="18"/>
      <c r="C62" s="18"/>
      <c r="D62" s="42"/>
      <c r="E62" s="24"/>
      <c r="F62" s="18"/>
      <c r="G62" s="18"/>
      <c r="H62" s="18"/>
    </row>
    <row r="63" spans="1:8" x14ac:dyDescent="0.25">
      <c r="A63" s="25"/>
      <c r="B63" s="18"/>
      <c r="C63" s="18"/>
      <c r="D63" s="14"/>
      <c r="E63" s="24"/>
      <c r="F63" s="18"/>
      <c r="G63" s="18"/>
      <c r="H63" s="18"/>
    </row>
    <row r="64" spans="1:8" x14ac:dyDescent="0.25">
      <c r="A64" s="25"/>
      <c r="B64" s="18"/>
      <c r="C64" s="18"/>
      <c r="D64" s="14"/>
      <c r="E64" s="24"/>
      <c r="F64" s="18"/>
      <c r="G64" s="18"/>
      <c r="H64" s="18"/>
    </row>
    <row r="65" spans="1:8" x14ac:dyDescent="0.25">
      <c r="A65" s="27" t="s">
        <v>57</v>
      </c>
      <c r="B65" s="28" t="s">
        <v>73</v>
      </c>
      <c r="C65" s="18"/>
      <c r="D65" s="42">
        <f t="shared" ref="D65" si="22">SUM(D60:D62)</f>
        <v>0.88390243902439025</v>
      </c>
      <c r="E65" s="24"/>
      <c r="F65" s="18"/>
      <c r="G65" s="18"/>
      <c r="H65" s="18"/>
    </row>
    <row r="66" spans="1:8" x14ac:dyDescent="0.25">
      <c r="A66" s="23"/>
      <c r="B66" s="18"/>
      <c r="C66" s="18"/>
      <c r="D66" s="14"/>
      <c r="E66" s="24"/>
      <c r="F66" s="18"/>
      <c r="G66" s="18"/>
      <c r="H66" s="18"/>
    </row>
    <row r="67" spans="1:8" x14ac:dyDescent="0.25">
      <c r="A67" s="29" t="s">
        <v>58</v>
      </c>
      <c r="B67" s="18"/>
      <c r="C67" s="18"/>
      <c r="D67" s="14"/>
      <c r="E67" s="24"/>
      <c r="F67" s="18"/>
      <c r="G67" s="18"/>
      <c r="H67" s="18"/>
    </row>
    <row r="68" spans="1:8" x14ac:dyDescent="0.25">
      <c r="A68" s="23"/>
      <c r="B68" s="18"/>
      <c r="C68" s="18"/>
      <c r="D68" s="14"/>
      <c r="E68" s="24"/>
      <c r="F68" s="18"/>
      <c r="G68" s="18"/>
      <c r="H68" s="18"/>
    </row>
    <row r="69" spans="1:8" x14ac:dyDescent="0.25">
      <c r="A69" s="25" t="s">
        <v>59</v>
      </c>
      <c r="B69" s="18" t="s">
        <v>100</v>
      </c>
      <c r="C69" s="18"/>
      <c r="D69" s="42">
        <f t="shared" ref="D69" si="23">D22*D25/D9/1000</f>
        <v>0.3380186561264823</v>
      </c>
      <c r="E69" s="24"/>
      <c r="F69" s="18"/>
      <c r="G69" s="18"/>
      <c r="H69" s="18"/>
    </row>
    <row r="70" spans="1:8" x14ac:dyDescent="0.25">
      <c r="A70" s="25" t="s">
        <v>60</v>
      </c>
      <c r="B70" s="18" t="s">
        <v>101</v>
      </c>
      <c r="C70" s="18"/>
      <c r="D70" s="42">
        <f t="shared" ref="D70" si="24">0.3*D14^2.9*(D20)^0.71/8760/D18*D26</f>
        <v>0.34205890328061134</v>
      </c>
      <c r="E70" s="24" t="s">
        <v>129</v>
      </c>
      <c r="F70" s="18"/>
      <c r="G70" s="18"/>
      <c r="H70" s="18"/>
    </row>
    <row r="71" spans="1:8" x14ac:dyDescent="0.25">
      <c r="A71" s="25" t="s">
        <v>131</v>
      </c>
      <c r="B71" s="18" t="s">
        <v>130</v>
      </c>
      <c r="C71" s="18"/>
      <c r="D71" s="42">
        <f t="shared" ref="D71" si="25">D24*D27*10</f>
        <v>0.34312366809161837</v>
      </c>
      <c r="E71" s="24" t="s">
        <v>132</v>
      </c>
      <c r="F71" s="18"/>
      <c r="G71" s="18"/>
      <c r="H71" s="18"/>
    </row>
    <row r="72" spans="1:8" x14ac:dyDescent="0.25">
      <c r="A72" s="25" t="s">
        <v>61</v>
      </c>
      <c r="B72" s="18" t="s">
        <v>102</v>
      </c>
      <c r="C72" s="18"/>
      <c r="D72" s="48">
        <f t="shared" ref="D72" si="26">D23*D28/D9/1000</f>
        <v>3.8196108142292498E-3</v>
      </c>
      <c r="E72" s="24"/>
      <c r="F72" s="18"/>
      <c r="G72" s="18"/>
      <c r="H72" s="18"/>
    </row>
    <row r="73" spans="1:8" x14ac:dyDescent="0.25">
      <c r="A73" s="25"/>
      <c r="B73" s="18"/>
      <c r="C73" s="18"/>
      <c r="D73" s="14"/>
      <c r="E73" s="24"/>
      <c r="F73" s="18"/>
      <c r="G73" s="18"/>
      <c r="H73" s="18"/>
    </row>
    <row r="74" spans="1:8" x14ac:dyDescent="0.25">
      <c r="A74" s="23"/>
      <c r="B74" s="18"/>
      <c r="C74" s="18"/>
      <c r="D74" s="14"/>
      <c r="E74" s="24"/>
      <c r="F74" s="18"/>
      <c r="G74" s="18"/>
      <c r="H74" s="18"/>
    </row>
    <row r="75" spans="1:8" x14ac:dyDescent="0.25">
      <c r="A75" s="27" t="s">
        <v>62</v>
      </c>
      <c r="B75" s="28" t="s">
        <v>74</v>
      </c>
      <c r="C75" s="18"/>
      <c r="D75" s="42">
        <f t="shared" ref="D75" si="27">SUM(D69:D72)</f>
        <v>1.0270208383129411</v>
      </c>
      <c r="E75" s="24"/>
      <c r="F75" s="18"/>
      <c r="G75" s="18"/>
      <c r="H75" s="18"/>
    </row>
    <row r="76" spans="1:8" x14ac:dyDescent="0.25">
      <c r="A76" s="23"/>
      <c r="B76" s="18"/>
      <c r="C76" s="18"/>
      <c r="D76" s="14"/>
      <c r="E76" s="24"/>
      <c r="F76" s="18"/>
      <c r="G76" s="18"/>
      <c r="H76" s="18"/>
    </row>
    <row r="77" spans="1:8" x14ac:dyDescent="0.25">
      <c r="A77" s="25" t="s">
        <v>111</v>
      </c>
      <c r="B77" s="18"/>
      <c r="C77" s="18"/>
      <c r="D77" s="52">
        <v>9.4399999999999998E-2</v>
      </c>
      <c r="E77" s="24" t="s">
        <v>136</v>
      </c>
      <c r="F77" s="18"/>
      <c r="G77" s="18"/>
      <c r="H77" s="18"/>
    </row>
    <row r="78" spans="1:8" x14ac:dyDescent="0.25">
      <c r="A78" s="25" t="s">
        <v>125</v>
      </c>
      <c r="B78" s="18"/>
      <c r="C78" s="18"/>
      <c r="D78" s="53">
        <f>0.003+0.009</f>
        <v>1.2E-2</v>
      </c>
      <c r="E78" s="24" t="s">
        <v>137</v>
      </c>
      <c r="F78" s="18"/>
      <c r="G78" s="18"/>
      <c r="H78" s="18"/>
    </row>
    <row r="79" spans="1:8" x14ac:dyDescent="0.25">
      <c r="A79" s="25" t="s">
        <v>126</v>
      </c>
      <c r="B79" s="18"/>
      <c r="C79" s="18"/>
      <c r="D79" s="49">
        <f t="shared" ref="D79" si="28">D77+D78</f>
        <v>0.10639999999999999</v>
      </c>
      <c r="E79" s="24"/>
      <c r="F79" s="18"/>
      <c r="G79" s="18"/>
      <c r="H79" s="18"/>
    </row>
    <row r="80" spans="1:8" x14ac:dyDescent="0.25">
      <c r="A80" s="25"/>
      <c r="B80" s="18"/>
      <c r="C80" s="18"/>
      <c r="D80" s="49"/>
      <c r="E80" s="24"/>
      <c r="F80" s="18"/>
      <c r="G80" s="18"/>
      <c r="H80" s="18"/>
    </row>
    <row r="81" spans="1:8" x14ac:dyDescent="0.25">
      <c r="A81" s="30" t="s">
        <v>105</v>
      </c>
      <c r="B81" s="18"/>
      <c r="C81" s="18"/>
      <c r="D81" s="14"/>
      <c r="E81" s="24"/>
      <c r="F81" s="18"/>
      <c r="G81" s="18"/>
      <c r="H81" s="18"/>
    </row>
    <row r="82" spans="1:8" x14ac:dyDescent="0.25">
      <c r="A82" s="25" t="s">
        <v>115</v>
      </c>
      <c r="B82" s="18"/>
      <c r="C82" s="18"/>
      <c r="D82" s="50">
        <f t="shared" ref="D82" si="29">D12</f>
        <v>1</v>
      </c>
      <c r="E82" s="24"/>
      <c r="F82" s="18"/>
      <c r="G82" s="18"/>
      <c r="H82" s="18"/>
    </row>
    <row r="83" spans="1:8" x14ac:dyDescent="0.25">
      <c r="A83" s="25" t="s">
        <v>106</v>
      </c>
      <c r="B83" s="18"/>
      <c r="C83" s="18"/>
      <c r="D83" s="51">
        <f t="shared" ref="D83" si="30">D19</f>
        <v>0.89600000000000002</v>
      </c>
      <c r="E83" s="24"/>
      <c r="F83" s="18"/>
      <c r="G83" s="18"/>
      <c r="H83" s="18"/>
    </row>
    <row r="84" spans="1:8" x14ac:dyDescent="0.25">
      <c r="A84" s="31" t="s">
        <v>113</v>
      </c>
      <c r="B84" s="18" t="s">
        <v>107</v>
      </c>
      <c r="C84" s="18"/>
      <c r="D84" s="51"/>
      <c r="E84" s="24"/>
      <c r="F84" s="18"/>
      <c r="G84" s="18"/>
      <c r="H84" s="18"/>
    </row>
    <row r="85" spans="1:8" x14ac:dyDescent="0.25">
      <c r="A85" s="25" t="s">
        <v>118</v>
      </c>
      <c r="B85" s="18" t="s">
        <v>108</v>
      </c>
      <c r="C85" s="18"/>
      <c r="D85" s="43">
        <f t="shared" ref="D85" si="31">(D11*D17/1000000)</f>
        <v>553.5</v>
      </c>
      <c r="E85" s="24"/>
      <c r="F85" s="18"/>
      <c r="G85" s="18"/>
      <c r="H85" s="18"/>
    </row>
    <row r="86" spans="1:8" x14ac:dyDescent="0.25">
      <c r="A86" s="32" t="s">
        <v>119</v>
      </c>
      <c r="B86" s="18"/>
      <c r="C86" s="18"/>
      <c r="D86" s="48">
        <f t="shared" ref="D86" si="32">D11</f>
        <v>0.13500000000000001</v>
      </c>
      <c r="E86" s="24"/>
      <c r="F86" s="18"/>
      <c r="G86" s="18"/>
      <c r="H86" s="18"/>
    </row>
    <row r="87" spans="1:8" x14ac:dyDescent="0.25">
      <c r="A87" s="25" t="s">
        <v>120</v>
      </c>
      <c r="B87" s="18"/>
      <c r="C87" s="18"/>
      <c r="D87" s="43">
        <f t="shared" ref="D87" si="33">D85*(8760/2000)*D82</f>
        <v>2424.33</v>
      </c>
      <c r="E87" s="24"/>
      <c r="F87" s="18"/>
      <c r="G87" s="18"/>
      <c r="H87" s="18"/>
    </row>
    <row r="88" spans="1:8" x14ac:dyDescent="0.25">
      <c r="A88" s="33" t="s">
        <v>114</v>
      </c>
      <c r="B88" s="18"/>
      <c r="C88" s="18"/>
      <c r="D88" s="14"/>
      <c r="E88" s="24"/>
      <c r="F88" s="18"/>
      <c r="G88" s="18"/>
      <c r="H88" s="18"/>
    </row>
    <row r="89" spans="1:8" x14ac:dyDescent="0.25">
      <c r="A89" s="25" t="s">
        <v>118</v>
      </c>
      <c r="B89" s="18"/>
      <c r="C89" s="18"/>
      <c r="D89" s="47">
        <f t="shared" ref="D89" si="34">D85*(1-D83)</f>
        <v>57.563999999999993</v>
      </c>
      <c r="E89" s="24"/>
      <c r="F89" s="18"/>
      <c r="G89" s="18"/>
      <c r="H89" s="18"/>
    </row>
    <row r="90" spans="1:8" x14ac:dyDescent="0.25">
      <c r="A90" s="32" t="s">
        <v>119</v>
      </c>
      <c r="B90" s="18" t="s">
        <v>110</v>
      </c>
      <c r="C90" s="18"/>
      <c r="D90" s="54">
        <f>D86*(1-D83)</f>
        <v>1.4039999999999999E-2</v>
      </c>
      <c r="E90" s="24" t="s">
        <v>144</v>
      </c>
      <c r="F90" s="18"/>
      <c r="G90" s="18"/>
      <c r="H90" s="18"/>
    </row>
    <row r="91" spans="1:8" x14ac:dyDescent="0.25">
      <c r="A91" s="25" t="s">
        <v>120</v>
      </c>
      <c r="B91" s="18"/>
      <c r="C91" s="18"/>
      <c r="D91" s="43">
        <f>D89*(8760/2000)*D82</f>
        <v>252.13031999999995</v>
      </c>
      <c r="E91" s="24"/>
      <c r="F91" s="18"/>
      <c r="G91" s="18"/>
      <c r="H91" s="18"/>
    </row>
    <row r="92" spans="1:8" x14ac:dyDescent="0.25">
      <c r="A92" s="25"/>
      <c r="B92" s="18"/>
      <c r="C92" s="18"/>
      <c r="D92" s="14"/>
      <c r="E92" s="24"/>
      <c r="F92" s="18"/>
      <c r="G92" s="18"/>
      <c r="H92" s="18"/>
    </row>
    <row r="93" spans="1:8" x14ac:dyDescent="0.25">
      <c r="A93" s="57" t="s">
        <v>116</v>
      </c>
      <c r="B93" s="58"/>
      <c r="C93" s="58"/>
      <c r="D93" s="59">
        <f t="shared" ref="D93" si="35">D87*D83</f>
        <v>2172.1996800000002</v>
      </c>
      <c r="E93" s="24"/>
      <c r="F93" s="18"/>
      <c r="G93" s="18"/>
      <c r="H93" s="18"/>
    </row>
    <row r="94" spans="1:8" x14ac:dyDescent="0.25">
      <c r="A94" s="60"/>
      <c r="B94" s="58"/>
      <c r="C94" s="58"/>
      <c r="D94" s="61"/>
      <c r="E94" s="24"/>
      <c r="F94" s="18"/>
      <c r="G94" s="18"/>
      <c r="H94" s="18"/>
    </row>
    <row r="95" spans="1:8" x14ac:dyDescent="0.25">
      <c r="A95" s="57" t="s">
        <v>109</v>
      </c>
      <c r="B95" s="58"/>
      <c r="C95" s="58"/>
      <c r="D95" s="62">
        <f>D54*D79+(D65*D9*1000)+D75*D9*8760*D82</f>
        <v>12969382.882112468</v>
      </c>
      <c r="E95" s="24"/>
      <c r="F95" s="18"/>
      <c r="G95" s="18"/>
      <c r="H95" s="18"/>
    </row>
    <row r="96" spans="1:8" ht="15.75" thickBot="1" x14ac:dyDescent="0.3">
      <c r="A96" s="34" t="s">
        <v>117</v>
      </c>
      <c r="B96" s="35"/>
      <c r="C96" s="35"/>
      <c r="D96" s="56">
        <f t="shared" ref="D96" si="36">D95/D93</f>
        <v>5970.6218546687505</v>
      </c>
      <c r="E96" s="36"/>
      <c r="F96" s="18"/>
      <c r="G96" s="18"/>
      <c r="H96" s="18"/>
    </row>
  </sheetData>
  <hyperlinks>
    <hyperlink ref="I25" r:id="rId1" location="documentation" display="http://www.epa.gov/airmarkets/progsregs/epa-ipm/BaseCasev410.html - documentation"/>
  </hyperlinks>
  <pageMargins left="0.7" right="0.7" top="0.75" bottom="0.75" header="0.3" footer="0.3"/>
  <pageSetup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6"/>
  <sheetViews>
    <sheetView topLeftCell="A2" workbookViewId="0">
      <pane xSplit="3" ySplit="7" topLeftCell="D80" activePane="bottomRight" state="frozen"/>
      <selection activeCell="A2" sqref="A2"/>
      <selection pane="topRight" activeCell="D2" sqref="D2"/>
      <selection pane="bottomLeft" activeCell="A9" sqref="A9"/>
      <selection pane="bottomRight" activeCell="A96" sqref="A96:XFD96"/>
    </sheetView>
  </sheetViews>
  <sheetFormatPr defaultRowHeight="15" x14ac:dyDescent="0.25"/>
  <cols>
    <col min="1" max="1" width="22" style="37" customWidth="1"/>
    <col min="2" max="2" width="38" style="37" customWidth="1"/>
    <col min="3" max="3" width="10.42578125" style="37" customWidth="1"/>
    <col min="4" max="4" width="14" style="38" customWidth="1"/>
    <col min="5" max="8" width="41" style="37" customWidth="1"/>
    <col min="9" max="16384" width="9.140625" style="37"/>
  </cols>
  <sheetData>
    <row r="2" spans="1:8" ht="15.75" thickBot="1" x14ac:dyDescent="0.3"/>
    <row r="3" spans="1:8" ht="15.75" thickTop="1" x14ac:dyDescent="0.25">
      <c r="A3" s="4"/>
      <c r="B3" s="5"/>
      <c r="C3" s="5"/>
      <c r="D3" s="39"/>
      <c r="E3" s="6"/>
      <c r="F3" s="2"/>
      <c r="G3" s="2"/>
      <c r="H3" s="2"/>
    </row>
    <row r="4" spans="1:8" ht="15.75" x14ac:dyDescent="0.25">
      <c r="A4" s="7" t="s">
        <v>0</v>
      </c>
      <c r="B4" s="1" t="s">
        <v>1</v>
      </c>
      <c r="C4" s="1" t="s">
        <v>2</v>
      </c>
      <c r="D4" s="1"/>
      <c r="E4" s="8" t="s">
        <v>3</v>
      </c>
      <c r="F4" s="1"/>
      <c r="G4" s="1"/>
      <c r="H4" s="1"/>
    </row>
    <row r="5" spans="1:8" x14ac:dyDescent="0.25">
      <c r="A5" s="9"/>
      <c r="B5" s="2"/>
      <c r="C5" s="2"/>
      <c r="D5" s="3"/>
      <c r="E5" s="10"/>
      <c r="F5" s="2"/>
      <c r="G5" s="2"/>
      <c r="H5" s="2"/>
    </row>
    <row r="6" spans="1:8" x14ac:dyDescent="0.25">
      <c r="A6" s="2" t="s">
        <v>122</v>
      </c>
      <c r="B6" s="2"/>
      <c r="D6" s="3" t="s">
        <v>133</v>
      </c>
      <c r="E6" s="10"/>
      <c r="F6" s="2"/>
      <c r="G6" s="2"/>
      <c r="H6" s="2"/>
    </row>
    <row r="7" spans="1:8" x14ac:dyDescent="0.25">
      <c r="A7" s="2" t="s">
        <v>124</v>
      </c>
      <c r="B7" s="2"/>
      <c r="D7" s="14" t="s">
        <v>133</v>
      </c>
      <c r="E7" s="10"/>
      <c r="F7" s="2"/>
      <c r="G7" s="2"/>
      <c r="H7" s="2"/>
    </row>
    <row r="8" spans="1:8" x14ac:dyDescent="0.25">
      <c r="A8" s="37" t="s">
        <v>123</v>
      </c>
      <c r="D8" s="14">
        <v>3</v>
      </c>
      <c r="E8" s="10"/>
      <c r="F8" s="2"/>
      <c r="G8" s="2"/>
      <c r="H8" s="2"/>
    </row>
    <row r="9" spans="1:8" x14ac:dyDescent="0.25">
      <c r="A9" s="9" t="s">
        <v>4</v>
      </c>
      <c r="B9" s="3" t="s">
        <v>14</v>
      </c>
      <c r="C9" s="3" t="s">
        <v>29</v>
      </c>
      <c r="D9" s="14">
        <v>410</v>
      </c>
      <c r="E9" s="10"/>
      <c r="F9" s="2"/>
      <c r="G9" s="2"/>
      <c r="H9" s="2"/>
    </row>
    <row r="10" spans="1:8" x14ac:dyDescent="0.25">
      <c r="A10" s="9" t="s">
        <v>6</v>
      </c>
      <c r="B10" s="3" t="s">
        <v>16</v>
      </c>
      <c r="C10" s="3" t="s">
        <v>30</v>
      </c>
      <c r="D10" s="14">
        <v>10000</v>
      </c>
      <c r="E10" s="10"/>
      <c r="F10" s="2"/>
      <c r="G10" s="2"/>
      <c r="H10" s="2"/>
    </row>
    <row r="11" spans="1:8" x14ac:dyDescent="0.25">
      <c r="A11" s="9" t="s">
        <v>75</v>
      </c>
      <c r="B11" s="3" t="s">
        <v>17</v>
      </c>
      <c r="C11" s="3" t="s">
        <v>139</v>
      </c>
      <c r="D11" s="55">
        <v>0.157</v>
      </c>
      <c r="E11" s="10" t="s">
        <v>138</v>
      </c>
      <c r="F11" s="2"/>
      <c r="G11" s="2"/>
      <c r="H11" s="2"/>
    </row>
    <row r="12" spans="1:8" x14ac:dyDescent="0.25">
      <c r="A12" s="9" t="s">
        <v>76</v>
      </c>
      <c r="B12" s="3" t="s">
        <v>85</v>
      </c>
      <c r="C12" s="3" t="s">
        <v>76</v>
      </c>
      <c r="D12" s="14">
        <v>1</v>
      </c>
      <c r="E12" s="10" t="s">
        <v>135</v>
      </c>
      <c r="F12" s="2"/>
      <c r="G12" s="2"/>
      <c r="H12" s="2"/>
    </row>
    <row r="13" spans="1:8" x14ac:dyDescent="0.25">
      <c r="A13" s="9" t="s">
        <v>7</v>
      </c>
      <c r="B13" s="3" t="s">
        <v>18</v>
      </c>
      <c r="C13" s="3"/>
      <c r="D13" s="14" t="s">
        <v>134</v>
      </c>
      <c r="E13" s="10"/>
      <c r="F13" s="2"/>
      <c r="G13" s="2"/>
      <c r="H13" s="2"/>
    </row>
    <row r="14" spans="1:8" x14ac:dyDescent="0.25">
      <c r="A14" s="9" t="s">
        <v>8</v>
      </c>
      <c r="B14" s="3" t="s">
        <v>19</v>
      </c>
      <c r="C14" s="3"/>
      <c r="D14" s="14">
        <v>1.05</v>
      </c>
      <c r="E14" s="10" t="s">
        <v>140</v>
      </c>
      <c r="F14" s="2"/>
      <c r="G14" s="2"/>
      <c r="H14" s="2"/>
    </row>
    <row r="15" spans="1:8" x14ac:dyDescent="0.25">
      <c r="A15" s="9" t="s">
        <v>5</v>
      </c>
      <c r="B15" s="3" t="s">
        <v>15</v>
      </c>
      <c r="C15" s="3"/>
      <c r="D15" s="14">
        <v>1</v>
      </c>
      <c r="E15" s="10" t="s">
        <v>127</v>
      </c>
      <c r="F15" s="2"/>
      <c r="G15" s="2"/>
      <c r="H15" s="2"/>
    </row>
    <row r="16" spans="1:8" x14ac:dyDescent="0.25">
      <c r="A16" s="9" t="s">
        <v>9</v>
      </c>
      <c r="B16" s="3" t="s">
        <v>20</v>
      </c>
      <c r="C16" s="3"/>
      <c r="D16" s="14">
        <f t="shared" ref="D16" si="0">D10/10000</f>
        <v>1</v>
      </c>
      <c r="E16" s="10" t="s">
        <v>36</v>
      </c>
      <c r="F16" s="2"/>
      <c r="G16" s="2"/>
      <c r="H16" s="2"/>
    </row>
    <row r="17" spans="1:9" x14ac:dyDescent="0.25">
      <c r="A17" s="9" t="s">
        <v>10</v>
      </c>
      <c r="B17" s="3" t="s">
        <v>84</v>
      </c>
      <c r="C17" s="3" t="s">
        <v>31</v>
      </c>
      <c r="D17" s="40">
        <f t="shared" ref="D17" si="1">D9*D10*1000</f>
        <v>4100000000</v>
      </c>
      <c r="E17" s="10" t="s">
        <v>37</v>
      </c>
      <c r="F17" s="2"/>
      <c r="G17" s="2"/>
      <c r="H17" s="2"/>
    </row>
    <row r="18" spans="1:9" x14ac:dyDescent="0.25">
      <c r="A18" s="19" t="s">
        <v>76</v>
      </c>
      <c r="B18" s="14" t="s">
        <v>85</v>
      </c>
      <c r="D18" s="17">
        <f t="shared" ref="D18" si="2">D12</f>
        <v>1</v>
      </c>
      <c r="E18" s="10"/>
      <c r="F18" s="2"/>
      <c r="G18" s="2"/>
      <c r="H18" s="2"/>
    </row>
    <row r="19" spans="1:9" x14ac:dyDescent="0.25">
      <c r="A19" s="9" t="s">
        <v>77</v>
      </c>
      <c r="B19" s="3" t="s">
        <v>21</v>
      </c>
      <c r="C19" s="3" t="s">
        <v>32</v>
      </c>
      <c r="D19" s="41">
        <v>0.36649999999999999</v>
      </c>
      <c r="E19" s="37" t="s">
        <v>141</v>
      </c>
    </row>
    <row r="20" spans="1:9" x14ac:dyDescent="0.25">
      <c r="A20" s="9" t="s">
        <v>78</v>
      </c>
      <c r="B20" s="3" t="s">
        <v>22</v>
      </c>
      <c r="C20" s="3"/>
      <c r="D20" s="42">
        <f t="shared" ref="D20" si="3">D19/0.8</f>
        <v>0.45812499999999995</v>
      </c>
      <c r="E20" s="10" t="s">
        <v>128</v>
      </c>
      <c r="F20" s="18"/>
      <c r="G20" s="18"/>
      <c r="H20" s="18"/>
    </row>
    <row r="21" spans="1:9" x14ac:dyDescent="0.25">
      <c r="A21" s="9" t="s">
        <v>104</v>
      </c>
      <c r="B21" s="3" t="s">
        <v>23</v>
      </c>
      <c r="C21" s="3" t="s">
        <v>89</v>
      </c>
      <c r="D21" s="40">
        <f t="shared" ref="D21" si="4">D11*D17/10^6*D19</f>
        <v>235.91605000000001</v>
      </c>
      <c r="E21" s="10" t="s">
        <v>112</v>
      </c>
      <c r="F21" s="2"/>
      <c r="G21" s="2"/>
      <c r="H21" s="2"/>
    </row>
    <row r="22" spans="1:9" x14ac:dyDescent="0.25">
      <c r="A22" s="9" t="s">
        <v>79</v>
      </c>
      <c r="B22" s="3" t="s">
        <v>24</v>
      </c>
      <c r="C22" s="3" t="s">
        <v>89</v>
      </c>
      <c r="D22" s="43">
        <f t="shared" ref="D22" si="5">D21*0.525*60/46*1.01/0.99</f>
        <v>164.81486892292492</v>
      </c>
      <c r="E22" s="10" t="s">
        <v>92</v>
      </c>
      <c r="F22" s="2"/>
      <c r="G22" s="2"/>
      <c r="H22" s="2"/>
    </row>
    <row r="23" spans="1:9" x14ac:dyDescent="0.25">
      <c r="A23" s="9" t="s">
        <v>80</v>
      </c>
      <c r="B23" s="3" t="s">
        <v>86</v>
      </c>
      <c r="C23" s="3" t="s">
        <v>89</v>
      </c>
      <c r="D23" s="43">
        <f t="shared" ref="D23" si="6">D22*1.13</f>
        <v>186.24080188290515</v>
      </c>
      <c r="E23" s="10" t="s">
        <v>93</v>
      </c>
      <c r="F23" s="2"/>
      <c r="G23" s="2"/>
      <c r="H23" s="2"/>
    </row>
    <row r="24" spans="1:9" x14ac:dyDescent="0.25">
      <c r="A24" s="9" t="s">
        <v>11</v>
      </c>
      <c r="B24" s="3" t="s">
        <v>25</v>
      </c>
      <c r="C24" s="3" t="s">
        <v>32</v>
      </c>
      <c r="D24" s="42">
        <f t="shared" ref="D24" si="7">0.56*(D14*D16)^0.43</f>
        <v>0.57187278015269738</v>
      </c>
      <c r="E24" s="10" t="s">
        <v>94</v>
      </c>
      <c r="F24" s="2"/>
      <c r="G24" s="2"/>
      <c r="H24" s="2"/>
    </row>
    <row r="25" spans="1:9" x14ac:dyDescent="0.25">
      <c r="A25" s="9" t="s">
        <v>81</v>
      </c>
      <c r="B25" s="3" t="s">
        <v>26</v>
      </c>
      <c r="C25" s="3" t="s">
        <v>33</v>
      </c>
      <c r="D25" s="14">
        <v>400</v>
      </c>
      <c r="E25" s="10"/>
      <c r="F25" s="2"/>
      <c r="G25" s="2"/>
      <c r="H25" s="2"/>
      <c r="I25" s="16" t="s">
        <v>121</v>
      </c>
    </row>
    <row r="26" spans="1:9" x14ac:dyDescent="0.25">
      <c r="A26" s="9" t="s">
        <v>82</v>
      </c>
      <c r="B26" s="3" t="s">
        <v>27</v>
      </c>
      <c r="C26" s="3" t="s">
        <v>90</v>
      </c>
      <c r="D26" s="14">
        <v>8000</v>
      </c>
      <c r="E26" s="10"/>
      <c r="F26" s="2"/>
      <c r="G26" s="2"/>
      <c r="H26" s="2"/>
    </row>
    <row r="27" spans="1:9" x14ac:dyDescent="0.25">
      <c r="A27" s="9" t="s">
        <v>12</v>
      </c>
      <c r="B27" s="3" t="s">
        <v>28</v>
      </c>
      <c r="C27" s="3" t="s">
        <v>34</v>
      </c>
      <c r="D27" s="14">
        <v>0.06</v>
      </c>
      <c r="E27" s="10"/>
      <c r="F27" s="2"/>
      <c r="G27" s="2"/>
      <c r="H27" s="2"/>
    </row>
    <row r="28" spans="1:9" x14ac:dyDescent="0.25">
      <c r="A28" s="9" t="s">
        <v>83</v>
      </c>
      <c r="B28" s="3" t="s">
        <v>87</v>
      </c>
      <c r="C28" s="3" t="s">
        <v>91</v>
      </c>
      <c r="D28" s="14">
        <v>4</v>
      </c>
      <c r="E28" s="10"/>
      <c r="F28" s="2"/>
      <c r="G28" s="2"/>
      <c r="H28" s="2"/>
    </row>
    <row r="29" spans="1:9" x14ac:dyDescent="0.25">
      <c r="A29" s="9" t="s">
        <v>13</v>
      </c>
      <c r="B29" s="14" t="s">
        <v>88</v>
      </c>
      <c r="C29" s="3" t="s">
        <v>35</v>
      </c>
      <c r="D29" s="14">
        <v>60</v>
      </c>
      <c r="E29" s="10" t="s">
        <v>38</v>
      </c>
      <c r="F29" s="2"/>
      <c r="G29" s="2"/>
      <c r="H29" s="2"/>
    </row>
    <row r="30" spans="1:9" ht="15.75" thickBot="1" x14ac:dyDescent="0.3">
      <c r="A30" s="11"/>
      <c r="B30" s="12"/>
      <c r="C30" s="12"/>
      <c r="D30" s="15"/>
      <c r="E30" s="13"/>
      <c r="F30" s="2"/>
      <c r="G30" s="2"/>
      <c r="H30" s="2"/>
    </row>
    <row r="31" spans="1:9" ht="15.75" thickTop="1" x14ac:dyDescent="0.25"/>
    <row r="32" spans="1:9" ht="15.75" thickBot="1" x14ac:dyDescent="0.3"/>
    <row r="33" spans="1:8" x14ac:dyDescent="0.25">
      <c r="A33" s="20" t="s">
        <v>39</v>
      </c>
      <c r="B33" s="21"/>
      <c r="C33" s="21"/>
      <c r="D33" s="44"/>
      <c r="E33" s="22"/>
      <c r="F33" s="18"/>
      <c r="G33" s="18"/>
      <c r="H33" s="18"/>
    </row>
    <row r="34" spans="1:8" x14ac:dyDescent="0.25">
      <c r="A34" s="23"/>
      <c r="B34" s="18"/>
      <c r="C34" s="18"/>
      <c r="D34" s="14"/>
      <c r="E34" s="24"/>
      <c r="F34" s="18"/>
      <c r="G34" s="18"/>
      <c r="H34" s="18"/>
    </row>
    <row r="35" spans="1:8" x14ac:dyDescent="0.25">
      <c r="A35" s="25" t="s">
        <v>40</v>
      </c>
      <c r="B35" s="18" t="s">
        <v>96</v>
      </c>
      <c r="C35" s="18"/>
      <c r="D35" s="45">
        <f t="shared" ref="D35" si="8">180000*D15*D20^0.2*(D9*D14*D16)^0.92</f>
        <v>40806054.64647834</v>
      </c>
      <c r="E35" s="24"/>
      <c r="F35" s="18"/>
      <c r="G35" s="18"/>
      <c r="H35" s="18"/>
    </row>
    <row r="36" spans="1:8" x14ac:dyDescent="0.25">
      <c r="A36" s="25" t="s">
        <v>41</v>
      </c>
      <c r="B36" s="18" t="s">
        <v>63</v>
      </c>
      <c r="C36" s="18"/>
      <c r="D36" s="45">
        <f t="shared" ref="D36" si="9">410000*(D21)^0.25</f>
        <v>1606842.1992419811</v>
      </c>
      <c r="E36" s="24"/>
      <c r="F36" s="18"/>
      <c r="G36" s="18"/>
      <c r="H36" s="18"/>
    </row>
    <row r="37" spans="1:8" x14ac:dyDescent="0.25">
      <c r="A37" s="25" t="s">
        <v>95</v>
      </c>
      <c r="B37" s="18" t="s">
        <v>97</v>
      </c>
      <c r="C37" s="18"/>
      <c r="D37" s="45"/>
      <c r="E37" s="24"/>
      <c r="F37" s="18"/>
      <c r="G37" s="18"/>
      <c r="H37" s="18"/>
    </row>
    <row r="38" spans="1:8" x14ac:dyDescent="0.25">
      <c r="A38" s="25" t="s">
        <v>42</v>
      </c>
      <c r="B38" s="18" t="s">
        <v>98</v>
      </c>
      <c r="C38" s="18"/>
      <c r="D38" s="45">
        <f t="shared" ref="D38" si="10">380000*D15*(D9*D14*D16)^0.42</f>
        <v>4853469.6928634066</v>
      </c>
      <c r="E38" s="24"/>
      <c r="F38" s="18"/>
      <c r="G38" s="18"/>
      <c r="H38" s="18"/>
    </row>
    <row r="39" spans="1:8" x14ac:dyDescent="0.25">
      <c r="A39" s="25"/>
      <c r="B39" s="18"/>
      <c r="C39" s="18"/>
      <c r="D39" s="14"/>
      <c r="E39" s="24"/>
      <c r="F39" s="18"/>
      <c r="G39" s="18"/>
      <c r="H39" s="18"/>
    </row>
    <row r="40" spans="1:8" x14ac:dyDescent="0.25">
      <c r="A40" s="25" t="s">
        <v>43</v>
      </c>
      <c r="B40" s="18" t="s">
        <v>64</v>
      </c>
      <c r="C40" s="18"/>
      <c r="D40" s="46">
        <f t="shared" ref="D40" si="11">SUM(D35:D38)</f>
        <v>47266366.538583726</v>
      </c>
      <c r="E40" s="24"/>
      <c r="F40" s="18"/>
      <c r="G40" s="18"/>
      <c r="H40" s="18"/>
    </row>
    <row r="41" spans="1:8" x14ac:dyDescent="0.25">
      <c r="A41" s="25" t="s">
        <v>44</v>
      </c>
      <c r="B41" s="18"/>
      <c r="C41" s="18"/>
      <c r="D41" s="46">
        <f t="shared" ref="D41" si="12">D40/D9/1000</f>
        <v>115.28382082581396</v>
      </c>
      <c r="E41" s="24"/>
      <c r="F41" s="18"/>
      <c r="G41" s="18"/>
      <c r="H41" s="18"/>
    </row>
    <row r="42" spans="1:8" x14ac:dyDescent="0.25">
      <c r="A42" s="23"/>
      <c r="B42" s="18"/>
      <c r="C42" s="18"/>
      <c r="D42" s="14"/>
      <c r="E42" s="24"/>
      <c r="F42" s="18"/>
      <c r="G42" s="18"/>
      <c r="H42" s="18"/>
    </row>
    <row r="43" spans="1:8" x14ac:dyDescent="0.25">
      <c r="A43" s="26" t="s">
        <v>45</v>
      </c>
      <c r="B43" s="18"/>
      <c r="C43" s="18"/>
      <c r="D43" s="14"/>
      <c r="E43" s="24"/>
      <c r="F43" s="18"/>
      <c r="G43" s="18"/>
      <c r="H43" s="18"/>
    </row>
    <row r="44" spans="1:8" x14ac:dyDescent="0.25">
      <c r="A44" s="25" t="s">
        <v>46</v>
      </c>
      <c r="B44" s="18" t="s">
        <v>65</v>
      </c>
      <c r="C44" s="18"/>
      <c r="D44" s="46">
        <f t="shared" ref="D44" si="13">0.1*D40</f>
        <v>4726636.6538583729</v>
      </c>
      <c r="E44" s="24"/>
      <c r="F44" s="18"/>
      <c r="G44" s="18"/>
      <c r="H44" s="18"/>
    </row>
    <row r="45" spans="1:8" x14ac:dyDescent="0.25">
      <c r="A45" s="25" t="s">
        <v>47</v>
      </c>
      <c r="B45" s="18" t="s">
        <v>66</v>
      </c>
      <c r="C45" s="18"/>
      <c r="D45" s="46">
        <f t="shared" ref="D45" si="14">0.1*D40</f>
        <v>4726636.6538583729</v>
      </c>
      <c r="E45" s="24"/>
      <c r="F45" s="18"/>
      <c r="G45" s="18"/>
      <c r="H45" s="18"/>
    </row>
    <row r="46" spans="1:8" x14ac:dyDescent="0.25">
      <c r="A46" s="25" t="s">
        <v>48</v>
      </c>
      <c r="B46" s="18" t="s">
        <v>67</v>
      </c>
      <c r="C46" s="18"/>
      <c r="D46" s="46">
        <f t="shared" ref="D46" si="15">0.1*D40</f>
        <v>4726636.6538583729</v>
      </c>
      <c r="E46" s="24"/>
      <c r="F46" s="18"/>
      <c r="G46" s="18"/>
      <c r="H46" s="18"/>
    </row>
    <row r="47" spans="1:8" x14ac:dyDescent="0.25">
      <c r="A47" s="23"/>
      <c r="B47" s="18"/>
      <c r="C47" s="18"/>
      <c r="D47" s="14"/>
      <c r="E47" s="24"/>
      <c r="F47" s="18"/>
      <c r="G47" s="18"/>
      <c r="H47" s="18"/>
    </row>
    <row r="48" spans="1:8" x14ac:dyDescent="0.25">
      <c r="A48" s="27" t="s">
        <v>49</v>
      </c>
      <c r="B48" s="18" t="s">
        <v>68</v>
      </c>
      <c r="C48" s="18"/>
      <c r="D48" s="46">
        <f t="shared" ref="D48" si="16">D40+D44+D45+D46</f>
        <v>61446276.500158839</v>
      </c>
      <c r="E48" s="24"/>
      <c r="F48" s="18"/>
      <c r="G48" s="18"/>
      <c r="H48" s="18"/>
    </row>
    <row r="49" spans="1:8" x14ac:dyDescent="0.25">
      <c r="A49" s="27" t="s">
        <v>50</v>
      </c>
      <c r="B49" s="18"/>
      <c r="C49" s="18"/>
      <c r="D49" s="46">
        <f t="shared" ref="D49" si="17">D48/D9/1000</f>
        <v>149.86896707355814</v>
      </c>
      <c r="E49" s="24"/>
      <c r="F49" s="18"/>
      <c r="G49" s="18"/>
      <c r="H49" s="18"/>
    </row>
    <row r="50" spans="1:8" x14ac:dyDescent="0.25">
      <c r="A50" s="23"/>
      <c r="B50" s="18"/>
      <c r="C50" s="18"/>
      <c r="D50" s="14"/>
      <c r="E50" s="24"/>
      <c r="F50" s="18"/>
      <c r="G50" s="18"/>
      <c r="H50" s="18"/>
    </row>
    <row r="51" spans="1:8" x14ac:dyDescent="0.25">
      <c r="A51" s="25" t="s">
        <v>51</v>
      </c>
      <c r="B51" s="18" t="s">
        <v>69</v>
      </c>
      <c r="C51" s="18"/>
      <c r="D51" s="46">
        <f>0.05*D48</f>
        <v>3072313.825007942</v>
      </c>
      <c r="E51" s="24"/>
      <c r="F51" s="18"/>
      <c r="G51" s="18"/>
      <c r="H51" s="18"/>
    </row>
    <row r="52" spans="1:8" x14ac:dyDescent="0.25">
      <c r="A52" s="25" t="s">
        <v>99</v>
      </c>
      <c r="B52" s="18" t="s">
        <v>103</v>
      </c>
      <c r="C52" s="18"/>
      <c r="D52" s="46">
        <f>D51+0.06*D48</f>
        <v>6759090.4150174726</v>
      </c>
      <c r="E52" s="24"/>
      <c r="F52" s="18"/>
      <c r="G52" s="18"/>
      <c r="H52" s="18"/>
    </row>
    <row r="53" spans="1:8" x14ac:dyDescent="0.25">
      <c r="A53" s="23"/>
      <c r="B53" s="18"/>
      <c r="C53" s="18"/>
      <c r="D53" s="14"/>
      <c r="E53" s="24"/>
      <c r="F53" s="18"/>
      <c r="G53" s="18"/>
      <c r="H53" s="18"/>
    </row>
    <row r="54" spans="1:8" x14ac:dyDescent="0.25">
      <c r="A54" s="27" t="s">
        <v>52</v>
      </c>
      <c r="B54" s="28" t="s">
        <v>70</v>
      </c>
      <c r="C54" s="18"/>
      <c r="D54" s="46">
        <f t="shared" ref="D54" si="18">D48+D51+D52</f>
        <v>71277680.740184262</v>
      </c>
      <c r="E54" s="24"/>
      <c r="F54" s="18"/>
      <c r="G54" s="18"/>
      <c r="H54" s="18"/>
    </row>
    <row r="55" spans="1:8" x14ac:dyDescent="0.25">
      <c r="A55" s="27" t="s">
        <v>53</v>
      </c>
      <c r="B55" s="18"/>
      <c r="C55" s="18"/>
      <c r="D55" s="46">
        <f t="shared" ref="D55" si="19">D54/D9/1000</f>
        <v>173.84800180532747</v>
      </c>
      <c r="E55" s="24"/>
      <c r="F55" s="18"/>
      <c r="G55" s="18"/>
      <c r="H55" s="18"/>
    </row>
    <row r="56" spans="1:8" x14ac:dyDescent="0.25">
      <c r="A56" s="23"/>
      <c r="B56" s="18"/>
      <c r="C56" s="18"/>
      <c r="D56" s="14"/>
      <c r="E56" s="24"/>
      <c r="F56" s="18"/>
      <c r="G56" s="18"/>
      <c r="H56" s="18"/>
    </row>
    <row r="57" spans="1:8" x14ac:dyDescent="0.25">
      <c r="A57" s="23"/>
      <c r="B57" s="18"/>
      <c r="C57" s="18"/>
      <c r="D57" s="14"/>
      <c r="E57" s="24"/>
      <c r="F57" s="18"/>
      <c r="G57" s="18"/>
      <c r="H57" s="18"/>
    </row>
    <row r="58" spans="1:8" x14ac:dyDescent="0.25">
      <c r="A58" s="29" t="s">
        <v>54</v>
      </c>
      <c r="B58" s="18"/>
      <c r="C58" s="18"/>
      <c r="D58" s="14"/>
      <c r="E58" s="24"/>
      <c r="F58" s="18"/>
      <c r="G58" s="18"/>
      <c r="H58" s="18"/>
    </row>
    <row r="59" spans="1:8" x14ac:dyDescent="0.25">
      <c r="A59" s="23"/>
      <c r="B59" s="18"/>
      <c r="C59" s="18"/>
      <c r="D59" s="14"/>
      <c r="E59" s="24"/>
      <c r="F59" s="18"/>
      <c r="G59" s="18"/>
      <c r="H59" s="18"/>
    </row>
    <row r="60" spans="1:8" x14ac:dyDescent="0.25">
      <c r="A60" s="25" t="s">
        <v>55</v>
      </c>
      <c r="B60" s="18" t="s">
        <v>71</v>
      </c>
      <c r="C60" s="18"/>
      <c r="D60" s="47">
        <f t="shared" ref="D60" si="20">0.5*2080*D29/(D9*1000)</f>
        <v>0.15219512195121951</v>
      </c>
      <c r="E60" s="24"/>
      <c r="F60" s="18"/>
      <c r="G60" s="18"/>
      <c r="H60" s="18"/>
    </row>
    <row r="61" spans="1:8" x14ac:dyDescent="0.25">
      <c r="A61" s="25" t="s">
        <v>56</v>
      </c>
      <c r="B61" s="18" t="s">
        <v>72</v>
      </c>
      <c r="C61" s="18"/>
      <c r="D61" s="47">
        <f t="shared" ref="D61" si="21">300000/D9/1000</f>
        <v>0.73170731707317072</v>
      </c>
      <c r="E61" s="24"/>
      <c r="F61" s="18"/>
      <c r="G61" s="18"/>
      <c r="H61" s="18"/>
    </row>
    <row r="62" spans="1:8" x14ac:dyDescent="0.25">
      <c r="A62" s="25"/>
      <c r="B62" s="18"/>
      <c r="C62" s="18"/>
      <c r="D62" s="42"/>
      <c r="E62" s="24"/>
      <c r="F62" s="18"/>
      <c r="G62" s="18"/>
      <c r="H62" s="18"/>
    </row>
    <row r="63" spans="1:8" x14ac:dyDescent="0.25">
      <c r="A63" s="25"/>
      <c r="B63" s="18"/>
      <c r="C63" s="18"/>
      <c r="D63" s="14"/>
      <c r="E63" s="24"/>
      <c r="F63" s="18"/>
      <c r="G63" s="18"/>
      <c r="H63" s="18"/>
    </row>
    <row r="64" spans="1:8" x14ac:dyDescent="0.25">
      <c r="A64" s="25"/>
      <c r="B64" s="18"/>
      <c r="C64" s="18"/>
      <c r="D64" s="14"/>
      <c r="E64" s="24"/>
      <c r="F64" s="18"/>
      <c r="G64" s="18"/>
      <c r="H64" s="18"/>
    </row>
    <row r="65" spans="1:8" x14ac:dyDescent="0.25">
      <c r="A65" s="27" t="s">
        <v>57</v>
      </c>
      <c r="B65" s="28" t="s">
        <v>73</v>
      </c>
      <c r="C65" s="18"/>
      <c r="D65" s="42">
        <f t="shared" ref="D65" si="22">SUM(D60:D62)</f>
        <v>0.88390243902439025</v>
      </c>
      <c r="E65" s="24"/>
      <c r="F65" s="18"/>
      <c r="G65" s="18"/>
      <c r="H65" s="18"/>
    </row>
    <row r="66" spans="1:8" x14ac:dyDescent="0.25">
      <c r="A66" s="23"/>
      <c r="B66" s="18"/>
      <c r="C66" s="18"/>
      <c r="D66" s="14"/>
      <c r="E66" s="24"/>
      <c r="F66" s="18"/>
      <c r="G66" s="18"/>
      <c r="H66" s="18"/>
    </row>
    <row r="67" spans="1:8" x14ac:dyDescent="0.25">
      <c r="A67" s="29" t="s">
        <v>58</v>
      </c>
      <c r="B67" s="18"/>
      <c r="C67" s="18"/>
      <c r="D67" s="14"/>
      <c r="E67" s="24"/>
      <c r="F67" s="18"/>
      <c r="G67" s="18"/>
      <c r="H67" s="18"/>
    </row>
    <row r="68" spans="1:8" x14ac:dyDescent="0.25">
      <c r="A68" s="23"/>
      <c r="B68" s="18"/>
      <c r="C68" s="18"/>
      <c r="D68" s="14"/>
      <c r="E68" s="24"/>
      <c r="F68" s="18"/>
      <c r="G68" s="18"/>
      <c r="H68" s="18"/>
    </row>
    <row r="69" spans="1:8" x14ac:dyDescent="0.25">
      <c r="A69" s="25" t="s">
        <v>59</v>
      </c>
      <c r="B69" s="18" t="s">
        <v>100</v>
      </c>
      <c r="C69" s="18"/>
      <c r="D69" s="42">
        <f t="shared" ref="D69" si="23">D22*D25/D9/1000</f>
        <v>0.16079499407114625</v>
      </c>
      <c r="E69" s="24"/>
      <c r="F69" s="18"/>
      <c r="G69" s="18"/>
      <c r="H69" s="18"/>
    </row>
    <row r="70" spans="1:8" x14ac:dyDescent="0.25">
      <c r="A70" s="25" t="s">
        <v>60</v>
      </c>
      <c r="B70" s="18" t="s">
        <v>101</v>
      </c>
      <c r="C70" s="18"/>
      <c r="D70" s="42">
        <f t="shared" ref="D70" si="24">0.3*D14^2.9*(D20)^0.71/8760/D18*D26</f>
        <v>0.18132376875799139</v>
      </c>
      <c r="E70" s="24" t="s">
        <v>129</v>
      </c>
      <c r="F70" s="18"/>
      <c r="G70" s="18"/>
      <c r="H70" s="18"/>
    </row>
    <row r="71" spans="1:8" x14ac:dyDescent="0.25">
      <c r="A71" s="25" t="s">
        <v>131</v>
      </c>
      <c r="B71" s="18" t="s">
        <v>130</v>
      </c>
      <c r="C71" s="18"/>
      <c r="D71" s="42">
        <f t="shared" ref="D71" si="25">D24*D27*10</f>
        <v>0.34312366809161837</v>
      </c>
      <c r="E71" s="24" t="s">
        <v>132</v>
      </c>
      <c r="F71" s="18"/>
      <c r="G71" s="18"/>
      <c r="H71" s="18"/>
    </row>
    <row r="72" spans="1:8" x14ac:dyDescent="0.25">
      <c r="A72" s="25" t="s">
        <v>61</v>
      </c>
      <c r="B72" s="18" t="s">
        <v>102</v>
      </c>
      <c r="C72" s="18"/>
      <c r="D72" s="48">
        <f t="shared" ref="D72" si="26">D23*D28/D9/1000</f>
        <v>1.8169834330039527E-3</v>
      </c>
      <c r="E72" s="24"/>
      <c r="F72" s="18"/>
      <c r="G72" s="18"/>
      <c r="H72" s="18"/>
    </row>
    <row r="73" spans="1:8" x14ac:dyDescent="0.25">
      <c r="A73" s="25"/>
      <c r="B73" s="18"/>
      <c r="C73" s="18"/>
      <c r="D73" s="14"/>
      <c r="E73" s="24"/>
      <c r="F73" s="18"/>
      <c r="G73" s="18"/>
      <c r="H73" s="18"/>
    </row>
    <row r="74" spans="1:8" x14ac:dyDescent="0.25">
      <c r="A74" s="23"/>
      <c r="B74" s="18"/>
      <c r="C74" s="18"/>
      <c r="D74" s="14"/>
      <c r="E74" s="24"/>
      <c r="F74" s="18"/>
      <c r="G74" s="18"/>
      <c r="H74" s="18"/>
    </row>
    <row r="75" spans="1:8" x14ac:dyDescent="0.25">
      <c r="A75" s="27" t="s">
        <v>62</v>
      </c>
      <c r="B75" s="28" t="s">
        <v>74</v>
      </c>
      <c r="C75" s="18"/>
      <c r="D75" s="42">
        <f t="shared" ref="D75" si="27">SUM(D69:D72)</f>
        <v>0.68705941435376006</v>
      </c>
      <c r="E75" s="24"/>
      <c r="F75" s="18"/>
      <c r="G75" s="18"/>
      <c r="H75" s="18"/>
    </row>
    <row r="76" spans="1:8" x14ac:dyDescent="0.25">
      <c r="A76" s="23"/>
      <c r="B76" s="18"/>
      <c r="C76" s="18"/>
      <c r="D76" s="14"/>
      <c r="E76" s="24"/>
      <c r="F76" s="18"/>
      <c r="G76" s="18"/>
      <c r="H76" s="18"/>
    </row>
    <row r="77" spans="1:8" x14ac:dyDescent="0.25">
      <c r="A77" s="25" t="s">
        <v>111</v>
      </c>
      <c r="B77" s="18"/>
      <c r="C77" s="18"/>
      <c r="D77" s="52">
        <v>9.4399999999999998E-2</v>
      </c>
      <c r="E77" s="24" t="s">
        <v>136</v>
      </c>
      <c r="F77" s="18"/>
      <c r="G77" s="18"/>
      <c r="H77" s="18"/>
    </row>
    <row r="78" spans="1:8" x14ac:dyDescent="0.25">
      <c r="A78" s="25" t="s">
        <v>125</v>
      </c>
      <c r="B78" s="18"/>
      <c r="C78" s="18"/>
      <c r="D78" s="53">
        <f>0.003+0.009</f>
        <v>1.2E-2</v>
      </c>
      <c r="E78" s="24" t="s">
        <v>137</v>
      </c>
      <c r="F78" s="18"/>
      <c r="G78" s="18"/>
      <c r="H78" s="18"/>
    </row>
    <row r="79" spans="1:8" x14ac:dyDescent="0.25">
      <c r="A79" s="25" t="s">
        <v>126</v>
      </c>
      <c r="B79" s="18"/>
      <c r="C79" s="18"/>
      <c r="D79" s="49">
        <f t="shared" ref="D79" si="28">D77+D78</f>
        <v>0.10639999999999999</v>
      </c>
      <c r="E79" s="24"/>
      <c r="F79" s="18"/>
      <c r="G79" s="18"/>
      <c r="H79" s="18"/>
    </row>
    <row r="80" spans="1:8" x14ac:dyDescent="0.25">
      <c r="A80" s="25"/>
      <c r="B80" s="18"/>
      <c r="C80" s="18"/>
      <c r="D80" s="49"/>
      <c r="E80" s="24"/>
      <c r="F80" s="18"/>
      <c r="G80" s="18"/>
      <c r="H80" s="18"/>
    </row>
    <row r="81" spans="1:8" x14ac:dyDescent="0.25">
      <c r="A81" s="30" t="s">
        <v>105</v>
      </c>
      <c r="B81" s="18"/>
      <c r="C81" s="18"/>
      <c r="D81" s="14"/>
      <c r="E81" s="24"/>
      <c r="F81" s="18"/>
      <c r="G81" s="18"/>
      <c r="H81" s="18"/>
    </row>
    <row r="82" spans="1:8" x14ac:dyDescent="0.25">
      <c r="A82" s="25" t="s">
        <v>115</v>
      </c>
      <c r="B82" s="18"/>
      <c r="C82" s="18"/>
      <c r="D82" s="50">
        <f t="shared" ref="D82" si="29">D12</f>
        <v>1</v>
      </c>
      <c r="E82" s="24"/>
      <c r="F82" s="18"/>
      <c r="G82" s="18"/>
      <c r="H82" s="18"/>
    </row>
    <row r="83" spans="1:8" x14ac:dyDescent="0.25">
      <c r="A83" s="25" t="s">
        <v>106</v>
      </c>
      <c r="B83" s="18"/>
      <c r="C83" s="18"/>
      <c r="D83" s="51">
        <f t="shared" ref="D83" si="30">D19</f>
        <v>0.36649999999999999</v>
      </c>
      <c r="E83" s="24"/>
      <c r="F83" s="18"/>
      <c r="G83" s="18"/>
      <c r="H83" s="18"/>
    </row>
    <row r="84" spans="1:8" x14ac:dyDescent="0.25">
      <c r="A84" s="31" t="s">
        <v>113</v>
      </c>
      <c r="B84" s="18" t="s">
        <v>107</v>
      </c>
      <c r="C84" s="18"/>
      <c r="D84" s="51"/>
      <c r="E84" s="24"/>
      <c r="F84" s="18"/>
      <c r="G84" s="18"/>
      <c r="H84" s="18"/>
    </row>
    <row r="85" spans="1:8" x14ac:dyDescent="0.25">
      <c r="A85" s="25" t="s">
        <v>118</v>
      </c>
      <c r="B85" s="18" t="s">
        <v>108</v>
      </c>
      <c r="C85" s="18"/>
      <c r="D85" s="43">
        <f t="shared" ref="D85" si="31">(D11*D17/1000000)</f>
        <v>643.70000000000005</v>
      </c>
      <c r="E85" s="24"/>
      <c r="F85" s="18"/>
      <c r="G85" s="18"/>
      <c r="H85" s="18"/>
    </row>
    <row r="86" spans="1:8" x14ac:dyDescent="0.25">
      <c r="A86" s="32" t="s">
        <v>119</v>
      </c>
      <c r="B86" s="18"/>
      <c r="C86" s="18"/>
      <c r="D86" s="48">
        <f t="shared" ref="D86" si="32">D11</f>
        <v>0.157</v>
      </c>
      <c r="E86" s="24"/>
      <c r="F86" s="18"/>
      <c r="G86" s="18"/>
      <c r="H86" s="18"/>
    </row>
    <row r="87" spans="1:8" x14ac:dyDescent="0.25">
      <c r="A87" s="25" t="s">
        <v>120</v>
      </c>
      <c r="B87" s="18"/>
      <c r="C87" s="18"/>
      <c r="D87" s="43">
        <f t="shared" ref="D87" si="33">D85*(8760/2000)*D82</f>
        <v>2819.4059999999999</v>
      </c>
      <c r="E87" s="24"/>
      <c r="F87" s="18"/>
      <c r="G87" s="18"/>
      <c r="H87" s="18"/>
    </row>
    <row r="88" spans="1:8" x14ac:dyDescent="0.25">
      <c r="A88" s="33" t="s">
        <v>114</v>
      </c>
      <c r="B88" s="18"/>
      <c r="C88" s="18"/>
      <c r="D88" s="14"/>
      <c r="E88" s="24"/>
      <c r="F88" s="18"/>
      <c r="G88" s="18"/>
      <c r="H88" s="18"/>
    </row>
    <row r="89" spans="1:8" x14ac:dyDescent="0.25">
      <c r="A89" s="25" t="s">
        <v>118</v>
      </c>
      <c r="B89" s="18"/>
      <c r="C89" s="18"/>
      <c r="D89" s="47">
        <f t="shared" ref="D89" si="34">D85*(1-D83)</f>
        <v>407.78395</v>
      </c>
      <c r="E89" s="24"/>
      <c r="F89" s="18"/>
      <c r="G89" s="18"/>
      <c r="H89" s="18"/>
    </row>
    <row r="90" spans="1:8" x14ac:dyDescent="0.25">
      <c r="A90" s="32" t="s">
        <v>119</v>
      </c>
      <c r="B90" s="18" t="s">
        <v>110</v>
      </c>
      <c r="C90" s="18"/>
      <c r="D90" s="54">
        <f>D86*(1-D83)</f>
        <v>9.9459499999999992E-2</v>
      </c>
      <c r="E90" s="24" t="s">
        <v>142</v>
      </c>
      <c r="F90" s="18"/>
      <c r="G90" s="18"/>
      <c r="H90" s="18"/>
    </row>
    <row r="91" spans="1:8" x14ac:dyDescent="0.25">
      <c r="A91" s="25" t="s">
        <v>120</v>
      </c>
      <c r="B91" s="18"/>
      <c r="C91" s="18"/>
      <c r="D91" s="43">
        <f>D89*(8760/2000)*D82</f>
        <v>1786.093701</v>
      </c>
      <c r="E91" s="24"/>
      <c r="F91" s="18"/>
      <c r="G91" s="18"/>
      <c r="H91" s="18"/>
    </row>
    <row r="92" spans="1:8" x14ac:dyDescent="0.25">
      <c r="A92" s="25"/>
      <c r="B92" s="18"/>
      <c r="C92" s="18"/>
      <c r="D92" s="14"/>
      <c r="E92" s="24"/>
      <c r="F92" s="18"/>
      <c r="G92" s="18"/>
      <c r="H92" s="18"/>
    </row>
    <row r="93" spans="1:8" x14ac:dyDescent="0.25">
      <c r="A93" s="57" t="s">
        <v>116</v>
      </c>
      <c r="B93" s="58"/>
      <c r="C93" s="58"/>
      <c r="D93" s="59">
        <f t="shared" ref="D93" si="35">D87*D83</f>
        <v>1033.3122989999999</v>
      </c>
      <c r="E93" s="24"/>
      <c r="F93" s="18"/>
      <c r="G93" s="18"/>
      <c r="H93" s="18"/>
    </row>
    <row r="94" spans="1:8" x14ac:dyDescent="0.25">
      <c r="A94" s="60"/>
      <c r="B94" s="58"/>
      <c r="C94" s="58"/>
      <c r="D94" s="61"/>
      <c r="E94" s="24"/>
      <c r="F94" s="18"/>
      <c r="G94" s="18"/>
      <c r="H94" s="18"/>
    </row>
    <row r="95" spans="1:8" x14ac:dyDescent="0.25">
      <c r="A95" s="57" t="s">
        <v>109</v>
      </c>
      <c r="B95" s="58"/>
      <c r="C95" s="58"/>
      <c r="D95" s="62">
        <f>D54*D79+(D65*D9*1000)+D75*D9*8760*D82</f>
        <v>10413987.823348571</v>
      </c>
      <c r="E95" s="24"/>
      <c r="F95" s="18"/>
      <c r="G95" s="18"/>
      <c r="H95" s="18"/>
    </row>
    <row r="96" spans="1:8" ht="15.75" thickBot="1" x14ac:dyDescent="0.3">
      <c r="A96" s="34" t="s">
        <v>117</v>
      </c>
      <c r="B96" s="35"/>
      <c r="C96" s="35"/>
      <c r="D96" s="56">
        <f t="shared" ref="D96" si="36">D95/D93</f>
        <v>10078.257883339653</v>
      </c>
      <c r="E96" s="36"/>
      <c r="F96" s="18"/>
      <c r="G96" s="18"/>
      <c r="H96" s="18"/>
    </row>
  </sheetData>
  <hyperlinks>
    <hyperlink ref="I25" r:id="rId1" location="documentation" display="http://www.epa.gov/airmarkets/progsregs/epa-ipm/BaseCasev410.html - documentation"/>
  </hyperlinks>
  <pageMargins left="0.7" right="0.7" top="0.75" bottom="0.75" header="0.3" footer="0.3"/>
  <pageSetup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6"/>
  <sheetViews>
    <sheetView tabSelected="1" topLeftCell="A2" workbookViewId="0">
      <pane xSplit="3" ySplit="7" topLeftCell="D80" activePane="bottomRight" state="frozen"/>
      <selection activeCell="A2" sqref="A2"/>
      <selection pane="topRight" activeCell="D2" sqref="D2"/>
      <selection pane="bottomLeft" activeCell="A9" sqref="A9"/>
      <selection pane="bottomRight" activeCell="D91" sqref="D91"/>
    </sheetView>
  </sheetViews>
  <sheetFormatPr defaultRowHeight="15" x14ac:dyDescent="0.25"/>
  <cols>
    <col min="1" max="1" width="22" style="37" customWidth="1"/>
    <col min="2" max="2" width="38" style="37" customWidth="1"/>
    <col min="3" max="3" width="10.42578125" style="37" customWidth="1"/>
    <col min="4" max="4" width="14" style="38" customWidth="1"/>
    <col min="5" max="6" width="41" style="37" customWidth="1"/>
    <col min="7" max="7" width="13.42578125" style="37" customWidth="1"/>
    <col min="8" max="8" width="41" style="37" customWidth="1"/>
    <col min="9" max="16384" width="9.140625" style="37"/>
  </cols>
  <sheetData>
    <row r="2" spans="1:8" ht="15.75" thickBot="1" x14ac:dyDescent="0.3"/>
    <row r="3" spans="1:8" ht="15.75" thickTop="1" x14ac:dyDescent="0.25">
      <c r="A3" s="4"/>
      <c r="B3" s="5"/>
      <c r="C3" s="5"/>
      <c r="D3" s="39"/>
      <c r="E3" s="6"/>
      <c r="F3" s="2"/>
      <c r="G3" s="2"/>
      <c r="H3" s="2"/>
    </row>
    <row r="4" spans="1:8" ht="15.75" x14ac:dyDescent="0.25">
      <c r="A4" s="7" t="s">
        <v>0</v>
      </c>
      <c r="B4" s="1" t="s">
        <v>1</v>
      </c>
      <c r="C4" s="1" t="s">
        <v>2</v>
      </c>
      <c r="D4" s="1"/>
      <c r="E4" s="8" t="s">
        <v>3</v>
      </c>
      <c r="F4" s="1"/>
      <c r="G4" s="1"/>
      <c r="H4" s="1"/>
    </row>
    <row r="5" spans="1:8" x14ac:dyDescent="0.25">
      <c r="A5" s="9"/>
      <c r="B5" s="2"/>
      <c r="C5" s="2"/>
      <c r="D5" s="3"/>
      <c r="E5" s="10"/>
      <c r="F5" s="2"/>
      <c r="G5" s="2"/>
      <c r="H5" s="2"/>
    </row>
    <row r="6" spans="1:8" x14ac:dyDescent="0.25">
      <c r="A6" s="2" t="s">
        <v>122</v>
      </c>
      <c r="B6" s="2"/>
      <c r="D6" s="3" t="s">
        <v>133</v>
      </c>
      <c r="E6" s="10"/>
      <c r="F6" s="2"/>
      <c r="G6" s="2"/>
      <c r="H6" s="2"/>
    </row>
    <row r="7" spans="1:8" x14ac:dyDescent="0.25">
      <c r="A7" s="2" t="s">
        <v>124</v>
      </c>
      <c r="B7" s="2"/>
      <c r="D7" s="14" t="s">
        <v>133</v>
      </c>
      <c r="E7" s="10"/>
      <c r="F7" s="2"/>
      <c r="G7" s="2"/>
      <c r="H7" s="2"/>
    </row>
    <row r="8" spans="1:8" x14ac:dyDescent="0.25">
      <c r="A8" s="37" t="s">
        <v>123</v>
      </c>
      <c r="D8" s="14">
        <v>3</v>
      </c>
      <c r="E8" s="10"/>
      <c r="F8" s="2"/>
      <c r="G8" s="2"/>
      <c r="H8" s="2"/>
    </row>
    <row r="9" spans="1:8" x14ac:dyDescent="0.25">
      <c r="A9" s="9" t="s">
        <v>4</v>
      </c>
      <c r="B9" s="3" t="s">
        <v>14</v>
      </c>
      <c r="C9" s="3" t="s">
        <v>29</v>
      </c>
      <c r="D9" s="14">
        <v>410</v>
      </c>
      <c r="E9" s="10"/>
      <c r="F9" s="2"/>
      <c r="G9" s="2"/>
      <c r="H9" s="2"/>
    </row>
    <row r="10" spans="1:8" x14ac:dyDescent="0.25">
      <c r="A10" s="9" t="s">
        <v>6</v>
      </c>
      <c r="B10" s="3" t="s">
        <v>16</v>
      </c>
      <c r="C10" s="3" t="s">
        <v>30</v>
      </c>
      <c r="D10" s="14">
        <v>10000</v>
      </c>
      <c r="E10" s="10"/>
      <c r="F10" s="2"/>
      <c r="G10" s="2"/>
      <c r="H10" s="2"/>
    </row>
    <row r="11" spans="1:8" x14ac:dyDescent="0.25">
      <c r="A11" s="9" t="s">
        <v>75</v>
      </c>
      <c r="B11" s="3" t="s">
        <v>17</v>
      </c>
      <c r="C11" s="3" t="s">
        <v>139</v>
      </c>
      <c r="D11" s="55">
        <v>0.13500000000000001</v>
      </c>
      <c r="E11" s="10" t="s">
        <v>143</v>
      </c>
      <c r="F11" s="2"/>
      <c r="G11" s="2"/>
      <c r="H11" s="2"/>
    </row>
    <row r="12" spans="1:8" x14ac:dyDescent="0.25">
      <c r="A12" s="9" t="s">
        <v>76</v>
      </c>
      <c r="B12" s="3" t="s">
        <v>85</v>
      </c>
      <c r="C12" s="3" t="s">
        <v>76</v>
      </c>
      <c r="D12" s="14">
        <v>1</v>
      </c>
      <c r="E12" s="10" t="s">
        <v>135</v>
      </c>
      <c r="F12" s="2"/>
      <c r="G12" s="2"/>
      <c r="H12" s="2"/>
    </row>
    <row r="13" spans="1:8" x14ac:dyDescent="0.25">
      <c r="A13" s="9" t="s">
        <v>7</v>
      </c>
      <c r="B13" s="3" t="s">
        <v>18</v>
      </c>
      <c r="C13" s="3"/>
      <c r="D13" s="14" t="s">
        <v>134</v>
      </c>
      <c r="E13" s="10"/>
      <c r="F13" s="2"/>
      <c r="G13" s="2"/>
      <c r="H13" s="2"/>
    </row>
    <row r="14" spans="1:8" x14ac:dyDescent="0.25">
      <c r="A14" s="9" t="s">
        <v>8</v>
      </c>
      <c r="B14" s="3" t="s">
        <v>19</v>
      </c>
      <c r="C14" s="3"/>
      <c r="D14" s="14">
        <v>1.05</v>
      </c>
      <c r="E14" s="10" t="s">
        <v>140</v>
      </c>
      <c r="F14" s="2"/>
      <c r="G14" s="2"/>
      <c r="H14" s="2"/>
    </row>
    <row r="15" spans="1:8" x14ac:dyDescent="0.25">
      <c r="A15" s="9" t="s">
        <v>5</v>
      </c>
      <c r="B15" s="3" t="s">
        <v>15</v>
      </c>
      <c r="C15" s="3"/>
      <c r="D15" s="14">
        <v>1</v>
      </c>
      <c r="E15" s="10" t="s">
        <v>127</v>
      </c>
      <c r="F15" s="2"/>
      <c r="G15" s="2"/>
      <c r="H15" s="2"/>
    </row>
    <row r="16" spans="1:8" x14ac:dyDescent="0.25">
      <c r="A16" s="9" t="s">
        <v>9</v>
      </c>
      <c r="B16" s="3" t="s">
        <v>20</v>
      </c>
      <c r="C16" s="3"/>
      <c r="D16" s="14">
        <f t="shared" ref="D16" si="0">D10/10000</f>
        <v>1</v>
      </c>
      <c r="E16" s="10" t="s">
        <v>36</v>
      </c>
      <c r="F16" s="2"/>
      <c r="G16" s="2"/>
      <c r="H16" s="2"/>
    </row>
    <row r="17" spans="1:9" x14ac:dyDescent="0.25">
      <c r="A17" s="9" t="s">
        <v>10</v>
      </c>
      <c r="B17" s="3" t="s">
        <v>84</v>
      </c>
      <c r="C17" s="3" t="s">
        <v>31</v>
      </c>
      <c r="D17" s="40">
        <f t="shared" ref="D17" si="1">D9*D10*1000</f>
        <v>4100000000</v>
      </c>
      <c r="E17" s="10" t="s">
        <v>37</v>
      </c>
      <c r="F17" s="2"/>
      <c r="G17" s="2"/>
      <c r="H17" s="2"/>
    </row>
    <row r="18" spans="1:9" x14ac:dyDescent="0.25">
      <c r="A18" s="19" t="s">
        <v>76</v>
      </c>
      <c r="B18" s="14" t="s">
        <v>85</v>
      </c>
      <c r="D18" s="17">
        <f t="shared" ref="D18" si="2">D12</f>
        <v>1</v>
      </c>
      <c r="E18" s="10"/>
      <c r="F18" s="2"/>
      <c r="G18" s="2"/>
      <c r="H18" s="2"/>
    </row>
    <row r="19" spans="1:9" x14ac:dyDescent="0.25">
      <c r="A19" s="9" t="s">
        <v>77</v>
      </c>
      <c r="B19" s="3" t="s">
        <v>21</v>
      </c>
      <c r="C19" s="3" t="s">
        <v>32</v>
      </c>
      <c r="D19" s="41">
        <v>0.74070000000000003</v>
      </c>
      <c r="E19" s="37" t="s">
        <v>141</v>
      </c>
      <c r="G19" s="37">
        <f>1-(0.035/0.135)</f>
        <v>0.7407407407407407</v>
      </c>
    </row>
    <row r="20" spans="1:9" x14ac:dyDescent="0.25">
      <c r="A20" s="9" t="s">
        <v>78</v>
      </c>
      <c r="B20" s="3" t="s">
        <v>22</v>
      </c>
      <c r="C20" s="3"/>
      <c r="D20" s="42">
        <f t="shared" ref="D20" si="3">D19/0.8</f>
        <v>0.925875</v>
      </c>
      <c r="E20" s="10" t="s">
        <v>128</v>
      </c>
      <c r="F20" s="18"/>
      <c r="G20" s="18"/>
      <c r="H20" s="18"/>
    </row>
    <row r="21" spans="1:9" x14ac:dyDescent="0.25">
      <c r="A21" s="9" t="s">
        <v>104</v>
      </c>
      <c r="B21" s="3" t="s">
        <v>23</v>
      </c>
      <c r="C21" s="3" t="s">
        <v>89</v>
      </c>
      <c r="D21" s="40">
        <f t="shared" ref="D21" si="4">D11*D17/10^6*D19</f>
        <v>409.97745000000003</v>
      </c>
      <c r="E21" s="10" t="s">
        <v>112</v>
      </c>
      <c r="F21" s="2"/>
      <c r="G21" s="2"/>
      <c r="H21" s="2"/>
    </row>
    <row r="22" spans="1:9" x14ac:dyDescent="0.25">
      <c r="A22" s="9" t="s">
        <v>79</v>
      </c>
      <c r="B22" s="3" t="s">
        <v>24</v>
      </c>
      <c r="C22" s="3" t="s">
        <v>89</v>
      </c>
      <c r="D22" s="43">
        <f t="shared" ref="D22" si="5">D21*0.525*60/46*1.01/0.99</f>
        <v>286.41705251976288</v>
      </c>
      <c r="E22" s="10" t="s">
        <v>92</v>
      </c>
      <c r="F22" s="2"/>
      <c r="G22" s="2"/>
      <c r="H22" s="2"/>
    </row>
    <row r="23" spans="1:9" x14ac:dyDescent="0.25">
      <c r="A23" s="9" t="s">
        <v>80</v>
      </c>
      <c r="B23" s="3" t="s">
        <v>86</v>
      </c>
      <c r="C23" s="3" t="s">
        <v>89</v>
      </c>
      <c r="D23" s="43">
        <f t="shared" ref="D23" si="6">D22*1.13</f>
        <v>323.651269347332</v>
      </c>
      <c r="E23" s="10" t="s">
        <v>93</v>
      </c>
      <c r="F23" s="2"/>
      <c r="G23" s="2"/>
      <c r="H23" s="2"/>
    </row>
    <row r="24" spans="1:9" x14ac:dyDescent="0.25">
      <c r="A24" s="9" t="s">
        <v>11</v>
      </c>
      <c r="B24" s="3" t="s">
        <v>25</v>
      </c>
      <c r="C24" s="3" t="s">
        <v>32</v>
      </c>
      <c r="D24" s="42">
        <f t="shared" ref="D24" si="7">0.56*(D14*D16)^0.43</f>
        <v>0.57187278015269738</v>
      </c>
      <c r="E24" s="10" t="s">
        <v>94</v>
      </c>
      <c r="F24" s="2"/>
      <c r="G24" s="2"/>
      <c r="H24" s="2"/>
    </row>
    <row r="25" spans="1:9" x14ac:dyDescent="0.25">
      <c r="A25" s="9" t="s">
        <v>81</v>
      </c>
      <c r="B25" s="3" t="s">
        <v>26</v>
      </c>
      <c r="C25" s="3" t="s">
        <v>33</v>
      </c>
      <c r="D25" s="14">
        <v>400</v>
      </c>
      <c r="E25" s="10"/>
      <c r="F25" s="2"/>
      <c r="G25" s="2"/>
      <c r="H25" s="2"/>
      <c r="I25" s="16" t="s">
        <v>121</v>
      </c>
    </row>
    <row r="26" spans="1:9" x14ac:dyDescent="0.25">
      <c r="A26" s="9" t="s">
        <v>82</v>
      </c>
      <c r="B26" s="3" t="s">
        <v>27</v>
      </c>
      <c r="C26" s="3" t="s">
        <v>90</v>
      </c>
      <c r="D26" s="14">
        <v>8000</v>
      </c>
      <c r="E26" s="10"/>
      <c r="F26" s="2"/>
      <c r="G26" s="2"/>
      <c r="H26" s="2"/>
    </row>
    <row r="27" spans="1:9" x14ac:dyDescent="0.25">
      <c r="A27" s="9" t="s">
        <v>12</v>
      </c>
      <c r="B27" s="3" t="s">
        <v>28</v>
      </c>
      <c r="C27" s="3" t="s">
        <v>34</v>
      </c>
      <c r="D27" s="14">
        <v>0.06</v>
      </c>
      <c r="E27" s="10"/>
      <c r="F27" s="2"/>
      <c r="G27" s="2"/>
      <c r="H27" s="2"/>
    </row>
    <row r="28" spans="1:9" x14ac:dyDescent="0.25">
      <c r="A28" s="9" t="s">
        <v>83</v>
      </c>
      <c r="B28" s="3" t="s">
        <v>87</v>
      </c>
      <c r="C28" s="3" t="s">
        <v>91</v>
      </c>
      <c r="D28" s="14">
        <v>4</v>
      </c>
      <c r="E28" s="10"/>
      <c r="F28" s="2"/>
      <c r="G28" s="2"/>
      <c r="H28" s="2"/>
    </row>
    <row r="29" spans="1:9" x14ac:dyDescent="0.25">
      <c r="A29" s="9" t="s">
        <v>13</v>
      </c>
      <c r="B29" s="14" t="s">
        <v>88</v>
      </c>
      <c r="C29" s="3" t="s">
        <v>35</v>
      </c>
      <c r="D29" s="14">
        <v>60</v>
      </c>
      <c r="E29" s="10" t="s">
        <v>38</v>
      </c>
      <c r="F29" s="2"/>
      <c r="G29" s="2"/>
      <c r="H29" s="2"/>
    </row>
    <row r="30" spans="1:9" ht="15.75" thickBot="1" x14ac:dyDescent="0.3">
      <c r="A30" s="11"/>
      <c r="B30" s="12"/>
      <c r="C30" s="12"/>
      <c r="D30" s="15"/>
      <c r="E30" s="13"/>
      <c r="F30" s="2"/>
      <c r="G30" s="2"/>
      <c r="H30" s="2"/>
    </row>
    <row r="31" spans="1:9" ht="15.75" thickTop="1" x14ac:dyDescent="0.25"/>
    <row r="32" spans="1:9" ht="15.75" thickBot="1" x14ac:dyDescent="0.3"/>
    <row r="33" spans="1:8" x14ac:dyDescent="0.25">
      <c r="A33" s="20" t="s">
        <v>39</v>
      </c>
      <c r="B33" s="21"/>
      <c r="C33" s="21"/>
      <c r="D33" s="44"/>
      <c r="E33" s="22"/>
      <c r="F33" s="18"/>
      <c r="G33" s="18"/>
      <c r="H33" s="18"/>
    </row>
    <row r="34" spans="1:8" x14ac:dyDescent="0.25">
      <c r="A34" s="23"/>
      <c r="B34" s="18"/>
      <c r="C34" s="18"/>
      <c r="D34" s="14"/>
      <c r="E34" s="24"/>
      <c r="F34" s="18"/>
      <c r="G34" s="18"/>
      <c r="H34" s="18"/>
    </row>
    <row r="35" spans="1:8" x14ac:dyDescent="0.25">
      <c r="A35" s="25" t="s">
        <v>40</v>
      </c>
      <c r="B35" s="18" t="s">
        <v>96</v>
      </c>
      <c r="C35" s="18"/>
      <c r="D35" s="45">
        <f t="shared" ref="D35" si="8">180000*D15*D20^0.2*(D9*D14*D16)^0.92</f>
        <v>46971916.476054527</v>
      </c>
      <c r="E35" s="24"/>
      <c r="F35" s="18"/>
      <c r="G35" s="18"/>
      <c r="H35" s="18"/>
    </row>
    <row r="36" spans="1:8" x14ac:dyDescent="0.25">
      <c r="A36" s="25" t="s">
        <v>41</v>
      </c>
      <c r="B36" s="18" t="s">
        <v>63</v>
      </c>
      <c r="C36" s="18"/>
      <c r="D36" s="45">
        <f t="shared" ref="D36" si="9">410000*(D21)^0.25</f>
        <v>1844904.3258916922</v>
      </c>
      <c r="E36" s="24"/>
      <c r="F36" s="18"/>
      <c r="G36" s="18"/>
      <c r="H36" s="18"/>
    </row>
    <row r="37" spans="1:8" x14ac:dyDescent="0.25">
      <c r="A37" s="25" t="s">
        <v>95</v>
      </c>
      <c r="B37" s="18" t="s">
        <v>97</v>
      </c>
      <c r="C37" s="18"/>
      <c r="D37" s="45"/>
      <c r="E37" s="24"/>
      <c r="F37" s="18"/>
      <c r="G37" s="18"/>
      <c r="H37" s="18"/>
    </row>
    <row r="38" spans="1:8" x14ac:dyDescent="0.25">
      <c r="A38" s="25" t="s">
        <v>42</v>
      </c>
      <c r="B38" s="18" t="s">
        <v>98</v>
      </c>
      <c r="C38" s="18"/>
      <c r="D38" s="45">
        <f t="shared" ref="D38" si="10">380000*D15*(D9*D14*D16)^0.42</f>
        <v>4853469.6928634066</v>
      </c>
      <c r="E38" s="24"/>
      <c r="F38" s="18"/>
      <c r="G38" s="18"/>
      <c r="H38" s="18"/>
    </row>
    <row r="39" spans="1:8" x14ac:dyDescent="0.25">
      <c r="A39" s="25"/>
      <c r="B39" s="18"/>
      <c r="C39" s="18"/>
      <c r="D39" s="14"/>
      <c r="E39" s="24"/>
      <c r="F39" s="18"/>
      <c r="G39" s="18"/>
      <c r="H39" s="18"/>
    </row>
    <row r="40" spans="1:8" x14ac:dyDescent="0.25">
      <c r="A40" s="25" t="s">
        <v>43</v>
      </c>
      <c r="B40" s="18" t="s">
        <v>64</v>
      </c>
      <c r="C40" s="18"/>
      <c r="D40" s="46">
        <f t="shared" ref="D40" si="11">SUM(D35:D38)</f>
        <v>53670290.494809628</v>
      </c>
      <c r="E40" s="24"/>
      <c r="F40" s="18"/>
      <c r="G40" s="18"/>
      <c r="H40" s="18"/>
    </row>
    <row r="41" spans="1:8" x14ac:dyDescent="0.25">
      <c r="A41" s="25" t="s">
        <v>44</v>
      </c>
      <c r="B41" s="18"/>
      <c r="C41" s="18"/>
      <c r="D41" s="46">
        <f t="shared" ref="D41" si="12">D40/D9/1000</f>
        <v>130.90314754831616</v>
      </c>
      <c r="E41" s="24"/>
      <c r="F41" s="18"/>
      <c r="G41" s="18"/>
      <c r="H41" s="18"/>
    </row>
    <row r="42" spans="1:8" x14ac:dyDescent="0.25">
      <c r="A42" s="23"/>
      <c r="B42" s="18"/>
      <c r="C42" s="18"/>
      <c r="D42" s="14"/>
      <c r="E42" s="24"/>
      <c r="F42" s="18"/>
      <c r="G42" s="18"/>
      <c r="H42" s="18"/>
    </row>
    <row r="43" spans="1:8" x14ac:dyDescent="0.25">
      <c r="A43" s="26" t="s">
        <v>45</v>
      </c>
      <c r="B43" s="18"/>
      <c r="C43" s="18"/>
      <c r="D43" s="14"/>
      <c r="E43" s="24"/>
      <c r="F43" s="18"/>
      <c r="G43" s="18"/>
      <c r="H43" s="18"/>
    </row>
    <row r="44" spans="1:8" x14ac:dyDescent="0.25">
      <c r="A44" s="25" t="s">
        <v>46</v>
      </c>
      <c r="B44" s="18" t="s">
        <v>65</v>
      </c>
      <c r="C44" s="18"/>
      <c r="D44" s="46">
        <f t="shared" ref="D44" si="13">0.1*D40</f>
        <v>5367029.0494809635</v>
      </c>
      <c r="E44" s="24"/>
      <c r="F44" s="18"/>
      <c r="G44" s="18"/>
      <c r="H44" s="18"/>
    </row>
    <row r="45" spans="1:8" x14ac:dyDescent="0.25">
      <c r="A45" s="25" t="s">
        <v>47</v>
      </c>
      <c r="B45" s="18" t="s">
        <v>66</v>
      </c>
      <c r="C45" s="18"/>
      <c r="D45" s="46">
        <f t="shared" ref="D45" si="14">0.1*D40</f>
        <v>5367029.0494809635</v>
      </c>
      <c r="E45" s="24"/>
      <c r="F45" s="18"/>
      <c r="G45" s="18"/>
      <c r="H45" s="18"/>
    </row>
    <row r="46" spans="1:8" x14ac:dyDescent="0.25">
      <c r="A46" s="25" t="s">
        <v>48</v>
      </c>
      <c r="B46" s="18" t="s">
        <v>67</v>
      </c>
      <c r="C46" s="18"/>
      <c r="D46" s="46">
        <f t="shared" ref="D46" si="15">0.1*D40</f>
        <v>5367029.0494809635</v>
      </c>
      <c r="E46" s="24"/>
      <c r="F46" s="18"/>
      <c r="G46" s="18"/>
      <c r="H46" s="18"/>
    </row>
    <row r="47" spans="1:8" x14ac:dyDescent="0.25">
      <c r="A47" s="23"/>
      <c r="B47" s="18"/>
      <c r="C47" s="18"/>
      <c r="D47" s="14"/>
      <c r="E47" s="24"/>
      <c r="F47" s="18"/>
      <c r="G47" s="18"/>
      <c r="H47" s="18"/>
    </row>
    <row r="48" spans="1:8" x14ac:dyDescent="0.25">
      <c r="A48" s="27" t="s">
        <v>49</v>
      </c>
      <c r="B48" s="18" t="s">
        <v>68</v>
      </c>
      <c r="C48" s="18"/>
      <c r="D48" s="46">
        <f t="shared" ref="D48" si="16">D40+D44+D45+D46</f>
        <v>69771377.643252507</v>
      </c>
      <c r="E48" s="24"/>
      <c r="F48" s="18"/>
      <c r="G48" s="18"/>
      <c r="H48" s="18"/>
    </row>
    <row r="49" spans="1:8" x14ac:dyDescent="0.25">
      <c r="A49" s="27" t="s">
        <v>50</v>
      </c>
      <c r="B49" s="18"/>
      <c r="C49" s="18"/>
      <c r="D49" s="46">
        <f t="shared" ref="D49" si="17">D48/D9/1000</f>
        <v>170.17409181281101</v>
      </c>
      <c r="E49" s="24"/>
      <c r="F49" s="18"/>
      <c r="G49" s="18"/>
      <c r="H49" s="18"/>
    </row>
    <row r="50" spans="1:8" x14ac:dyDescent="0.25">
      <c r="A50" s="23"/>
      <c r="B50" s="18"/>
      <c r="C50" s="18"/>
      <c r="D50" s="14"/>
      <c r="E50" s="24"/>
      <c r="F50" s="18"/>
      <c r="G50" s="18"/>
      <c r="H50" s="18"/>
    </row>
    <row r="51" spans="1:8" x14ac:dyDescent="0.25">
      <c r="A51" s="25" t="s">
        <v>51</v>
      </c>
      <c r="B51" s="18" t="s">
        <v>69</v>
      </c>
      <c r="C51" s="18"/>
      <c r="D51" s="46">
        <f>0.05*D48</f>
        <v>3488568.8821626254</v>
      </c>
      <c r="E51" s="24"/>
      <c r="F51" s="18"/>
      <c r="G51" s="18"/>
      <c r="H51" s="18"/>
    </row>
    <row r="52" spans="1:8" x14ac:dyDescent="0.25">
      <c r="A52" s="25" t="s">
        <v>99</v>
      </c>
      <c r="B52" s="18" t="s">
        <v>103</v>
      </c>
      <c r="C52" s="18"/>
      <c r="D52" s="46">
        <f>D51+0.06*D48</f>
        <v>7674851.5407577753</v>
      </c>
      <c r="E52" s="24"/>
      <c r="F52" s="18"/>
      <c r="G52" s="18"/>
      <c r="H52" s="18"/>
    </row>
    <row r="53" spans="1:8" x14ac:dyDescent="0.25">
      <c r="A53" s="23"/>
      <c r="B53" s="18"/>
      <c r="C53" s="18"/>
      <c r="D53" s="14"/>
      <c r="E53" s="24"/>
      <c r="F53" s="18"/>
      <c r="G53" s="18"/>
      <c r="H53" s="18"/>
    </row>
    <row r="54" spans="1:8" x14ac:dyDescent="0.25">
      <c r="A54" s="27" t="s">
        <v>52</v>
      </c>
      <c r="B54" s="28" t="s">
        <v>70</v>
      </c>
      <c r="C54" s="18"/>
      <c r="D54" s="46">
        <f t="shared" ref="D54" si="18">D48+D51+D52</f>
        <v>80934798.066172913</v>
      </c>
      <c r="E54" s="24"/>
      <c r="F54" s="18"/>
      <c r="G54" s="18"/>
      <c r="H54" s="18"/>
    </row>
    <row r="55" spans="1:8" x14ac:dyDescent="0.25">
      <c r="A55" s="27" t="s">
        <v>53</v>
      </c>
      <c r="B55" s="18"/>
      <c r="C55" s="18"/>
      <c r="D55" s="46">
        <f t="shared" ref="D55" si="19">D54/D9/1000</f>
        <v>197.40194650286074</v>
      </c>
      <c r="E55" s="24"/>
      <c r="F55" s="18"/>
      <c r="G55" s="18"/>
      <c r="H55" s="18"/>
    </row>
    <row r="56" spans="1:8" x14ac:dyDescent="0.25">
      <c r="A56" s="23"/>
      <c r="B56" s="18"/>
      <c r="C56" s="18"/>
      <c r="D56" s="14"/>
      <c r="E56" s="24"/>
      <c r="F56" s="18"/>
      <c r="G56" s="18"/>
      <c r="H56" s="18"/>
    </row>
    <row r="57" spans="1:8" x14ac:dyDescent="0.25">
      <c r="A57" s="23"/>
      <c r="B57" s="18"/>
      <c r="C57" s="18"/>
      <c r="D57" s="14"/>
      <c r="E57" s="24"/>
      <c r="F57" s="18"/>
      <c r="G57" s="18"/>
      <c r="H57" s="18"/>
    </row>
    <row r="58" spans="1:8" x14ac:dyDescent="0.25">
      <c r="A58" s="29" t="s">
        <v>54</v>
      </c>
      <c r="B58" s="18"/>
      <c r="C58" s="18"/>
      <c r="D58" s="14"/>
      <c r="E58" s="24"/>
      <c r="F58" s="18"/>
      <c r="G58" s="18"/>
      <c r="H58" s="18"/>
    </row>
    <row r="59" spans="1:8" x14ac:dyDescent="0.25">
      <c r="A59" s="23"/>
      <c r="B59" s="18"/>
      <c r="C59" s="18"/>
      <c r="D59" s="14"/>
      <c r="E59" s="24"/>
      <c r="F59" s="18"/>
      <c r="G59" s="18"/>
      <c r="H59" s="18"/>
    </row>
    <row r="60" spans="1:8" x14ac:dyDescent="0.25">
      <c r="A60" s="25" t="s">
        <v>55</v>
      </c>
      <c r="B60" s="18" t="s">
        <v>71</v>
      </c>
      <c r="C60" s="18"/>
      <c r="D60" s="47">
        <f t="shared" ref="D60" si="20">0.5*2080*D29/(D9*1000)</f>
        <v>0.15219512195121951</v>
      </c>
      <c r="E60" s="24"/>
      <c r="F60" s="18"/>
      <c r="G60" s="18"/>
      <c r="H60" s="18"/>
    </row>
    <row r="61" spans="1:8" x14ac:dyDescent="0.25">
      <c r="A61" s="25" t="s">
        <v>56</v>
      </c>
      <c r="B61" s="18" t="s">
        <v>72</v>
      </c>
      <c r="C61" s="18"/>
      <c r="D61" s="47">
        <f t="shared" ref="D61" si="21">300000/D9/1000</f>
        <v>0.73170731707317072</v>
      </c>
      <c r="E61" s="24"/>
      <c r="F61" s="18"/>
      <c r="G61" s="18"/>
      <c r="H61" s="18"/>
    </row>
    <row r="62" spans="1:8" x14ac:dyDescent="0.25">
      <c r="A62" s="25"/>
      <c r="B62" s="18"/>
      <c r="C62" s="18"/>
      <c r="D62" s="42"/>
      <c r="E62" s="24"/>
      <c r="F62" s="18"/>
      <c r="G62" s="18"/>
      <c r="H62" s="18"/>
    </row>
    <row r="63" spans="1:8" x14ac:dyDescent="0.25">
      <c r="A63" s="25"/>
      <c r="B63" s="18"/>
      <c r="C63" s="18"/>
      <c r="D63" s="14"/>
      <c r="E63" s="24"/>
      <c r="F63" s="18"/>
      <c r="G63" s="18"/>
      <c r="H63" s="18"/>
    </row>
    <row r="64" spans="1:8" x14ac:dyDescent="0.25">
      <c r="A64" s="25"/>
      <c r="B64" s="18"/>
      <c r="C64" s="18"/>
      <c r="D64" s="14"/>
      <c r="E64" s="24"/>
      <c r="F64" s="18"/>
      <c r="G64" s="18"/>
      <c r="H64" s="18"/>
    </row>
    <row r="65" spans="1:8" x14ac:dyDescent="0.25">
      <c r="A65" s="27" t="s">
        <v>57</v>
      </c>
      <c r="B65" s="28" t="s">
        <v>73</v>
      </c>
      <c r="C65" s="18"/>
      <c r="D65" s="42">
        <f t="shared" ref="D65" si="22">SUM(D60:D62)</f>
        <v>0.88390243902439025</v>
      </c>
      <c r="E65" s="24"/>
      <c r="F65" s="18"/>
      <c r="G65" s="18"/>
      <c r="H65" s="18"/>
    </row>
    <row r="66" spans="1:8" x14ac:dyDescent="0.25">
      <c r="A66" s="23"/>
      <c r="B66" s="18"/>
      <c r="C66" s="18"/>
      <c r="D66" s="14"/>
      <c r="E66" s="24"/>
      <c r="F66" s="18"/>
      <c r="G66" s="18"/>
      <c r="H66" s="18"/>
    </row>
    <row r="67" spans="1:8" x14ac:dyDescent="0.25">
      <c r="A67" s="29" t="s">
        <v>58</v>
      </c>
      <c r="B67" s="18"/>
      <c r="C67" s="18"/>
      <c r="D67" s="14"/>
      <c r="E67" s="24"/>
      <c r="F67" s="18"/>
      <c r="G67" s="18"/>
      <c r="H67" s="18"/>
    </row>
    <row r="68" spans="1:8" x14ac:dyDescent="0.25">
      <c r="A68" s="23"/>
      <c r="B68" s="18"/>
      <c r="C68" s="18"/>
      <c r="D68" s="14"/>
      <c r="E68" s="24"/>
      <c r="F68" s="18"/>
      <c r="G68" s="18"/>
      <c r="H68" s="18"/>
    </row>
    <row r="69" spans="1:8" x14ac:dyDescent="0.25">
      <c r="A69" s="25" t="s">
        <v>59</v>
      </c>
      <c r="B69" s="18" t="s">
        <v>100</v>
      </c>
      <c r="C69" s="18"/>
      <c r="D69" s="42">
        <f t="shared" ref="D69" si="23">D22*D25/D9/1000</f>
        <v>0.27943127075098817</v>
      </c>
      <c r="E69" s="24"/>
      <c r="F69" s="18"/>
      <c r="G69" s="18"/>
      <c r="H69" s="18"/>
    </row>
    <row r="70" spans="1:8" x14ac:dyDescent="0.25">
      <c r="A70" s="25" t="s">
        <v>60</v>
      </c>
      <c r="B70" s="18" t="s">
        <v>101</v>
      </c>
      <c r="C70" s="18"/>
      <c r="D70" s="42">
        <f t="shared" ref="D70" si="24">0.3*D14^2.9*(D20)^0.71/8760/D18*D26</f>
        <v>0.29881904729629921</v>
      </c>
      <c r="E70" s="24" t="s">
        <v>129</v>
      </c>
      <c r="F70" s="18"/>
      <c r="G70" s="18"/>
      <c r="H70" s="18"/>
    </row>
    <row r="71" spans="1:8" x14ac:dyDescent="0.25">
      <c r="A71" s="25" t="s">
        <v>131</v>
      </c>
      <c r="B71" s="18" t="s">
        <v>130</v>
      </c>
      <c r="C71" s="18"/>
      <c r="D71" s="42">
        <f t="shared" ref="D71" si="25">D24*D27*10</f>
        <v>0.34312366809161837</v>
      </c>
      <c r="E71" s="24" t="s">
        <v>132</v>
      </c>
      <c r="F71" s="18"/>
      <c r="G71" s="18"/>
      <c r="H71" s="18"/>
    </row>
    <row r="72" spans="1:8" x14ac:dyDescent="0.25">
      <c r="A72" s="25" t="s">
        <v>61</v>
      </c>
      <c r="B72" s="18" t="s">
        <v>102</v>
      </c>
      <c r="C72" s="18"/>
      <c r="D72" s="48">
        <f t="shared" ref="D72" si="26">D23*D28/D9/1000</f>
        <v>3.157573359486166E-3</v>
      </c>
      <c r="E72" s="24"/>
      <c r="F72" s="18"/>
      <c r="G72" s="18"/>
      <c r="H72" s="18"/>
    </row>
    <row r="73" spans="1:8" x14ac:dyDescent="0.25">
      <c r="A73" s="25"/>
      <c r="B73" s="18"/>
      <c r="C73" s="18"/>
      <c r="D73" s="14"/>
      <c r="E73" s="24"/>
      <c r="F73" s="18"/>
      <c r="G73" s="18"/>
      <c r="H73" s="18"/>
    </row>
    <row r="74" spans="1:8" x14ac:dyDescent="0.25">
      <c r="A74" s="23"/>
      <c r="B74" s="18"/>
      <c r="C74" s="18"/>
      <c r="D74" s="14"/>
      <c r="E74" s="24"/>
      <c r="F74" s="18"/>
      <c r="G74" s="18"/>
      <c r="H74" s="18"/>
    </row>
    <row r="75" spans="1:8" x14ac:dyDescent="0.25">
      <c r="A75" s="27" t="s">
        <v>62</v>
      </c>
      <c r="B75" s="28" t="s">
        <v>74</v>
      </c>
      <c r="C75" s="18"/>
      <c r="D75" s="42">
        <f t="shared" ref="D75" si="27">SUM(D69:D72)</f>
        <v>0.92453155949839183</v>
      </c>
      <c r="E75" s="24"/>
      <c r="F75" s="18"/>
      <c r="G75" s="18"/>
      <c r="H75" s="18"/>
    </row>
    <row r="76" spans="1:8" x14ac:dyDescent="0.25">
      <c r="A76" s="23"/>
      <c r="B76" s="18"/>
      <c r="C76" s="18"/>
      <c r="D76" s="14"/>
      <c r="E76" s="24"/>
      <c r="F76" s="18"/>
      <c r="G76" s="18"/>
      <c r="H76" s="18"/>
    </row>
    <row r="77" spans="1:8" x14ac:dyDescent="0.25">
      <c r="A77" s="25" t="s">
        <v>111</v>
      </c>
      <c r="B77" s="18"/>
      <c r="C77" s="18"/>
      <c r="D77" s="52">
        <v>9.4399999999999998E-2</v>
      </c>
      <c r="E77" s="24" t="s">
        <v>136</v>
      </c>
      <c r="F77" s="18"/>
      <c r="G77" s="18"/>
      <c r="H77" s="18"/>
    </row>
    <row r="78" spans="1:8" x14ac:dyDescent="0.25">
      <c r="A78" s="25" t="s">
        <v>125</v>
      </c>
      <c r="B78" s="18"/>
      <c r="C78" s="18"/>
      <c r="D78" s="53">
        <f>0.003+0.009</f>
        <v>1.2E-2</v>
      </c>
      <c r="E78" s="24" t="s">
        <v>137</v>
      </c>
      <c r="F78" s="18"/>
      <c r="G78" s="18"/>
      <c r="H78" s="18"/>
    </row>
    <row r="79" spans="1:8" x14ac:dyDescent="0.25">
      <c r="A79" s="25" t="s">
        <v>126</v>
      </c>
      <c r="B79" s="18"/>
      <c r="C79" s="18"/>
      <c r="D79" s="49">
        <f t="shared" ref="D79" si="28">D77+D78</f>
        <v>0.10639999999999999</v>
      </c>
      <c r="E79" s="24"/>
      <c r="F79" s="18"/>
      <c r="G79" s="18"/>
      <c r="H79" s="18"/>
    </row>
    <row r="80" spans="1:8" x14ac:dyDescent="0.25">
      <c r="A80" s="25"/>
      <c r="B80" s="18"/>
      <c r="C80" s="18"/>
      <c r="D80" s="49"/>
      <c r="E80" s="24"/>
      <c r="F80" s="18"/>
      <c r="G80" s="18"/>
      <c r="H80" s="18"/>
    </row>
    <row r="81" spans="1:8" x14ac:dyDescent="0.25">
      <c r="A81" s="30" t="s">
        <v>105</v>
      </c>
      <c r="B81" s="18"/>
      <c r="C81" s="18"/>
      <c r="D81" s="14"/>
      <c r="E81" s="24"/>
      <c r="F81" s="18"/>
      <c r="G81" s="18"/>
      <c r="H81" s="18"/>
    </row>
    <row r="82" spans="1:8" x14ac:dyDescent="0.25">
      <c r="A82" s="25" t="s">
        <v>115</v>
      </c>
      <c r="B82" s="18"/>
      <c r="C82" s="18"/>
      <c r="D82" s="50">
        <f t="shared" ref="D82" si="29">D12</f>
        <v>1</v>
      </c>
      <c r="E82" s="24"/>
      <c r="F82" s="18"/>
      <c r="G82" s="18"/>
      <c r="H82" s="18"/>
    </row>
    <row r="83" spans="1:8" x14ac:dyDescent="0.25">
      <c r="A83" s="25" t="s">
        <v>106</v>
      </c>
      <c r="B83" s="18"/>
      <c r="C83" s="18"/>
      <c r="D83" s="51">
        <f t="shared" ref="D83" si="30">D19</f>
        <v>0.74070000000000003</v>
      </c>
      <c r="E83" s="24"/>
      <c r="F83" s="18"/>
      <c r="G83" s="18"/>
      <c r="H83" s="18"/>
    </row>
    <row r="84" spans="1:8" x14ac:dyDescent="0.25">
      <c r="A84" s="31" t="s">
        <v>113</v>
      </c>
      <c r="B84" s="18" t="s">
        <v>107</v>
      </c>
      <c r="C84" s="18"/>
      <c r="D84" s="51"/>
      <c r="E84" s="24"/>
      <c r="F84" s="18"/>
      <c r="G84" s="18"/>
      <c r="H84" s="18"/>
    </row>
    <row r="85" spans="1:8" x14ac:dyDescent="0.25">
      <c r="A85" s="25" t="s">
        <v>118</v>
      </c>
      <c r="B85" s="18" t="s">
        <v>108</v>
      </c>
      <c r="C85" s="18"/>
      <c r="D85" s="43">
        <f t="shared" ref="D85" si="31">(D11*D17/1000000)</f>
        <v>553.5</v>
      </c>
      <c r="E85" s="24"/>
      <c r="F85" s="18"/>
      <c r="G85" s="18"/>
      <c r="H85" s="18"/>
    </row>
    <row r="86" spans="1:8" x14ac:dyDescent="0.25">
      <c r="A86" s="32" t="s">
        <v>119</v>
      </c>
      <c r="B86" s="18"/>
      <c r="C86" s="18"/>
      <c r="D86" s="48">
        <f t="shared" ref="D86" si="32">D11</f>
        <v>0.13500000000000001</v>
      </c>
      <c r="E86" s="24"/>
      <c r="F86" s="18"/>
      <c r="G86" s="18"/>
      <c r="H86" s="18"/>
    </row>
    <row r="87" spans="1:8" x14ac:dyDescent="0.25">
      <c r="A87" s="25" t="s">
        <v>120</v>
      </c>
      <c r="B87" s="18"/>
      <c r="C87" s="18"/>
      <c r="D87" s="43">
        <f t="shared" ref="D87" si="33">D85*(8760/2000)*D82</f>
        <v>2424.33</v>
      </c>
      <c r="E87" s="24"/>
      <c r="F87" s="18"/>
      <c r="G87" s="18"/>
      <c r="H87" s="18"/>
    </row>
    <row r="88" spans="1:8" x14ac:dyDescent="0.25">
      <c r="A88" s="33" t="s">
        <v>114</v>
      </c>
      <c r="B88" s="18"/>
      <c r="C88" s="18"/>
      <c r="D88" s="14"/>
      <c r="E88" s="24"/>
      <c r="F88" s="18"/>
      <c r="G88" s="18"/>
      <c r="H88" s="18"/>
    </row>
    <row r="89" spans="1:8" x14ac:dyDescent="0.25">
      <c r="A89" s="25" t="s">
        <v>118</v>
      </c>
      <c r="B89" s="18"/>
      <c r="C89" s="18"/>
      <c r="D89" s="47">
        <f t="shared" ref="D89" si="34">D85*(1-D83)</f>
        <v>143.52255</v>
      </c>
      <c r="E89" s="24"/>
      <c r="F89" s="18"/>
      <c r="G89" s="18"/>
      <c r="H89" s="18"/>
    </row>
    <row r="90" spans="1:8" x14ac:dyDescent="0.25">
      <c r="A90" s="32" t="s">
        <v>119</v>
      </c>
      <c r="B90" s="18" t="s">
        <v>110</v>
      </c>
      <c r="C90" s="18"/>
      <c r="D90" s="54">
        <f>D86*(1-D83)</f>
        <v>3.5005500000000002E-2</v>
      </c>
      <c r="E90" s="24" t="s">
        <v>144</v>
      </c>
      <c r="F90" s="18"/>
      <c r="G90" s="18"/>
      <c r="H90" s="18"/>
    </row>
    <row r="91" spans="1:8" x14ac:dyDescent="0.25">
      <c r="A91" s="25" t="s">
        <v>120</v>
      </c>
      <c r="B91" s="18"/>
      <c r="C91" s="18"/>
      <c r="D91" s="43">
        <f>D89*(8760/2000)*D82</f>
        <v>628.62876899999992</v>
      </c>
      <c r="E91" s="24"/>
      <c r="F91" s="18"/>
      <c r="G91" s="18"/>
      <c r="H91" s="18"/>
    </row>
    <row r="92" spans="1:8" x14ac:dyDescent="0.25">
      <c r="A92" s="25"/>
      <c r="B92" s="18"/>
      <c r="C92" s="18"/>
      <c r="D92" s="14"/>
      <c r="E92" s="24"/>
      <c r="F92" s="18"/>
      <c r="G92" s="18"/>
      <c r="H92" s="18"/>
    </row>
    <row r="93" spans="1:8" x14ac:dyDescent="0.25">
      <c r="A93" s="57" t="s">
        <v>116</v>
      </c>
      <c r="B93" s="58"/>
      <c r="C93" s="58"/>
      <c r="D93" s="59">
        <f t="shared" ref="D93" si="35">D87*D83</f>
        <v>1795.701231</v>
      </c>
      <c r="E93" s="24"/>
      <c r="F93" s="18"/>
      <c r="G93" s="18"/>
      <c r="H93" s="18"/>
    </row>
    <row r="94" spans="1:8" x14ac:dyDescent="0.25">
      <c r="A94" s="60"/>
      <c r="B94" s="58"/>
      <c r="C94" s="58"/>
      <c r="D94" s="61"/>
      <c r="E94" s="24"/>
      <c r="F94" s="18"/>
      <c r="G94" s="18"/>
      <c r="H94" s="18"/>
    </row>
    <row r="95" spans="1:8" x14ac:dyDescent="0.25">
      <c r="A95" s="57" t="s">
        <v>109</v>
      </c>
      <c r="B95" s="58"/>
      <c r="C95" s="58"/>
      <c r="D95" s="62">
        <f>D54*D79+(D65*D9*1000)+D75*D9*8760*D82</f>
        <v>12294410.063335221</v>
      </c>
      <c r="E95" s="24"/>
      <c r="F95" s="18"/>
      <c r="G95" s="18"/>
      <c r="H95" s="18"/>
    </row>
    <row r="96" spans="1:8" ht="15.75" thickBot="1" x14ac:dyDescent="0.3">
      <c r="A96" s="34" t="s">
        <v>117</v>
      </c>
      <c r="B96" s="35"/>
      <c r="C96" s="35"/>
      <c r="D96" s="56">
        <f t="shared" ref="D96" si="36">D95/D93</f>
        <v>6846.5788467988314</v>
      </c>
      <c r="E96" s="36"/>
      <c r="F96" s="18"/>
      <c r="G96" s="18"/>
      <c r="H96" s="18"/>
    </row>
  </sheetData>
  <hyperlinks>
    <hyperlink ref="I25" r:id="rId1" location="documentation" display="http://www.epa.gov/airmarkets/progsregs/epa-ipm/BaseCasev410.html - documentation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NOx - SCR-More 95th</vt:lpstr>
      <vt:lpstr>NOx - SCR-More 50th</vt:lpstr>
      <vt:lpstr>NOx - SCR-Less 95th</vt:lpstr>
      <vt:lpstr>NOx - SCR-Less 50th</vt:lpstr>
    </vt:vector>
  </TitlesOfParts>
  <Company>EES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Rui_2</dc:creator>
  <cp:lastModifiedBy>Josh Berman</cp:lastModifiedBy>
  <cp:lastPrinted>2012-03-23T18:09:01Z</cp:lastPrinted>
  <dcterms:created xsi:type="dcterms:W3CDTF">2012-03-06T17:30:52Z</dcterms:created>
  <dcterms:modified xsi:type="dcterms:W3CDTF">2015-11-05T02:34:52Z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" linkTarget="prop_tax">
    <vt:lpwstr>#REF!</vt:lpwstr>
  </property>
</Properties>
</file>