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ttainment Planning\Ozone\2008 Ozone Standard\SWCT-NY Attainment SIP\"/>
    </mc:Choice>
  </mc:AlternateContent>
  <bookViews>
    <workbookView xWindow="0" yWindow="0" windowWidth="8670" windowHeight="6615" activeTab="2"/>
  </bookViews>
  <sheets>
    <sheet name="SW CT VOCPIE " sheetId="5" r:id="rId1"/>
    <sheet name="SW CT NOX PIE" sheetId="4" r:id="rId2"/>
    <sheet name="summary" sheetId="1" r:id="rId3"/>
    <sheet name="Growth and Control Notes 11-17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41" i="1"/>
  <c r="I42" i="1"/>
  <c r="I44" i="1"/>
  <c r="I40" i="1"/>
  <c r="H41" i="1"/>
  <c r="H42" i="1"/>
  <c r="H43" i="1"/>
  <c r="H44" i="1"/>
  <c r="H40" i="1"/>
  <c r="D25" i="1" l="1"/>
  <c r="G28" i="1" l="1"/>
  <c r="G43" i="1"/>
  <c r="E42" i="1"/>
  <c r="D27" i="1" l="1"/>
  <c r="E27" i="1"/>
  <c r="G44" i="1" l="1"/>
  <c r="E44" i="1"/>
  <c r="E30" i="1"/>
  <c r="G30" i="1"/>
  <c r="F30" i="1"/>
  <c r="G32" i="1"/>
  <c r="F32" i="1"/>
  <c r="D32" i="1"/>
  <c r="E32" i="1"/>
  <c r="Z7" i="1" l="1"/>
  <c r="F43" i="1" l="1"/>
  <c r="G42" i="1"/>
  <c r="R17" i="1" l="1"/>
  <c r="AL19" i="1"/>
  <c r="E18" i="1"/>
  <c r="D36" i="1" l="1"/>
  <c r="D41" i="1"/>
  <c r="N6" i="1"/>
  <c r="N5" i="1"/>
  <c r="E12" i="1" l="1"/>
  <c r="E38" i="1" l="1"/>
  <c r="F44" i="1" l="1"/>
  <c r="D44" i="1"/>
  <c r="E41" i="1"/>
  <c r="G41" i="1"/>
  <c r="G38" i="1"/>
  <c r="F38" i="1"/>
  <c r="G37" i="1"/>
  <c r="F37" i="1"/>
  <c r="D38" i="1"/>
  <c r="D37" i="1"/>
  <c r="E37" i="1"/>
  <c r="G36" i="1"/>
  <c r="E36" i="1"/>
  <c r="G35" i="1"/>
  <c r="F35" i="1"/>
  <c r="G33" i="1"/>
  <c r="F33" i="1"/>
  <c r="E33" i="1"/>
  <c r="D33" i="1"/>
  <c r="G31" i="1"/>
  <c r="E31" i="1"/>
  <c r="D31" i="1"/>
  <c r="Z6" i="1" l="1"/>
  <c r="L19" i="1" l="1"/>
  <c r="L18" i="1"/>
  <c r="L17" i="1"/>
  <c r="AK18" i="1"/>
  <c r="AK17" i="1"/>
  <c r="D35" i="1" l="1"/>
  <c r="AJ19" i="1"/>
  <c r="D30" i="1"/>
  <c r="F28" i="1" l="1"/>
  <c r="G27" i="1"/>
  <c r="F27" i="1"/>
  <c r="F42" i="1" s="1"/>
  <c r="D42" i="1"/>
  <c r="E28" i="1"/>
  <c r="E43" i="1" s="1"/>
  <c r="D28" i="1"/>
  <c r="D43" i="1" s="1"/>
  <c r="G26" i="1" l="1"/>
  <c r="E26" i="1"/>
  <c r="D26" i="1"/>
  <c r="F14" i="1"/>
  <c r="F13" i="1"/>
  <c r="F12" i="1"/>
  <c r="E14" i="1"/>
  <c r="E13" i="1"/>
  <c r="H19" i="1"/>
  <c r="G19" i="1"/>
  <c r="H18" i="1"/>
  <c r="G18" i="1"/>
  <c r="H17" i="1"/>
  <c r="G17" i="1"/>
  <c r="P19" i="1" l="1"/>
  <c r="P18" i="1"/>
  <c r="P17" i="1"/>
  <c r="J19" i="1"/>
  <c r="I19" i="1"/>
  <c r="J18" i="1"/>
  <c r="I18" i="1"/>
  <c r="J17" i="1"/>
  <c r="I17" i="1"/>
  <c r="F19" i="1" l="1"/>
  <c r="E19" i="1"/>
  <c r="F18" i="1"/>
  <c r="F17" i="1"/>
  <c r="E17" i="1"/>
  <c r="P14" i="1" l="1"/>
  <c r="P13" i="1"/>
  <c r="P12" i="1"/>
  <c r="M12" i="1"/>
  <c r="N12" i="1"/>
  <c r="M13" i="1"/>
  <c r="N13" i="1"/>
  <c r="F31" i="1" s="1"/>
  <c r="M14" i="1"/>
  <c r="N14" i="1"/>
  <c r="P7" i="1" l="1"/>
  <c r="P6" i="1"/>
  <c r="P5" i="1"/>
  <c r="N7" i="1" l="1"/>
  <c r="R18" i="1"/>
  <c r="R19" i="1"/>
  <c r="Q18" i="1" l="1"/>
  <c r="Q19" i="1"/>
  <c r="Q17" i="1"/>
  <c r="AC17" i="1" l="1"/>
  <c r="AC18" i="1"/>
  <c r="AD18" i="1"/>
  <c r="AD17" i="1"/>
  <c r="U14" i="1" l="1"/>
  <c r="V14" i="1"/>
  <c r="U13" i="1"/>
  <c r="V13" i="1"/>
  <c r="U12" i="1"/>
  <c r="V12" i="1"/>
  <c r="AA12" i="1" l="1"/>
  <c r="AB12" i="1"/>
  <c r="AA13" i="1"/>
  <c r="AB13" i="1"/>
  <c r="AA14" i="1"/>
  <c r="AB14" i="1"/>
  <c r="T14" i="1"/>
  <c r="T13" i="1"/>
  <c r="Z12" i="1" l="1"/>
  <c r="Z13" i="1"/>
  <c r="Z14" i="1"/>
  <c r="F36" i="1" s="1"/>
  <c r="Y7" i="1"/>
  <c r="Y13" i="1"/>
  <c r="Y14" i="1"/>
  <c r="Y12" i="1"/>
  <c r="Y6" i="1"/>
  <c r="Z5" i="1"/>
  <c r="Y5" i="1"/>
  <c r="AF5" i="1" l="1"/>
  <c r="AF12" i="1"/>
  <c r="AE12" i="1"/>
  <c r="K13" i="1" l="1"/>
  <c r="K14" i="1"/>
  <c r="K12" i="1"/>
  <c r="AH17" i="1" l="1"/>
  <c r="AH18" i="1"/>
  <c r="AH19" i="1"/>
  <c r="AH14" i="1"/>
  <c r="AH13" i="1"/>
  <c r="AH12" i="1"/>
  <c r="AG12" i="1" l="1"/>
  <c r="AG14" i="1" l="1"/>
  <c r="AG19" i="1" s="1"/>
  <c r="AG18" i="1"/>
  <c r="AG17" i="1"/>
  <c r="AJ13" i="1" l="1"/>
  <c r="AI13" i="1"/>
  <c r="AI19" i="1" l="1"/>
  <c r="D40" i="1"/>
  <c r="D45" i="1" s="1"/>
  <c r="E25" i="1" l="1"/>
  <c r="E35" i="1"/>
  <c r="AI12" i="1"/>
  <c r="AJ12" i="1"/>
  <c r="E40" i="1" l="1"/>
  <c r="E45" i="1" s="1"/>
  <c r="AJ17" i="1"/>
  <c r="AI17" i="1"/>
  <c r="G25" i="1" l="1"/>
  <c r="G40" i="1" l="1"/>
  <c r="AL17" i="1"/>
  <c r="F25" i="1"/>
  <c r="AL18" i="1"/>
  <c r="AK19" i="1"/>
  <c r="F40" i="1" l="1"/>
  <c r="G45" i="1"/>
  <c r="F26" i="1" l="1"/>
  <c r="T12" i="1"/>
  <c r="F41" i="1" l="1"/>
  <c r="F45" i="1" l="1"/>
</calcChain>
</file>

<file path=xl/sharedStrings.xml><?xml version="1.0" encoding="utf-8"?>
<sst xmlns="http://schemas.openxmlformats.org/spreadsheetml/2006/main" count="170" uniqueCount="53">
  <si>
    <t>VOC</t>
  </si>
  <si>
    <t>Nox</t>
  </si>
  <si>
    <t>Fairfield</t>
  </si>
  <si>
    <t>Middlesex</t>
  </si>
  <si>
    <t>New Haven</t>
  </si>
  <si>
    <t>Airport</t>
  </si>
  <si>
    <t>EGU</t>
  </si>
  <si>
    <t>2012 added Four new EGU units New Haven Harbor 2 and 3 and Kleen 1 and 2</t>
  </si>
  <si>
    <t xml:space="preserve">EGUs- </t>
  </si>
  <si>
    <t xml:space="preserve">With Respect to Fairfield, Middlesex and New Haven </t>
  </si>
  <si>
    <t>Norwalk 1,2 and 10 retired 2013</t>
  </si>
  <si>
    <t>Bridgeport Harbor Unit 2 retired 2013</t>
  </si>
  <si>
    <t>Growth AEO 2015 ESD 2015 GRs</t>
  </si>
  <si>
    <t>Non-EGU Point</t>
  </si>
  <si>
    <t>MWC</t>
  </si>
  <si>
    <t>NOX</t>
  </si>
  <si>
    <t>Stationary Point</t>
  </si>
  <si>
    <t>Airport*</t>
  </si>
  <si>
    <t>2011 Base (PEI) Values</t>
  </si>
  <si>
    <t>2017 Projected Summer Day Emissions</t>
  </si>
  <si>
    <t>EGU*</t>
  </si>
  <si>
    <t>Covanta Wallingford Closed-- 2015</t>
  </si>
  <si>
    <t>Sector % Change</t>
  </si>
  <si>
    <t xml:space="preserve">Two revisions to PEI are included Kleen and Middletown revised there 2011 emissions statements these corrected emissions are reflected here. </t>
  </si>
  <si>
    <t xml:space="preserve"> </t>
  </si>
  <si>
    <t>NON ERTAC IPM</t>
  </si>
  <si>
    <t>RWC</t>
  </si>
  <si>
    <t>Ag</t>
  </si>
  <si>
    <t>Non Point</t>
  </si>
  <si>
    <t>Np Refueling</t>
  </si>
  <si>
    <t>Refueling Point</t>
  </si>
  <si>
    <t>PFC</t>
  </si>
  <si>
    <t>Oil and Gas</t>
  </si>
  <si>
    <t>Nonpoint</t>
  </si>
  <si>
    <t>Stage II Gas Stations</t>
  </si>
  <si>
    <t>Municipal Landfills</t>
  </si>
  <si>
    <t>OnRoad</t>
  </si>
  <si>
    <t>Non Road</t>
  </si>
  <si>
    <t>C1C2and Rail</t>
  </si>
  <si>
    <t>C3 Marine</t>
  </si>
  <si>
    <t>County Totals for PEI Compare</t>
  </si>
  <si>
    <t>Stationary Area</t>
  </si>
  <si>
    <t>Off-Highway Mobile</t>
  </si>
  <si>
    <t>Highway</t>
  </si>
  <si>
    <t>Offsets</t>
  </si>
  <si>
    <t>NAA Total</t>
  </si>
  <si>
    <t>Total</t>
  </si>
  <si>
    <t>Sector Change-Growth and Control applied in each sectors worksheet</t>
  </si>
  <si>
    <t>Mobile</t>
  </si>
  <si>
    <t>Non-Road</t>
  </si>
  <si>
    <t>On-Road</t>
  </si>
  <si>
    <t>Kleen revisions increased NOX emissions by +59 lbs/day</t>
  </si>
  <si>
    <t xml:space="preserve">   Middletown revisions decreased NOX emissions for the turbines  -1,235 lbs/day and increased VOC Emissions +55lbs/day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</si>
</sst>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%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9" fontId="0" fillId="0" borderId="1" xfId="1" applyFont="1" applyBorder="1"/>
    <xf numFmtId="10" fontId="0" fillId="0" borderId="2" xfId="1" applyNumberFormat="1" applyFont="1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10" xfId="1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0" fillId="0" borderId="0" xfId="0" applyAlignment="1">
      <alignment horizontal="left" indent="1"/>
    </xf>
    <xf numFmtId="2" fontId="0" fillId="0" borderId="1" xfId="0" applyNumberFormat="1" applyBorder="1"/>
    <xf numFmtId="2" fontId="0" fillId="0" borderId="2" xfId="0" applyNumberFormat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0" fillId="0" borderId="13" xfId="0" applyNumberFormat="1" applyBorder="1"/>
    <xf numFmtId="2" fontId="0" fillId="0" borderId="0" xfId="0" applyNumberFormat="1" applyBorder="1"/>
    <xf numFmtId="2" fontId="0" fillId="0" borderId="15" xfId="0" applyNumberFormat="1" applyBorder="1"/>
    <xf numFmtId="10" fontId="0" fillId="0" borderId="1" xfId="1" applyNumberFormat="1" applyFont="1" applyBorder="1"/>
    <xf numFmtId="10" fontId="0" fillId="0" borderId="10" xfId="1" applyNumberFormat="1" applyFont="1" applyBorder="1"/>
    <xf numFmtId="2" fontId="0" fillId="0" borderId="8" xfId="0" applyNumberFormat="1" applyBorder="1"/>
    <xf numFmtId="2" fontId="0" fillId="0" borderId="12" xfId="0" applyNumberFormat="1" applyBorder="1"/>
    <xf numFmtId="10" fontId="0" fillId="0" borderId="5" xfId="1" applyNumberFormat="1" applyFont="1" applyBorder="1"/>
    <xf numFmtId="9" fontId="0" fillId="0" borderId="4" xfId="1" applyFont="1" applyBorder="1"/>
    <xf numFmtId="10" fontId="0" fillId="0" borderId="4" xfId="1" applyNumberFormat="1" applyFont="1" applyBorder="1"/>
    <xf numFmtId="10" fontId="0" fillId="0" borderId="15" xfId="1" applyNumberFormat="1" applyFont="1" applyBorder="1"/>
    <xf numFmtId="0" fontId="2" fillId="2" borderId="13" xfId="0" applyFont="1" applyFill="1" applyBorder="1"/>
    <xf numFmtId="10" fontId="0" fillId="0" borderId="13" xfId="1" applyNumberFormat="1" applyFont="1" applyBorder="1"/>
    <xf numFmtId="10" fontId="0" fillId="0" borderId="0" xfId="1" applyNumberFormat="1" applyFont="1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17" xfId="0" applyNumberFormat="1" applyBorder="1"/>
    <xf numFmtId="2" fontId="0" fillId="0" borderId="0" xfId="0" applyNumberFormat="1"/>
    <xf numFmtId="164" fontId="0" fillId="0" borderId="0" xfId="0" applyNumberFormat="1" applyBorder="1"/>
    <xf numFmtId="164" fontId="0" fillId="0" borderId="5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4" fontId="0" fillId="0" borderId="15" xfId="0" applyNumberFormat="1" applyBorder="1"/>
    <xf numFmtId="164" fontId="0" fillId="0" borderId="2" xfId="0" applyNumberFormat="1" applyBorder="1"/>
    <xf numFmtId="164" fontId="0" fillId="0" borderId="11" xfId="0" applyNumberFormat="1" applyBorder="1"/>
    <xf numFmtId="0" fontId="0" fillId="0" borderId="16" xfId="0" applyBorder="1"/>
    <xf numFmtId="10" fontId="0" fillId="0" borderId="11" xfId="1" applyNumberFormat="1" applyFont="1" applyBorder="1"/>
    <xf numFmtId="164" fontId="0" fillId="0" borderId="13" xfId="0" applyNumberFormat="1" applyBorder="1"/>
    <xf numFmtId="164" fontId="0" fillId="0" borderId="6" xfId="0" applyNumberFormat="1" applyBorder="1"/>
    <xf numFmtId="2" fontId="0" fillId="0" borderId="7" xfId="0" applyNumberFormat="1" applyBorder="1"/>
    <xf numFmtId="164" fontId="0" fillId="0" borderId="14" xfId="0" applyNumberFormat="1" applyBorder="1"/>
    <xf numFmtId="2" fontId="0" fillId="0" borderId="9" xfId="0" applyNumberFormat="1" applyBorder="1"/>
    <xf numFmtId="164" fontId="0" fillId="0" borderId="16" xfId="0" applyNumberFormat="1" applyBorder="1"/>
    <xf numFmtId="10" fontId="0" fillId="0" borderId="3" xfId="1" applyNumberFormat="1" applyFont="1" applyBorder="1"/>
    <xf numFmtId="10" fontId="0" fillId="0" borderId="7" xfId="1" applyNumberFormat="1" applyFont="1" applyBorder="1"/>
    <xf numFmtId="10" fontId="0" fillId="0" borderId="9" xfId="1" applyNumberFormat="1" applyFont="1" applyBorder="1"/>
    <xf numFmtId="164" fontId="0" fillId="0" borderId="1" xfId="0" applyNumberFormat="1" applyBorder="1"/>
    <xf numFmtId="164" fontId="0" fillId="0" borderId="10" xfId="0" applyNumberFormat="1" applyBorder="1"/>
    <xf numFmtId="0" fontId="0" fillId="0" borderId="14" xfId="0" applyBorder="1"/>
    <xf numFmtId="164" fontId="0" fillId="0" borderId="4" xfId="0" applyNumberFormat="1" applyBorder="1"/>
    <xf numFmtId="0" fontId="2" fillId="2" borderId="21" xfId="0" applyFont="1" applyFill="1" applyBorder="1"/>
    <xf numFmtId="10" fontId="0" fillId="0" borderId="6" xfId="1" applyNumberFormat="1" applyFont="1" applyBorder="1"/>
    <xf numFmtId="10" fontId="0" fillId="0" borderId="14" xfId="1" applyNumberFormat="1" applyFont="1" applyBorder="1"/>
    <xf numFmtId="10" fontId="0" fillId="0" borderId="16" xfId="1" applyNumberFormat="1" applyFont="1" applyBorder="1"/>
    <xf numFmtId="0" fontId="0" fillId="0" borderId="9" xfId="0" applyFill="1" applyBorder="1"/>
    <xf numFmtId="0" fontId="0" fillId="0" borderId="16" xfId="0" applyFill="1" applyBorder="1"/>
    <xf numFmtId="0" fontId="0" fillId="0" borderId="15" xfId="0" applyFill="1" applyBorder="1"/>
    <xf numFmtId="2" fontId="0" fillId="0" borderId="16" xfId="0" applyNumberFormat="1" applyBorder="1"/>
    <xf numFmtId="0" fontId="0" fillId="0" borderId="6" xfId="0" applyBorder="1"/>
    <xf numFmtId="0" fontId="0" fillId="0" borderId="0" xfId="0" applyFill="1" applyBorder="1"/>
    <xf numFmtId="10" fontId="0" fillId="0" borderId="3" xfId="0" applyNumberFormat="1" applyBorder="1"/>
    <xf numFmtId="10" fontId="0" fillId="0" borderId="7" xfId="0" applyNumberFormat="1" applyBorder="1"/>
    <xf numFmtId="10" fontId="0" fillId="0" borderId="9" xfId="0" applyNumberFormat="1" applyBorder="1"/>
    <xf numFmtId="2" fontId="0" fillId="0" borderId="22" xfId="0" applyNumberFormat="1" applyBorder="1"/>
    <xf numFmtId="2" fontId="0" fillId="0" borderId="6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164" fontId="0" fillId="0" borderId="0" xfId="0" applyNumberFormat="1"/>
    <xf numFmtId="167" fontId="0" fillId="0" borderId="13" xfId="0" applyNumberFormat="1" applyBorder="1"/>
    <xf numFmtId="167" fontId="0" fillId="0" borderId="0" xfId="0" applyNumberFormat="1" applyBorder="1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9" fontId="0" fillId="0" borderId="0" xfId="1" applyFont="1" applyBorder="1"/>
    <xf numFmtId="0" fontId="3" fillId="0" borderId="0" xfId="0" applyFont="1" applyBorder="1"/>
    <xf numFmtId="166" fontId="0" fillId="0" borderId="0" xfId="1" applyNumberFormat="1" applyFont="1" applyBorder="1"/>
    <xf numFmtId="166" fontId="3" fillId="0" borderId="0" xfId="1" applyNumberFormat="1" applyFont="1" applyBorder="1"/>
    <xf numFmtId="167" fontId="0" fillId="0" borderId="6" xfId="0" applyNumberFormat="1" applyBorder="1"/>
    <xf numFmtId="167" fontId="0" fillId="0" borderId="14" xfId="0" applyNumberFormat="1" applyBorder="1"/>
    <xf numFmtId="0" fontId="3" fillId="0" borderId="9" xfId="0" applyFont="1" applyBorder="1"/>
    <xf numFmtId="2" fontId="3" fillId="0" borderId="15" xfId="0" applyNumberFormat="1" applyFont="1" applyBorder="1"/>
    <xf numFmtId="2" fontId="3" fillId="0" borderId="16" xfId="0" applyNumberFormat="1" applyFont="1" applyBorder="1"/>
    <xf numFmtId="0" fontId="3" fillId="0" borderId="16" xfId="0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0" xfId="1" applyNumberFormat="1" applyFont="1" applyBorder="1"/>
  </cellXfs>
  <cellStyles count="2">
    <cellStyle name="Normal" xfId="0" builtinId="0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Southwest</a:t>
            </a:r>
            <a:r>
              <a:rPr lang="en-US" baseline="0"/>
              <a:t> CT 2011 Base Year Anthropogenic VOC Emission Inventory</a:t>
            </a:r>
          </a:p>
          <a:p>
            <a:pPr>
              <a:defRPr/>
            </a:pPr>
            <a:r>
              <a:rPr lang="en-US" baseline="0"/>
              <a:t>(Southwest CT Total= 115.59 tons/ozone day)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explosion val="7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summary!$C$40:$C$44</c:f>
              <c:strCache>
                <c:ptCount val="5"/>
                <c:pt idx="0">
                  <c:v>Stationary Point</c:v>
                </c:pt>
                <c:pt idx="1">
                  <c:v>Stationary Area</c:v>
                </c:pt>
                <c:pt idx="2">
                  <c:v>Non-Road</c:v>
                </c:pt>
                <c:pt idx="3">
                  <c:v>On-Road</c:v>
                </c:pt>
                <c:pt idx="4">
                  <c:v>Offsets</c:v>
                </c:pt>
              </c:strCache>
            </c:strRef>
          </c:cat>
          <c:val>
            <c:numRef>
              <c:f>summary!$D$40:$D$44</c:f>
              <c:numCache>
                <c:formatCode>0.00</c:formatCode>
                <c:ptCount val="5"/>
                <c:pt idx="0">
                  <c:v>1.9912831160000002</c:v>
                </c:pt>
                <c:pt idx="1">
                  <c:v>52.862089999999995</c:v>
                </c:pt>
                <c:pt idx="2">
                  <c:v>29.666187999999998</c:v>
                </c:pt>
                <c:pt idx="3">
                  <c:v>31.07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Southwest</a:t>
            </a:r>
            <a:r>
              <a:rPr lang="en-US" baseline="0"/>
              <a:t> CT 2011 Base Year Anthropogenic NOx Emission Inventory</a:t>
            </a:r>
          </a:p>
          <a:p>
            <a:pPr>
              <a:defRPr/>
            </a:pPr>
            <a:r>
              <a:rPr lang="en-US" baseline="0"/>
              <a:t>(Southwest CT Total= 115.1 tons/ozone day)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explosion val="3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0.10367279063716237"/>
                  <c:y val="0.115844218909492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196437864351793"/>
                  <c:y val="-0.163653978480199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794892431447885"/>
                  <c:y val="8.0366674945923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summary!$C$40:$C$44</c:f>
              <c:strCache>
                <c:ptCount val="5"/>
                <c:pt idx="0">
                  <c:v>Stationary Point</c:v>
                </c:pt>
                <c:pt idx="1">
                  <c:v>Stationary Area</c:v>
                </c:pt>
                <c:pt idx="2">
                  <c:v>Non-Road</c:v>
                </c:pt>
                <c:pt idx="3">
                  <c:v>On-Road</c:v>
                </c:pt>
                <c:pt idx="4">
                  <c:v>Offsets</c:v>
                </c:pt>
              </c:strCache>
            </c:strRef>
          </c:cat>
          <c:val>
            <c:numRef>
              <c:f>summary!$E$40:$E$44</c:f>
              <c:numCache>
                <c:formatCode>0.00</c:formatCode>
                <c:ptCount val="5"/>
                <c:pt idx="0">
                  <c:v>17.949973</c:v>
                </c:pt>
                <c:pt idx="1">
                  <c:v>6.86965</c:v>
                </c:pt>
                <c:pt idx="2">
                  <c:v>32.211412000000003</c:v>
                </c:pt>
                <c:pt idx="3">
                  <c:v>55.79</c:v>
                </c:pt>
                <c:pt idx="4">
                  <c:v>2.2999999999999998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2537182852144"/>
          <c:y val="5.0925925925925923E-2"/>
          <c:w val="0.8624190726159231"/>
          <c:h val="0.73577136191309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summary!$C$40</c:f>
              <c:strCache>
                <c:ptCount val="1"/>
                <c:pt idx="0">
                  <c:v>Stationary Point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(summary!$D$40,summary!$F$40)</c:f>
              <c:numCache>
                <c:formatCode>0.00</c:formatCode>
                <c:ptCount val="2"/>
                <c:pt idx="0">
                  <c:v>1.9912831160000002</c:v>
                </c:pt>
                <c:pt idx="1">
                  <c:v>1.9641517534296</c:v>
                </c:pt>
              </c:numCache>
            </c:numRef>
          </c:val>
        </c:ser>
        <c:ser>
          <c:idx val="1"/>
          <c:order val="1"/>
          <c:tx>
            <c:strRef>
              <c:f>summary!$C$41</c:f>
              <c:strCache>
                <c:ptCount val="1"/>
                <c:pt idx="0">
                  <c:v>Stationary Area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(summary!$D$41,summary!$F$41)</c:f>
              <c:numCache>
                <c:formatCode>0.00</c:formatCode>
                <c:ptCount val="2"/>
                <c:pt idx="0">
                  <c:v>52.862089999999995</c:v>
                </c:pt>
                <c:pt idx="1">
                  <c:v>51.781604702999999</c:v>
                </c:pt>
              </c:numCache>
            </c:numRef>
          </c:val>
        </c:ser>
        <c:ser>
          <c:idx val="2"/>
          <c:order val="2"/>
          <c:tx>
            <c:strRef>
              <c:f>summary!$C$42</c:f>
              <c:strCache>
                <c:ptCount val="1"/>
                <c:pt idx="0">
                  <c:v>Non-Road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(summary!$D$42,summary!$F$42)</c:f>
              <c:numCache>
                <c:formatCode>0.00</c:formatCode>
                <c:ptCount val="2"/>
                <c:pt idx="0">
                  <c:v>29.666187999999998</c:v>
                </c:pt>
                <c:pt idx="1">
                  <c:v>20.9937232411</c:v>
                </c:pt>
              </c:numCache>
            </c:numRef>
          </c:val>
        </c:ser>
        <c:ser>
          <c:idx val="3"/>
          <c:order val="3"/>
          <c:tx>
            <c:strRef>
              <c:f>summary!$C$43</c:f>
              <c:strCache>
                <c:ptCount val="1"/>
                <c:pt idx="0">
                  <c:v>On-Road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(summary!$D$43,summary!$F$43)</c:f>
              <c:numCache>
                <c:formatCode>0.00</c:formatCode>
                <c:ptCount val="2"/>
                <c:pt idx="0">
                  <c:v>31.07</c:v>
                </c:pt>
                <c:pt idx="1">
                  <c:v>17.552261999999999</c:v>
                </c:pt>
              </c:numCache>
            </c:numRef>
          </c:val>
        </c:ser>
        <c:ser>
          <c:idx val="4"/>
          <c:order val="4"/>
          <c:tx>
            <c:strRef>
              <c:f>summary!$C$44</c:f>
              <c:strCache>
                <c:ptCount val="1"/>
                <c:pt idx="0">
                  <c:v>Offsets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(summary!$D$44,summary!$F$44)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296776"/>
        <c:axId val="29812760"/>
      </c:barChart>
      <c:catAx>
        <c:axId val="34029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12760"/>
        <c:crosses val="autoZero"/>
        <c:auto val="1"/>
        <c:lblAlgn val="ctr"/>
        <c:lblOffset val="100"/>
        <c:noMultiLvlLbl val="0"/>
      </c:catAx>
      <c:valAx>
        <c:axId val="29812760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Anthropogenic VOC </a:t>
                </a:r>
              </a:p>
              <a:p>
                <a:pPr>
                  <a:defRPr/>
                </a:pPr>
                <a:r>
                  <a:rPr lang="en-US"/>
                  <a:t>(tons/ ozone season 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29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2537182852144"/>
          <c:y val="5.0925925925925923E-2"/>
          <c:w val="0.8624190726159231"/>
          <c:h val="0.73577136191309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summary!$C$40</c:f>
              <c:strCache>
                <c:ptCount val="1"/>
                <c:pt idx="0">
                  <c:v>Stationary Point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(summary!$E$40,summary!$G$40)</c:f>
              <c:numCache>
                <c:formatCode>0.00</c:formatCode>
                <c:ptCount val="2"/>
                <c:pt idx="0">
                  <c:v>17.949973</c:v>
                </c:pt>
                <c:pt idx="1">
                  <c:v>14.547329600000001</c:v>
                </c:pt>
              </c:numCache>
            </c:numRef>
          </c:val>
        </c:ser>
        <c:ser>
          <c:idx val="1"/>
          <c:order val="1"/>
          <c:tx>
            <c:strRef>
              <c:f>summary!$C$41</c:f>
              <c:strCache>
                <c:ptCount val="1"/>
                <c:pt idx="0">
                  <c:v>Stationary Area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(summary!$E$41,summary!$G$41)</c:f>
              <c:numCache>
                <c:formatCode>0.00</c:formatCode>
                <c:ptCount val="2"/>
                <c:pt idx="0">
                  <c:v>6.86965</c:v>
                </c:pt>
                <c:pt idx="1">
                  <c:v>6.3902502299999995</c:v>
                </c:pt>
              </c:numCache>
            </c:numRef>
          </c:val>
        </c:ser>
        <c:ser>
          <c:idx val="2"/>
          <c:order val="2"/>
          <c:tx>
            <c:strRef>
              <c:f>summary!$C$42</c:f>
              <c:strCache>
                <c:ptCount val="1"/>
                <c:pt idx="0">
                  <c:v>Non-Road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(summary!$E$42,summary!$G$42)</c:f>
              <c:numCache>
                <c:formatCode>0.00</c:formatCode>
                <c:ptCount val="2"/>
                <c:pt idx="0">
                  <c:v>32.211412000000003</c:v>
                </c:pt>
                <c:pt idx="1">
                  <c:v>23.524523000000002</c:v>
                </c:pt>
              </c:numCache>
            </c:numRef>
          </c:val>
        </c:ser>
        <c:ser>
          <c:idx val="3"/>
          <c:order val="3"/>
          <c:tx>
            <c:strRef>
              <c:f>summary!$C$43</c:f>
              <c:strCache>
                <c:ptCount val="1"/>
                <c:pt idx="0">
                  <c:v>On-Road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(summary!$E$43,summary!$G$43)</c:f>
              <c:numCache>
                <c:formatCode>0.00</c:formatCode>
                <c:ptCount val="2"/>
                <c:pt idx="0">
                  <c:v>55.79</c:v>
                </c:pt>
                <c:pt idx="1">
                  <c:v>24.63147</c:v>
                </c:pt>
              </c:numCache>
            </c:numRef>
          </c:val>
        </c:ser>
        <c:ser>
          <c:idx val="4"/>
          <c:order val="4"/>
          <c:tx>
            <c:strRef>
              <c:f>summary!$C$44</c:f>
              <c:strCache>
                <c:ptCount val="1"/>
                <c:pt idx="0">
                  <c:v>Offsets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(summary!$D$23,summary!$F$23)</c:f>
              <c:numCache>
                <c:formatCode>General</c:formatCode>
                <c:ptCount val="2"/>
                <c:pt idx="0">
                  <c:v>2011</c:v>
                </c:pt>
                <c:pt idx="1">
                  <c:v>2017</c:v>
                </c:pt>
              </c:numCache>
            </c:numRef>
          </c:cat>
          <c:val>
            <c:numRef>
              <c:f>(summary!$E$44,summary!$G$44)</c:f>
              <c:numCache>
                <c:formatCode>0.00</c:formatCode>
                <c:ptCount val="2"/>
                <c:pt idx="0">
                  <c:v>2.2999999999999998</c:v>
                </c:pt>
                <c:pt idx="1">
                  <c:v>2.238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775248"/>
        <c:axId val="188902624"/>
      </c:barChart>
      <c:catAx>
        <c:axId val="33977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02624"/>
        <c:crosses val="autoZero"/>
        <c:auto val="1"/>
        <c:lblAlgn val="ctr"/>
        <c:lblOffset val="100"/>
        <c:noMultiLvlLbl val="0"/>
      </c:catAx>
      <c:valAx>
        <c:axId val="18890262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Anthropogenic NOX</a:t>
                </a:r>
              </a:p>
              <a:p>
                <a:pPr>
                  <a:defRPr/>
                </a:pPr>
                <a:r>
                  <a:rPr lang="en-US"/>
                  <a:t>(tons/ ozone season 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7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811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811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61</xdr:row>
      <xdr:rowOff>185736</xdr:rowOff>
    </xdr:from>
    <xdr:to>
      <xdr:col>14</xdr:col>
      <xdr:colOff>504825</xdr:colOff>
      <xdr:row>80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62</xdr:row>
      <xdr:rowOff>19050</xdr:rowOff>
    </xdr:from>
    <xdr:to>
      <xdr:col>6</xdr:col>
      <xdr:colOff>28575</xdr:colOff>
      <xdr:row>80</xdr:row>
      <xdr:rowOff>119063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topLeftCell="A22" workbookViewId="0">
      <selection activeCell="I44" sqref="I44"/>
    </sheetView>
  </sheetViews>
  <sheetFormatPr defaultRowHeight="15" x14ac:dyDescent="0.25"/>
  <cols>
    <col min="1" max="1" width="17" customWidth="1"/>
    <col min="2" max="2" width="18.28515625" bestFit="1" customWidth="1"/>
    <col min="3" max="3" width="19.140625" style="2" bestFit="1" customWidth="1"/>
    <col min="4" max="4" width="11.28515625" style="2" customWidth="1"/>
    <col min="5" max="7" width="9.5703125" style="2" customWidth="1"/>
    <col min="8" max="8" width="12" style="2" bestFit="1" customWidth="1"/>
    <col min="9" max="10" width="9.140625" style="2"/>
    <col min="13" max="21" width="9.140625" style="2"/>
    <col min="22" max="22" width="9.85546875" style="2" bestFit="1" customWidth="1"/>
    <col min="23" max="32" width="9.140625" style="2"/>
    <col min="33" max="33" width="12.140625" bestFit="1" customWidth="1"/>
    <col min="34" max="34" width="9.5703125" bestFit="1" customWidth="1"/>
    <col min="35" max="36" width="9.140625" style="2"/>
  </cols>
  <sheetData>
    <row r="1" spans="1:40" ht="15.75" thickBot="1" x14ac:dyDescent="0.3"/>
    <row r="2" spans="1:40" ht="15.75" thickBot="1" x14ac:dyDescent="0.3">
      <c r="C2" s="100" t="s">
        <v>48</v>
      </c>
      <c r="D2" s="101"/>
      <c r="E2" s="101"/>
      <c r="F2" s="101"/>
      <c r="G2" s="101"/>
      <c r="H2" s="101"/>
      <c r="I2" s="101"/>
      <c r="J2" s="101"/>
      <c r="K2" s="101"/>
      <c r="L2" s="102"/>
      <c r="M2" s="100" t="s">
        <v>28</v>
      </c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  <c r="AA2" s="100" t="s">
        <v>16</v>
      </c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2"/>
    </row>
    <row r="3" spans="1:40" x14ac:dyDescent="0.25">
      <c r="A3" s="7"/>
      <c r="B3" s="17"/>
      <c r="C3" s="105" t="s">
        <v>37</v>
      </c>
      <c r="D3" s="106"/>
      <c r="E3" s="105" t="s">
        <v>36</v>
      </c>
      <c r="F3" s="106"/>
      <c r="G3" s="105" t="s">
        <v>39</v>
      </c>
      <c r="H3" s="106"/>
      <c r="I3" s="105" t="s">
        <v>38</v>
      </c>
      <c r="J3" s="106"/>
      <c r="K3" s="105" t="s">
        <v>17</v>
      </c>
      <c r="L3" s="106"/>
      <c r="M3" s="105" t="s">
        <v>34</v>
      </c>
      <c r="N3" s="106"/>
      <c r="O3" s="103" t="s">
        <v>35</v>
      </c>
      <c r="P3" s="106"/>
      <c r="Q3" s="105" t="s">
        <v>33</v>
      </c>
      <c r="R3" s="106"/>
      <c r="S3" s="105" t="s">
        <v>29</v>
      </c>
      <c r="T3" s="106"/>
      <c r="U3" s="105" t="s">
        <v>31</v>
      </c>
      <c r="V3" s="106"/>
      <c r="W3" s="105" t="s">
        <v>27</v>
      </c>
      <c r="X3" s="104"/>
      <c r="Y3" s="105" t="s">
        <v>26</v>
      </c>
      <c r="Z3" s="106"/>
      <c r="AA3" s="103" t="s">
        <v>30</v>
      </c>
      <c r="AB3" s="103"/>
      <c r="AC3" s="107" t="s">
        <v>32</v>
      </c>
      <c r="AD3" s="104"/>
      <c r="AE3" s="107" t="s">
        <v>25</v>
      </c>
      <c r="AF3" s="104"/>
      <c r="AG3" s="107" t="s">
        <v>20</v>
      </c>
      <c r="AH3" s="104"/>
      <c r="AI3" s="107" t="s">
        <v>14</v>
      </c>
      <c r="AJ3" s="104"/>
      <c r="AK3" s="107" t="s">
        <v>13</v>
      </c>
      <c r="AL3" s="106"/>
    </row>
    <row r="4" spans="1:40" ht="15.75" thickBot="1" x14ac:dyDescent="0.3">
      <c r="A4" s="8"/>
      <c r="B4" s="18"/>
      <c r="C4" s="72" t="s">
        <v>1</v>
      </c>
      <c r="D4" s="73" t="s">
        <v>0</v>
      </c>
      <c r="E4" s="72" t="s">
        <v>1</v>
      </c>
      <c r="F4" s="73" t="s">
        <v>0</v>
      </c>
      <c r="G4" s="9" t="s">
        <v>1</v>
      </c>
      <c r="H4" s="53" t="s">
        <v>0</v>
      </c>
      <c r="I4" s="9" t="s">
        <v>0</v>
      </c>
      <c r="J4" s="53" t="s">
        <v>1</v>
      </c>
      <c r="K4" s="9" t="s">
        <v>0</v>
      </c>
      <c r="L4" s="53" t="s">
        <v>1</v>
      </c>
      <c r="M4" s="72" t="s">
        <v>1</v>
      </c>
      <c r="N4" s="73" t="s">
        <v>0</v>
      </c>
      <c r="O4" s="74" t="s">
        <v>1</v>
      </c>
      <c r="P4" s="73" t="s">
        <v>0</v>
      </c>
      <c r="Q4" s="72" t="s">
        <v>1</v>
      </c>
      <c r="R4" s="73" t="s">
        <v>0</v>
      </c>
      <c r="S4" s="9" t="s">
        <v>1</v>
      </c>
      <c r="T4" s="11" t="s">
        <v>0</v>
      </c>
      <c r="U4" s="9" t="s">
        <v>1</v>
      </c>
      <c r="V4" s="11" t="s">
        <v>0</v>
      </c>
      <c r="W4" s="9" t="s">
        <v>1</v>
      </c>
      <c r="X4" s="11" t="s">
        <v>0</v>
      </c>
      <c r="Y4" s="9" t="s">
        <v>1</v>
      </c>
      <c r="Z4" s="53" t="s">
        <v>0</v>
      </c>
      <c r="AA4" s="19" t="s">
        <v>1</v>
      </c>
      <c r="AB4" s="19" t="s">
        <v>0</v>
      </c>
      <c r="AC4" s="10" t="s">
        <v>1</v>
      </c>
      <c r="AD4" s="11" t="s">
        <v>0</v>
      </c>
      <c r="AE4" s="10" t="s">
        <v>1</v>
      </c>
      <c r="AF4" s="11" t="s">
        <v>0</v>
      </c>
      <c r="AG4" s="10" t="s">
        <v>1</v>
      </c>
      <c r="AH4" s="11" t="s">
        <v>0</v>
      </c>
      <c r="AI4" s="10" t="s">
        <v>15</v>
      </c>
      <c r="AJ4" s="11" t="s">
        <v>0</v>
      </c>
      <c r="AK4" s="10" t="s">
        <v>1</v>
      </c>
      <c r="AL4" s="53" t="s">
        <v>0</v>
      </c>
    </row>
    <row r="5" spans="1:40" x14ac:dyDescent="0.25">
      <c r="A5" s="112" t="s">
        <v>18</v>
      </c>
      <c r="B5" s="18" t="s">
        <v>2</v>
      </c>
      <c r="C5" s="7">
        <v>12.6517</v>
      </c>
      <c r="D5" s="17">
        <v>15.482200000000001</v>
      </c>
      <c r="E5" s="17">
        <v>25.13</v>
      </c>
      <c r="F5" s="17">
        <v>14.61</v>
      </c>
      <c r="G5" s="17">
        <v>0.84363999999999995</v>
      </c>
      <c r="H5" s="76">
        <v>2.7560000000000001E-2</v>
      </c>
      <c r="I5" s="18">
        <v>5.4357000000000003E-2</v>
      </c>
      <c r="J5" s="4">
        <v>1.7708630000000001</v>
      </c>
      <c r="K5" s="21">
        <v>3.5423000000000003E-2</v>
      </c>
      <c r="L5" s="29">
        <v>1.6858000000000001E-2</v>
      </c>
      <c r="M5" s="57">
        <v>0</v>
      </c>
      <c r="N5" s="27">
        <f>(724.52+43.5)/2000</f>
        <v>0.38401000000000002</v>
      </c>
      <c r="O5" s="29">
        <v>0</v>
      </c>
      <c r="P5" s="29">
        <f>180.4/2000</f>
        <v>9.0200000000000002E-2</v>
      </c>
      <c r="Q5" s="57">
        <v>3.32</v>
      </c>
      <c r="R5" s="29">
        <v>21.9</v>
      </c>
      <c r="S5" s="57">
        <v>0</v>
      </c>
      <c r="T5" s="29">
        <v>1.3678399999999999</v>
      </c>
      <c r="U5" s="29">
        <v>0</v>
      </c>
      <c r="V5" s="29">
        <v>1.6375999999999999</v>
      </c>
      <c r="W5" s="29">
        <v>0</v>
      </c>
      <c r="X5" s="29">
        <v>0</v>
      </c>
      <c r="Y5" s="46">
        <f>7.68/2000</f>
        <v>3.8399999999999997E-3</v>
      </c>
      <c r="Z5" s="58">
        <f>55.8/2000</f>
        <v>2.7899999999999998E-2</v>
      </c>
      <c r="AA5" s="46">
        <v>0</v>
      </c>
      <c r="AB5" s="46">
        <v>0</v>
      </c>
      <c r="AC5" s="46">
        <v>3.5499999999999997E-2</v>
      </c>
      <c r="AD5" s="46">
        <v>5.0500000000000003E-2</v>
      </c>
      <c r="AE5" s="46">
        <v>4.0769999999999999E-3</v>
      </c>
      <c r="AF5" s="48">
        <f>(0.649152+0.13308)/2000</f>
        <v>3.9111599999999995E-4</v>
      </c>
      <c r="AG5" s="21">
        <v>3.1854300000000002</v>
      </c>
      <c r="AH5" s="22">
        <v>0.107117</v>
      </c>
      <c r="AI5" s="21">
        <v>3.56</v>
      </c>
      <c r="AJ5" s="22">
        <v>0.02</v>
      </c>
      <c r="AK5" s="21">
        <v>0.24354500000000001</v>
      </c>
      <c r="AL5" s="27">
        <v>0.31452000000000002</v>
      </c>
      <c r="AM5" s="45"/>
      <c r="AN5" s="45"/>
    </row>
    <row r="6" spans="1:40" x14ac:dyDescent="0.25">
      <c r="A6" s="112"/>
      <c r="B6" s="18" t="s">
        <v>3</v>
      </c>
      <c r="C6" s="8">
        <v>2.4302999999999999</v>
      </c>
      <c r="D6" s="18">
        <v>4.0141</v>
      </c>
      <c r="E6" s="18">
        <v>6.09</v>
      </c>
      <c r="F6" s="18">
        <v>3.13</v>
      </c>
      <c r="G6" s="77">
        <v>1.405105</v>
      </c>
      <c r="H6" s="66">
        <v>5.0630000000000001E-2</v>
      </c>
      <c r="I6" s="77">
        <v>1.239E-2</v>
      </c>
      <c r="J6" s="4">
        <v>0.30501299999999998</v>
      </c>
      <c r="K6" s="21">
        <v>4.0000000000000001E-3</v>
      </c>
      <c r="L6" s="29">
        <v>1.663E-3</v>
      </c>
      <c r="M6" s="57">
        <v>0</v>
      </c>
      <c r="N6" s="27">
        <f>(160.48+10.31)/2000</f>
        <v>8.5394999999999999E-2</v>
      </c>
      <c r="O6" s="29">
        <v>0</v>
      </c>
      <c r="P6" s="29">
        <f>17.8/2000</f>
        <v>8.8999999999999999E-3</v>
      </c>
      <c r="Q6" s="57">
        <v>0.61</v>
      </c>
      <c r="R6" s="29">
        <v>4.323105</v>
      </c>
      <c r="S6" s="57">
        <v>0</v>
      </c>
      <c r="T6" s="29">
        <v>0.31831500000000001</v>
      </c>
      <c r="U6" s="29">
        <v>0</v>
      </c>
      <c r="V6" s="29">
        <v>0.20486499999999999</v>
      </c>
      <c r="W6" s="29">
        <v>0</v>
      </c>
      <c r="X6" s="29">
        <v>0</v>
      </c>
      <c r="Y6" s="46">
        <f>4.29/2000</f>
        <v>2.1450000000000002E-3</v>
      </c>
      <c r="Z6" s="58">
        <f>31.22/2000</f>
        <v>1.5609999999999999E-2</v>
      </c>
      <c r="AA6" s="46">
        <v>0</v>
      </c>
      <c r="AB6" s="46">
        <v>0</v>
      </c>
      <c r="AC6" s="46">
        <v>1.7975000000000001</v>
      </c>
      <c r="AD6" s="46">
        <v>0.1075</v>
      </c>
      <c r="AE6" s="29">
        <v>0</v>
      </c>
      <c r="AF6" s="29">
        <v>0</v>
      </c>
      <c r="AG6" s="23">
        <v>4.7959849999999999</v>
      </c>
      <c r="AH6" s="24">
        <v>0.13705200000000001</v>
      </c>
      <c r="AI6" s="23">
        <v>0</v>
      </c>
      <c r="AJ6" s="24">
        <v>0</v>
      </c>
      <c r="AK6" s="21">
        <v>1.50559</v>
      </c>
      <c r="AL6" s="27">
        <v>0.05</v>
      </c>
      <c r="AM6" s="45"/>
      <c r="AN6" s="45"/>
    </row>
    <row r="7" spans="1:40" ht="15.75" thickBot="1" x14ac:dyDescent="0.3">
      <c r="A7" s="113"/>
      <c r="B7" s="19" t="s">
        <v>4</v>
      </c>
      <c r="C7" s="9">
        <v>9.6395</v>
      </c>
      <c r="D7" s="19">
        <v>9.8500999999999994</v>
      </c>
      <c r="E7" s="19">
        <v>24.57</v>
      </c>
      <c r="F7" s="19">
        <v>13.33</v>
      </c>
      <c r="G7" s="19">
        <v>1.4021999999999999</v>
      </c>
      <c r="H7" s="53">
        <v>4.7940000000000003E-2</v>
      </c>
      <c r="I7" s="19">
        <v>6.0488E-2</v>
      </c>
      <c r="J7" s="11">
        <v>1.7245090000000001</v>
      </c>
      <c r="K7" s="25">
        <v>2.7E-2</v>
      </c>
      <c r="L7" s="30">
        <v>2.0060999999999999E-2</v>
      </c>
      <c r="M7" s="57">
        <v>0</v>
      </c>
      <c r="N7" s="75">
        <f>(686.73+43.77)/2000</f>
        <v>0.36525000000000002</v>
      </c>
      <c r="O7" s="30">
        <v>0</v>
      </c>
      <c r="P7" s="30">
        <f>150.6/2000</f>
        <v>7.5299999999999992E-2</v>
      </c>
      <c r="Q7" s="59">
        <v>2.93</v>
      </c>
      <c r="R7" s="30">
        <v>19.934999999999999</v>
      </c>
      <c r="S7" s="59">
        <v>0</v>
      </c>
      <c r="T7" s="30">
        <v>1.2212149999999999</v>
      </c>
      <c r="U7" s="30">
        <v>0</v>
      </c>
      <c r="V7" s="30">
        <v>0.87495000000000001</v>
      </c>
      <c r="W7" s="30">
        <v>0</v>
      </c>
      <c r="X7" s="30">
        <v>0</v>
      </c>
      <c r="Y7" s="50">
        <f>7.33/2000</f>
        <v>3.6649999999999999E-3</v>
      </c>
      <c r="Z7" s="60">
        <f>53.27/2000</f>
        <v>2.6635000000000002E-2</v>
      </c>
      <c r="AA7" s="50">
        <v>0</v>
      </c>
      <c r="AB7" s="50">
        <v>0</v>
      </c>
      <c r="AC7" s="50">
        <v>0</v>
      </c>
      <c r="AD7" s="50">
        <v>0</v>
      </c>
      <c r="AE7" s="30">
        <v>0</v>
      </c>
      <c r="AF7" s="30">
        <v>0</v>
      </c>
      <c r="AG7" s="25">
        <v>2.0997750000000002</v>
      </c>
      <c r="AH7" s="26">
        <v>0.14099</v>
      </c>
      <c r="AI7" s="25">
        <v>0.29830000000000001</v>
      </c>
      <c r="AJ7" s="26">
        <v>1.459E-3</v>
      </c>
      <c r="AK7" s="21">
        <v>0.42427100000000001</v>
      </c>
      <c r="AL7" s="27">
        <v>1.0617540000000001</v>
      </c>
      <c r="AM7" s="45"/>
      <c r="AN7" s="45"/>
    </row>
    <row r="8" spans="1:40" ht="15.75" thickBot="1" x14ac:dyDescent="0.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4"/>
    </row>
    <row r="9" spans="1:40" ht="15.75" thickBot="1" x14ac:dyDescent="0.3">
      <c r="A9" s="7"/>
      <c r="B9" s="17"/>
      <c r="C9" s="100" t="s">
        <v>48</v>
      </c>
      <c r="D9" s="101"/>
      <c r="E9" s="101"/>
      <c r="F9" s="101"/>
      <c r="G9" s="101"/>
      <c r="H9" s="101"/>
      <c r="I9" s="101"/>
      <c r="J9" s="101"/>
      <c r="K9" s="101"/>
      <c r="L9" s="102"/>
      <c r="M9" s="100" t="s">
        <v>28</v>
      </c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2"/>
      <c r="AA9" s="101" t="s">
        <v>16</v>
      </c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</row>
    <row r="10" spans="1:40" x14ac:dyDescent="0.25">
      <c r="A10" s="8"/>
      <c r="B10" s="18"/>
      <c r="C10" s="105" t="s">
        <v>37</v>
      </c>
      <c r="D10" s="103"/>
      <c r="E10" s="105" t="s">
        <v>36</v>
      </c>
      <c r="F10" s="106"/>
      <c r="G10" s="103" t="s">
        <v>39</v>
      </c>
      <c r="H10" s="104"/>
      <c r="I10" s="107" t="s">
        <v>38</v>
      </c>
      <c r="J10" s="106"/>
      <c r="K10" s="105" t="s">
        <v>5</v>
      </c>
      <c r="L10" s="106"/>
      <c r="M10" s="105" t="s">
        <v>34</v>
      </c>
      <c r="N10" s="106"/>
      <c r="O10" s="105" t="s">
        <v>35</v>
      </c>
      <c r="P10" s="106"/>
      <c r="Q10" s="105" t="s">
        <v>33</v>
      </c>
      <c r="R10" s="106"/>
      <c r="S10" s="108" t="s">
        <v>29</v>
      </c>
      <c r="T10" s="111"/>
      <c r="U10" s="110" t="s">
        <v>31</v>
      </c>
      <c r="V10" s="111"/>
      <c r="W10" s="110" t="s">
        <v>27</v>
      </c>
      <c r="X10" s="111"/>
      <c r="Y10" s="110" t="s">
        <v>26</v>
      </c>
      <c r="Z10" s="111"/>
      <c r="AA10" s="105" t="s">
        <v>30</v>
      </c>
      <c r="AB10" s="103"/>
      <c r="AC10" s="107" t="s">
        <v>32</v>
      </c>
      <c r="AD10" s="104"/>
      <c r="AE10" s="107" t="s">
        <v>25</v>
      </c>
      <c r="AF10" s="104"/>
      <c r="AG10" s="103" t="s">
        <v>6</v>
      </c>
      <c r="AH10" s="104"/>
      <c r="AI10" s="107" t="s">
        <v>14</v>
      </c>
      <c r="AJ10" s="104"/>
      <c r="AK10" s="107" t="s">
        <v>13</v>
      </c>
      <c r="AL10" s="106"/>
    </row>
    <row r="11" spans="1:40" ht="15.75" thickBot="1" x14ac:dyDescent="0.3">
      <c r="A11" s="8"/>
      <c r="B11" s="18"/>
      <c r="C11" s="72" t="s">
        <v>1</v>
      </c>
      <c r="D11" s="74" t="s">
        <v>0</v>
      </c>
      <c r="E11" s="72" t="s">
        <v>1</v>
      </c>
      <c r="F11" s="73" t="s">
        <v>0</v>
      </c>
      <c r="G11" s="19" t="s">
        <v>15</v>
      </c>
      <c r="H11" s="11" t="s">
        <v>0</v>
      </c>
      <c r="I11" s="10" t="s">
        <v>0</v>
      </c>
      <c r="J11" s="53" t="s">
        <v>1</v>
      </c>
      <c r="K11" s="9" t="s">
        <v>0</v>
      </c>
      <c r="L11" s="53" t="s">
        <v>1</v>
      </c>
      <c r="M11" s="72" t="s">
        <v>1</v>
      </c>
      <c r="N11" s="73" t="s">
        <v>0</v>
      </c>
      <c r="O11" s="72" t="s">
        <v>1</v>
      </c>
      <c r="P11" s="73" t="s">
        <v>0</v>
      </c>
      <c r="Q11" s="72" t="s">
        <v>1</v>
      </c>
      <c r="R11" s="73" t="s">
        <v>0</v>
      </c>
      <c r="S11" s="18" t="s">
        <v>1</v>
      </c>
      <c r="T11" s="4" t="s">
        <v>0</v>
      </c>
      <c r="U11" s="8" t="s">
        <v>1</v>
      </c>
      <c r="V11" s="4" t="s">
        <v>0</v>
      </c>
      <c r="W11" s="8" t="s">
        <v>1</v>
      </c>
      <c r="X11" s="66" t="s">
        <v>0</v>
      </c>
      <c r="Y11" s="8" t="s">
        <v>1</v>
      </c>
      <c r="Z11" s="66" t="s">
        <v>0</v>
      </c>
      <c r="AA11" s="8" t="s">
        <v>1</v>
      </c>
      <c r="AB11" s="18" t="s">
        <v>0</v>
      </c>
      <c r="AC11" s="3" t="s">
        <v>1</v>
      </c>
      <c r="AD11" s="4" t="s">
        <v>0</v>
      </c>
      <c r="AE11" s="3" t="s">
        <v>1</v>
      </c>
      <c r="AF11" s="4" t="s">
        <v>0</v>
      </c>
      <c r="AG11" s="18" t="s">
        <v>1</v>
      </c>
      <c r="AH11" s="4" t="s">
        <v>0</v>
      </c>
      <c r="AI11" s="3" t="s">
        <v>15</v>
      </c>
      <c r="AJ11" s="4" t="s">
        <v>0</v>
      </c>
      <c r="AK11" s="3" t="s">
        <v>1</v>
      </c>
      <c r="AL11" s="66" t="s">
        <v>0</v>
      </c>
    </row>
    <row r="12" spans="1:40" x14ac:dyDescent="0.25">
      <c r="A12" s="117" t="s">
        <v>19</v>
      </c>
      <c r="B12" s="17" t="s">
        <v>2</v>
      </c>
      <c r="C12" s="7">
        <v>8.4486000000000008</v>
      </c>
      <c r="D12" s="17">
        <v>11.2554</v>
      </c>
      <c r="E12" s="17">
        <f>10.7163+10.7163*2%</f>
        <v>10.930626</v>
      </c>
      <c r="F12" s="17">
        <f>7.9914+7.9914*2%</f>
        <v>8.1512279999999997</v>
      </c>
      <c r="G12" s="17">
        <v>0.87687099999999996</v>
      </c>
      <c r="H12" s="76">
        <v>3.5889999999999998E-2</v>
      </c>
      <c r="I12" s="8">
        <v>4.6778E-2</v>
      </c>
      <c r="J12" s="18">
        <v>1.5106790000000001</v>
      </c>
      <c r="K12" s="81">
        <f>K5+K5*K17</f>
        <v>3.5979141100000001E-2</v>
      </c>
      <c r="L12" s="82">
        <v>1.7253000000000001E-2</v>
      </c>
      <c r="M12" s="29">
        <f t="shared" ref="M12:N12" si="0">M5+M5*M17</f>
        <v>0</v>
      </c>
      <c r="N12" s="29">
        <f t="shared" si="0"/>
        <v>0.36361906900000002</v>
      </c>
      <c r="O12" s="29">
        <v>0</v>
      </c>
      <c r="P12" s="29">
        <f>180.4/2000</f>
        <v>9.0200000000000002E-2</v>
      </c>
      <c r="Q12" s="28">
        <v>3.09</v>
      </c>
      <c r="R12" s="28">
        <v>22.297000000000001</v>
      </c>
      <c r="S12" s="28">
        <v>0</v>
      </c>
      <c r="T12" s="28">
        <f>T5+T5*T17</f>
        <v>1.2404940959999999</v>
      </c>
      <c r="U12" s="28">
        <f t="shared" ref="U12:V12" si="1">U5+U5*U17</f>
        <v>0</v>
      </c>
      <c r="V12" s="28">
        <f t="shared" si="1"/>
        <v>0.62130543999999999</v>
      </c>
      <c r="W12" s="28">
        <v>0</v>
      </c>
      <c r="X12" s="28">
        <v>0</v>
      </c>
      <c r="Y12" s="55">
        <f t="shared" ref="Y12:AF12" si="2">Y5+Y5*Y17</f>
        <v>4.0788479999999995E-3</v>
      </c>
      <c r="Z12" s="56">
        <f t="shared" si="2"/>
        <v>2.9635379999999996E-2</v>
      </c>
      <c r="AA12" s="55">
        <f t="shared" si="2"/>
        <v>0</v>
      </c>
      <c r="AB12" s="55">
        <f t="shared" si="2"/>
        <v>0</v>
      </c>
      <c r="AC12" s="67">
        <v>3.6704000000000001E-2</v>
      </c>
      <c r="AD12" s="47">
        <v>5.7685E-2</v>
      </c>
      <c r="AE12" s="67">
        <f t="shared" si="2"/>
        <v>4.0769999999999999E-3</v>
      </c>
      <c r="AF12" s="49">
        <f t="shared" si="2"/>
        <v>2.5837122960000001E-4</v>
      </c>
      <c r="AG12" s="28">
        <f>4267.1896/2000</f>
        <v>2.1335948</v>
      </c>
      <c r="AH12" s="42">
        <f>181.5617/2000</f>
        <v>9.0780849999999996E-2</v>
      </c>
      <c r="AI12" s="43">
        <f t="shared" ref="AI12:AJ13" si="3">AI5</f>
        <v>3.56</v>
      </c>
      <c r="AJ12" s="43">
        <f t="shared" si="3"/>
        <v>0.02</v>
      </c>
      <c r="AK12" s="43">
        <v>0.23896500000000001</v>
      </c>
      <c r="AL12" s="44">
        <v>0.31967099999999998</v>
      </c>
      <c r="AM12" s="45"/>
      <c r="AN12" s="45"/>
    </row>
    <row r="13" spans="1:40" ht="18" customHeight="1" x14ac:dyDescent="0.25">
      <c r="A13" s="112"/>
      <c r="B13" s="18" t="s">
        <v>3</v>
      </c>
      <c r="C13" s="8">
        <v>1.6671</v>
      </c>
      <c r="D13" s="18">
        <v>2.6812999999999998</v>
      </c>
      <c r="E13" s="18">
        <f>2.6117+2.6117*2%</f>
        <v>2.6639339999999998</v>
      </c>
      <c r="F13" s="18">
        <f>1.7247+1.7247*2%</f>
        <v>1.7591939999999999</v>
      </c>
      <c r="G13" s="77">
        <v>1.4604520000000001</v>
      </c>
      <c r="H13" s="66">
        <v>6.5933000000000005E-2</v>
      </c>
      <c r="I13" s="8">
        <v>9.6930000000000002E-3</v>
      </c>
      <c r="J13" s="18">
        <v>0.24132999999999999</v>
      </c>
      <c r="K13" s="83">
        <f t="shared" ref="K13:K14" si="4">K6+K6*K18</f>
        <v>3.9684000000000004E-3</v>
      </c>
      <c r="L13" s="27">
        <v>1.6490000000000001E-3</v>
      </c>
      <c r="M13" s="29">
        <f t="shared" ref="M13:N13" si="5">M6+M6*M18</f>
        <v>0</v>
      </c>
      <c r="N13" s="29">
        <f t="shared" si="5"/>
        <v>8.0860525500000002E-2</v>
      </c>
      <c r="O13" s="29">
        <v>0</v>
      </c>
      <c r="P13" s="29">
        <f>17.8/2000</f>
        <v>8.8999999999999999E-3</v>
      </c>
      <c r="Q13" s="29">
        <v>0.56000000000000005</v>
      </c>
      <c r="R13" s="29">
        <v>4.3879999999999999</v>
      </c>
      <c r="S13" s="29">
        <v>0</v>
      </c>
      <c r="T13" s="29">
        <f>T6+T6*T18</f>
        <v>0.28867987350000002</v>
      </c>
      <c r="U13" s="29">
        <f t="shared" ref="U13:V13" si="6">U6+U6*U18</f>
        <v>0</v>
      </c>
      <c r="V13" s="29">
        <f t="shared" si="6"/>
        <v>7.7869186499999993E-2</v>
      </c>
      <c r="W13" s="29">
        <v>0</v>
      </c>
      <c r="X13" s="29">
        <v>0</v>
      </c>
      <c r="Y13" s="46">
        <f t="shared" ref="Y13:Z14" si="7">Y6+Y6*Y18</f>
        <v>2.2784190000000003E-3</v>
      </c>
      <c r="Z13" s="58">
        <f t="shared" si="7"/>
        <v>1.6580941999999998E-2</v>
      </c>
      <c r="AA13" s="46">
        <f t="shared" ref="AA13:AB13" si="8">AA6+AA6*AA18</f>
        <v>0</v>
      </c>
      <c r="AB13" s="46">
        <f t="shared" si="8"/>
        <v>0</v>
      </c>
      <c r="AC13" s="64">
        <v>1.7151590000000001</v>
      </c>
      <c r="AD13" s="51">
        <v>0.1159</v>
      </c>
      <c r="AE13" s="21">
        <v>0</v>
      </c>
      <c r="AF13" s="22">
        <v>0</v>
      </c>
      <c r="AG13" s="29">
        <v>3.4625992999999999</v>
      </c>
      <c r="AH13" s="22">
        <f>205.3928/2000</f>
        <v>0.10269639999999999</v>
      </c>
      <c r="AI13" s="21">
        <f t="shared" si="3"/>
        <v>0</v>
      </c>
      <c r="AJ13" s="21">
        <f t="shared" si="3"/>
        <v>0</v>
      </c>
      <c r="AK13" s="21">
        <v>1.50834</v>
      </c>
      <c r="AL13" s="33">
        <v>5.1855999999999999E-2</v>
      </c>
      <c r="AM13" s="2"/>
    </row>
    <row r="14" spans="1:40" ht="19.5" customHeight="1" thickBot="1" x14ac:dyDescent="0.3">
      <c r="A14" s="113"/>
      <c r="B14" s="19" t="s">
        <v>4</v>
      </c>
      <c r="C14" s="9">
        <v>6.3977000000000004</v>
      </c>
      <c r="D14" s="19">
        <v>6.7224000000000004</v>
      </c>
      <c r="E14" s="19">
        <f>10.8205+10.8205*2%</f>
        <v>11.036909999999999</v>
      </c>
      <c r="F14" s="19">
        <f>7.492+7.492*2%</f>
        <v>7.6418400000000002</v>
      </c>
      <c r="G14" s="19">
        <v>1.4574590000000001</v>
      </c>
      <c r="H14" s="53">
        <v>6.2429999999999999E-2</v>
      </c>
      <c r="I14" s="9">
        <v>4.8245000000000003E-2</v>
      </c>
      <c r="J14" s="19">
        <v>1.4256420000000001</v>
      </c>
      <c r="K14" s="84">
        <f t="shared" si="4"/>
        <v>2.5706699999999999E-2</v>
      </c>
      <c r="L14" s="75">
        <v>1.9788E-2</v>
      </c>
      <c r="M14" s="30">
        <f t="shared" ref="M14:N14" si="9">M7+M7*M19</f>
        <v>0</v>
      </c>
      <c r="N14" s="30">
        <f t="shared" si="9"/>
        <v>0.34585522499999999</v>
      </c>
      <c r="O14" s="30">
        <v>0</v>
      </c>
      <c r="P14" s="30">
        <f>150.6/2000</f>
        <v>7.5299999999999992E-2</v>
      </c>
      <c r="Q14" s="30">
        <v>2.73</v>
      </c>
      <c r="R14" s="30">
        <v>20.387</v>
      </c>
      <c r="S14" s="30">
        <v>0</v>
      </c>
      <c r="T14" s="30">
        <f>T7+T7*T19</f>
        <v>1.1075198835</v>
      </c>
      <c r="U14" s="30">
        <f t="shared" ref="U14:V14" si="10">U7+U7*U19</f>
        <v>0</v>
      </c>
      <c r="V14" s="30">
        <f t="shared" si="10"/>
        <v>0.33449338500000003</v>
      </c>
      <c r="W14" s="30">
        <v>0</v>
      </c>
      <c r="X14" s="30">
        <v>0</v>
      </c>
      <c r="Y14" s="50">
        <f t="shared" si="7"/>
        <v>3.8929629999999997E-3</v>
      </c>
      <c r="Z14" s="60">
        <f t="shared" si="7"/>
        <v>2.8291697000000001E-2</v>
      </c>
      <c r="AA14" s="50">
        <f t="shared" ref="AA14:AB14" si="11">AA7+AA7*AA19</f>
        <v>0</v>
      </c>
      <c r="AB14" s="50">
        <f t="shared" si="11"/>
        <v>0</v>
      </c>
      <c r="AC14" s="65">
        <v>0</v>
      </c>
      <c r="AD14" s="52">
        <v>0</v>
      </c>
      <c r="AE14" s="25">
        <v>0</v>
      </c>
      <c r="AF14" s="26">
        <v>0</v>
      </c>
      <c r="AG14" s="30">
        <f>2916.005/2000</f>
        <v>1.4580025000000001</v>
      </c>
      <c r="AH14" s="26">
        <f>236.6802644/2000</f>
        <v>0.1183401322</v>
      </c>
      <c r="AI14" s="25">
        <v>0</v>
      </c>
      <c r="AJ14" s="25">
        <v>0</v>
      </c>
      <c r="AK14" s="25">
        <v>0.42988799999999999</v>
      </c>
      <c r="AL14" s="34">
        <v>1.086964</v>
      </c>
    </row>
    <row r="15" spans="1:40" s="2" customFormat="1" ht="18.75" customHeight="1" thickBot="1" x14ac:dyDescent="0.3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9"/>
    </row>
    <row r="16" spans="1:40" ht="27.75" customHeight="1" thickBot="1" x14ac:dyDescent="0.3">
      <c r="A16" s="116" t="s">
        <v>47</v>
      </c>
      <c r="B16" s="13" t="s">
        <v>22</v>
      </c>
      <c r="C16" s="39"/>
      <c r="D16" s="39"/>
      <c r="E16" s="39"/>
      <c r="F16" s="39"/>
      <c r="G16" s="39"/>
      <c r="H16" s="39"/>
      <c r="I16" s="14"/>
      <c r="J16" s="15"/>
      <c r="K16" s="14"/>
      <c r="L16" s="15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13"/>
      <c r="AB16" s="39"/>
      <c r="AC16" s="68"/>
      <c r="AD16" s="39"/>
      <c r="AE16" s="14"/>
      <c r="AF16" s="15"/>
      <c r="AG16" s="14"/>
      <c r="AH16" s="15"/>
      <c r="AI16" s="14"/>
      <c r="AJ16" s="15"/>
      <c r="AK16" s="14"/>
      <c r="AL16" s="16"/>
    </row>
    <row r="17" spans="1:38" ht="18.75" customHeight="1" x14ac:dyDescent="0.25">
      <c r="A17" s="116"/>
      <c r="B17" s="7" t="s">
        <v>2</v>
      </c>
      <c r="C17" s="40">
        <v>-0.38277627706325851</v>
      </c>
      <c r="D17" s="40">
        <v>-0.23299004693393746</v>
      </c>
      <c r="E17" s="61">
        <f t="shared" ref="E17:F17" si="12">(E12-E5)/E5</f>
        <v>-0.56503676880222842</v>
      </c>
      <c r="F17" s="69">
        <f t="shared" si="12"/>
        <v>-0.4420788501026694</v>
      </c>
      <c r="G17" s="61">
        <f t="shared" ref="G17:H17" si="13">(G12-G5)/G5</f>
        <v>3.9390024180930266E-2</v>
      </c>
      <c r="H17" s="69">
        <f t="shared" si="13"/>
        <v>0.3022496371552974</v>
      </c>
      <c r="I17" s="61">
        <f t="shared" ref="I17:L17" si="14">(I12-I5)/I5</f>
        <v>-0.13943006420516221</v>
      </c>
      <c r="J17" s="40">
        <f t="shared" si="14"/>
        <v>-0.14692497386867304</v>
      </c>
      <c r="K17" s="78">
        <v>1.5699999999999999E-2</v>
      </c>
      <c r="L17" s="69">
        <f t="shared" si="14"/>
        <v>2.3431011982441539E-2</v>
      </c>
      <c r="M17" s="61"/>
      <c r="N17" s="40">
        <v>-5.3100000000000001E-2</v>
      </c>
      <c r="O17" s="40"/>
      <c r="P17" s="69">
        <f t="shared" ref="P17" si="15">(P12-P5)/P5</f>
        <v>0</v>
      </c>
      <c r="Q17" s="61">
        <f t="shared" ref="Q17:R17" si="16">(Q12-Q5)/Q5</f>
        <v>-6.9277108433734941E-2</v>
      </c>
      <c r="R17" s="69">
        <f t="shared" si="16"/>
        <v>1.8127853881278633E-2</v>
      </c>
      <c r="S17" s="40">
        <v>0</v>
      </c>
      <c r="T17" s="40">
        <v>-9.3100000000000002E-2</v>
      </c>
      <c r="U17" s="40">
        <v>0</v>
      </c>
      <c r="V17" s="40">
        <v>-0.62060000000000004</v>
      </c>
      <c r="W17" s="40"/>
      <c r="X17" s="40"/>
      <c r="Y17" s="40">
        <v>6.2199999999999998E-2</v>
      </c>
      <c r="Z17" s="69">
        <v>6.2199999999999998E-2</v>
      </c>
      <c r="AA17" s="61">
        <v>0</v>
      </c>
      <c r="AB17" s="40">
        <v>0</v>
      </c>
      <c r="AC17" s="37">
        <f t="shared" ref="AC17" si="17">(AC12-AC5)/AC5</f>
        <v>3.3915492957746589E-2</v>
      </c>
      <c r="AD17" s="35">
        <f t="shared" ref="AD17:AD18" si="18">(AD12-AD5)/AD5</f>
        <v>0.14227722772277221</v>
      </c>
      <c r="AE17" s="40">
        <v>0</v>
      </c>
      <c r="AF17" s="35">
        <v>-0.33939999999999998</v>
      </c>
      <c r="AG17" s="36">
        <f t="shared" ref="AG17:AJ19" si="19">(AG12-AG5)/AG5</f>
        <v>-0.33020195075704067</v>
      </c>
      <c r="AH17" s="36">
        <f t="shared" si="19"/>
        <v>-0.15250753848595466</v>
      </c>
      <c r="AI17" s="36">
        <f t="shared" ref="AI17:AJ17" si="20">(AI5-AI12)/AI5</f>
        <v>0</v>
      </c>
      <c r="AJ17" s="36">
        <f t="shared" si="20"/>
        <v>0</v>
      </c>
      <c r="AK17" s="61">
        <f t="shared" ref="AK17:AL17" si="21">(AK12-AK5)/AK5</f>
        <v>-1.8805559547516889E-2</v>
      </c>
      <c r="AL17" s="69">
        <f t="shared" si="21"/>
        <v>1.6377336894315021E-2</v>
      </c>
    </row>
    <row r="18" spans="1:38" ht="18" customHeight="1" x14ac:dyDescent="0.25">
      <c r="A18" s="116"/>
      <c r="B18" s="8" t="s">
        <v>3</v>
      </c>
      <c r="C18" s="41">
        <v>-0.38080561416818803</v>
      </c>
      <c r="D18" s="41">
        <v>-0.23227242377030946</v>
      </c>
      <c r="E18" s="62">
        <f>(E13-E6)/E6</f>
        <v>-0.56257241379310352</v>
      </c>
      <c r="F18" s="70">
        <f t="shared" ref="F18" si="22">(F13-F6)/F6</f>
        <v>-0.43795718849840254</v>
      </c>
      <c r="G18" s="62">
        <f t="shared" ref="G18:H18" si="23">(G13-G6)/G6</f>
        <v>3.9389938830194211E-2</v>
      </c>
      <c r="H18" s="70">
        <f t="shared" si="23"/>
        <v>0.30225162946869455</v>
      </c>
      <c r="I18" s="62">
        <f t="shared" ref="I18:J18" si="24">(I13-I6)/I6</f>
        <v>-0.21767554479418885</v>
      </c>
      <c r="J18" s="41">
        <f t="shared" si="24"/>
        <v>-0.20878782215839978</v>
      </c>
      <c r="K18" s="79">
        <v>-7.9000000000000008E-3</v>
      </c>
      <c r="L18" s="70">
        <f>(L13-L6)/L6</f>
        <v>-8.4185207456403521E-3</v>
      </c>
      <c r="M18" s="62"/>
      <c r="N18" s="41">
        <v>-5.3100000000000001E-2</v>
      </c>
      <c r="O18" s="41"/>
      <c r="P18" s="70">
        <f t="shared" ref="P18" si="25">(P13-P6)/P6</f>
        <v>0</v>
      </c>
      <c r="Q18" s="62">
        <f t="shared" ref="Q18:R18" si="26">(Q13-Q6)/Q6</f>
        <v>-8.1967213114753995E-2</v>
      </c>
      <c r="R18" s="70">
        <f t="shared" si="26"/>
        <v>1.5011201439705935E-2</v>
      </c>
      <c r="S18" s="41">
        <v>0</v>
      </c>
      <c r="T18" s="41">
        <v>-9.3100000000000002E-2</v>
      </c>
      <c r="U18" s="41">
        <v>0</v>
      </c>
      <c r="V18" s="41">
        <v>-0.61990000000000001</v>
      </c>
      <c r="W18" s="41"/>
      <c r="X18" s="41"/>
      <c r="Y18" s="41">
        <v>6.2199999999999998E-2</v>
      </c>
      <c r="Z18" s="70">
        <v>6.2199999999999998E-2</v>
      </c>
      <c r="AA18" s="62">
        <v>0</v>
      </c>
      <c r="AB18" s="41">
        <v>0</v>
      </c>
      <c r="AC18" s="31">
        <f t="shared" ref="AC18" si="27">(AC13-AC6)/AC6</f>
        <v>-4.5808623087621694E-2</v>
      </c>
      <c r="AD18" s="6">
        <f t="shared" si="18"/>
        <v>7.8139534883720982E-2</v>
      </c>
      <c r="AE18" s="41">
        <v>0</v>
      </c>
      <c r="AF18" s="6">
        <v>0</v>
      </c>
      <c r="AG18" s="5">
        <f t="shared" si="19"/>
        <v>-0.2780212406836135</v>
      </c>
      <c r="AH18" s="5">
        <f t="shared" si="19"/>
        <v>-0.25067565595540386</v>
      </c>
      <c r="AI18" s="5"/>
      <c r="AJ18" s="5"/>
      <c r="AK18" s="62">
        <f>(AK13-AK6)/AK6</f>
        <v>1.8265264779920366E-3</v>
      </c>
      <c r="AL18" s="70">
        <f t="shared" ref="AL18" si="28">(AL13-AL6)/AL6</f>
        <v>3.7119999999999931E-2</v>
      </c>
    </row>
    <row r="19" spans="1:38" ht="25.5" customHeight="1" thickBot="1" x14ac:dyDescent="0.3">
      <c r="A19" s="116"/>
      <c r="B19" s="9" t="s">
        <v>4</v>
      </c>
      <c r="C19" s="38">
        <v>-0.37817864182561073</v>
      </c>
      <c r="D19" s="38">
        <v>-0.22435837707446868</v>
      </c>
      <c r="E19" s="63">
        <f t="shared" ref="E19:F19" si="29">(E14-E7)/E7</f>
        <v>-0.55079731379731389</v>
      </c>
      <c r="F19" s="71">
        <f t="shared" si="29"/>
        <v>-0.42671867966991744</v>
      </c>
      <c r="G19" s="63">
        <f t="shared" ref="G19:H19" si="30">(G14-G7)/G7</f>
        <v>3.9408786193125211E-2</v>
      </c>
      <c r="H19" s="71">
        <f t="shared" si="30"/>
        <v>0.30225281602002491</v>
      </c>
      <c r="I19" s="63">
        <f t="shared" ref="I19:J19" si="31">(I14-I7)/I7</f>
        <v>-0.20240378256844327</v>
      </c>
      <c r="J19" s="38">
        <f t="shared" si="31"/>
        <v>-0.17330556117712345</v>
      </c>
      <c r="K19" s="80">
        <v>-4.7899999999999998E-2</v>
      </c>
      <c r="L19" s="71">
        <f>(L14-L7)/L7</f>
        <v>-1.3608494093016248E-2</v>
      </c>
      <c r="M19" s="63"/>
      <c r="N19" s="38">
        <v>-5.3100000000000001E-2</v>
      </c>
      <c r="O19" s="38"/>
      <c r="P19" s="71">
        <f t="shared" ref="P19" si="32">(P14-P7)/P7</f>
        <v>0</v>
      </c>
      <c r="Q19" s="63">
        <f t="shared" ref="Q19:R19" si="33">(Q14-Q7)/Q7</f>
        <v>-6.8259385665529068E-2</v>
      </c>
      <c r="R19" s="71">
        <f t="shared" si="33"/>
        <v>2.2673689490845337E-2</v>
      </c>
      <c r="S19" s="38">
        <v>0</v>
      </c>
      <c r="T19" s="38">
        <v>-9.3100000000000002E-2</v>
      </c>
      <c r="U19" s="38">
        <v>0</v>
      </c>
      <c r="V19" s="38">
        <v>-0.61770000000000003</v>
      </c>
      <c r="W19" s="38"/>
      <c r="X19" s="38"/>
      <c r="Y19" s="38">
        <v>6.2199999999999998E-2</v>
      </c>
      <c r="Z19" s="71">
        <v>6.2199999999999998E-2</v>
      </c>
      <c r="AA19" s="63">
        <v>0</v>
      </c>
      <c r="AB19" s="38">
        <v>0</v>
      </c>
      <c r="AC19" s="32"/>
      <c r="AD19" s="54"/>
      <c r="AE19" s="38">
        <v>0</v>
      </c>
      <c r="AF19" s="54">
        <v>0</v>
      </c>
      <c r="AG19" s="12">
        <f t="shared" si="19"/>
        <v>-0.30563869938445787</v>
      </c>
      <c r="AH19" s="12">
        <f t="shared" si="19"/>
        <v>-0.16064875381232713</v>
      </c>
      <c r="AI19" s="12">
        <f t="shared" si="19"/>
        <v>-1</v>
      </c>
      <c r="AJ19" s="12">
        <f t="shared" si="19"/>
        <v>-1</v>
      </c>
      <c r="AK19" s="63">
        <f t="shared" ref="AK19" si="34">(AK14-AK7)/AK7</f>
        <v>1.3239179675254691E-2</v>
      </c>
      <c r="AL19" s="71">
        <f>(AL14-AL7)/AL7</f>
        <v>2.3743729715169384E-2</v>
      </c>
    </row>
    <row r="20" spans="1:38" s="18" customFormat="1" x14ac:dyDescent="0.25"/>
    <row r="23" spans="1:38" x14ac:dyDescent="0.25">
      <c r="D23" s="115">
        <v>2011</v>
      </c>
      <c r="E23" s="115"/>
      <c r="F23" s="115">
        <v>2017</v>
      </c>
      <c r="G23" s="115"/>
      <c r="I23" s="115"/>
      <c r="J23" s="115"/>
    </row>
    <row r="24" spans="1:38" ht="15.75" thickBot="1" x14ac:dyDescent="0.3">
      <c r="B24" t="s">
        <v>40</v>
      </c>
      <c r="D24" s="2" t="s">
        <v>0</v>
      </c>
      <c r="E24" s="2" t="s">
        <v>15</v>
      </c>
      <c r="F24" s="2" t="s">
        <v>0</v>
      </c>
      <c r="G24" s="2" t="s">
        <v>15</v>
      </c>
    </row>
    <row r="25" spans="1:38" x14ac:dyDescent="0.25">
      <c r="B25" s="118" t="s">
        <v>2</v>
      </c>
      <c r="C25" s="76" t="s">
        <v>16</v>
      </c>
      <c r="D25" s="86">
        <f>SUM(AB5,AD5,AF5,AH5,AJ5,AL5)</f>
        <v>0.49252811600000002</v>
      </c>
      <c r="E25" s="86">
        <f>SUM(AA5,AC5,AE5,AG5,AI5,AK5)</f>
        <v>7.0285520000000004</v>
      </c>
      <c r="F25" s="86">
        <f>SUM(AB12,AD12,AF12,AH12,AJ12,AL12)</f>
        <v>0.4883952212296</v>
      </c>
      <c r="G25" s="94">
        <f>SUM(AA12,AC12,AE12,AG12,AI12,AK12)</f>
        <v>5.9733408000000008</v>
      </c>
      <c r="H25" s="18"/>
      <c r="I25" s="92"/>
      <c r="J25" s="92"/>
      <c r="K25" s="18"/>
    </row>
    <row r="26" spans="1:38" x14ac:dyDescent="0.25">
      <c r="B26" s="114"/>
      <c r="C26" s="66" t="s">
        <v>41</v>
      </c>
      <c r="D26" s="87">
        <f>SUM(N5,P5,R5,T5,V5,X5,Z5)</f>
        <v>25.407549999999997</v>
      </c>
      <c r="E26" s="87">
        <f>SUM(M5,O5,Q5,S5,U5,W5,Y5)</f>
        <v>3.3238399999999997</v>
      </c>
      <c r="F26" s="87">
        <f>SUM(N12,P12,R12,T12,V12,X12,Z12)</f>
        <v>24.642253985</v>
      </c>
      <c r="G26" s="95">
        <f>SUM(M12,O12,Q12,S12,U12,W12,Y12)</f>
        <v>3.0940788479999997</v>
      </c>
      <c r="H26" s="18"/>
      <c r="I26" s="92"/>
      <c r="J26" s="92"/>
      <c r="K26" s="18"/>
    </row>
    <row r="27" spans="1:38" x14ac:dyDescent="0.25">
      <c r="B27" s="114"/>
      <c r="C27" s="66" t="s">
        <v>42</v>
      </c>
      <c r="D27" s="87">
        <f>SUM(D5,H5,I5,K5)</f>
        <v>15.599539999999999</v>
      </c>
      <c r="E27" s="87">
        <f>SUM(C5,G5,J5,L5)</f>
        <v>15.283061</v>
      </c>
      <c r="F27" s="87">
        <f>SUM(D12,H12,I12,K12)</f>
        <v>11.3740471411</v>
      </c>
      <c r="G27" s="95">
        <f>SUM(C12,G12,J12,L12)</f>
        <v>10.853403</v>
      </c>
      <c r="H27" s="18"/>
      <c r="I27" s="92"/>
      <c r="J27" s="92"/>
      <c r="K27" s="18"/>
    </row>
    <row r="28" spans="1:38" x14ac:dyDescent="0.25">
      <c r="B28" s="114"/>
      <c r="C28" s="66" t="s">
        <v>43</v>
      </c>
      <c r="D28" s="87">
        <f>F5</f>
        <v>14.61</v>
      </c>
      <c r="E28" s="87">
        <f>E5</f>
        <v>25.13</v>
      </c>
      <c r="F28" s="87">
        <f>SUM(F12)</f>
        <v>8.1512279999999997</v>
      </c>
      <c r="G28" s="95">
        <f>E12</f>
        <v>10.930626</v>
      </c>
      <c r="H28" s="18"/>
      <c r="I28" s="92"/>
      <c r="J28" s="92"/>
      <c r="K28" s="18"/>
    </row>
    <row r="29" spans="1:38" x14ac:dyDescent="0.25">
      <c r="B29" s="114"/>
      <c r="C29" s="66" t="s">
        <v>44</v>
      </c>
      <c r="D29" s="87">
        <v>0</v>
      </c>
      <c r="E29" s="87">
        <v>0.3</v>
      </c>
      <c r="F29" s="87">
        <v>0</v>
      </c>
      <c r="G29" s="95">
        <v>0.438</v>
      </c>
      <c r="H29" s="18"/>
      <c r="I29" s="92"/>
      <c r="J29" s="92"/>
      <c r="K29" s="18"/>
    </row>
    <row r="30" spans="1:38" x14ac:dyDescent="0.25">
      <c r="B30" s="114" t="s">
        <v>3</v>
      </c>
      <c r="C30" s="66" t="s">
        <v>16</v>
      </c>
      <c r="D30" s="87">
        <f>SUM(AB6,AD6,AF6,AH6,AJ6,AL6)</f>
        <v>0.29455199999999998</v>
      </c>
      <c r="E30" s="87">
        <f>SUM(AA6,AC6,AE6,AG6,AI6,AK6)</f>
        <v>8.0990750000000009</v>
      </c>
      <c r="F30" s="87">
        <f>SUM(AB13,AD13,AF13,AH13,AJ13,AL13)</f>
        <v>0.27045239999999998</v>
      </c>
      <c r="G30" s="95">
        <f>SUM(AA13,AC13,AE13,AG13,AI13,AK13)</f>
        <v>6.6860982999999994</v>
      </c>
      <c r="H30" s="18"/>
      <c r="I30" s="92"/>
      <c r="J30" s="92"/>
      <c r="K30" s="18"/>
    </row>
    <row r="31" spans="1:38" x14ac:dyDescent="0.25">
      <c r="B31" s="114"/>
      <c r="C31" s="66" t="s">
        <v>41</v>
      </c>
      <c r="D31" s="87">
        <f>SUM(N6,P6,R6,T6,V6,X6,Z6)</f>
        <v>4.9561899999999994</v>
      </c>
      <c r="E31" s="87">
        <f>SUM(M6,O6,Q6,S6,U6,W6,Y6)</f>
        <v>0.61214499999999994</v>
      </c>
      <c r="F31" s="87">
        <f>SUM(N13,P13,R13,T13,V13,X13,Z13)</f>
        <v>4.8608905275000005</v>
      </c>
      <c r="G31" s="95">
        <f>SUM(M13,O13,Q13,S13,U13,W13,Y13)</f>
        <v>0.56227841900000008</v>
      </c>
      <c r="H31" s="18"/>
      <c r="I31" s="92"/>
      <c r="J31" s="92"/>
      <c r="K31" s="18"/>
    </row>
    <row r="32" spans="1:38" x14ac:dyDescent="0.25">
      <c r="B32" s="114"/>
      <c r="C32" s="66" t="s">
        <v>42</v>
      </c>
      <c r="D32" s="87">
        <f>SUM(D6,H6,I6,K6)</f>
        <v>4.0811199999999994</v>
      </c>
      <c r="E32" s="87">
        <f>SUM(C6,G6,J6,L6)</f>
        <v>4.1420809999999992</v>
      </c>
      <c r="F32" s="87">
        <f>SUM(D13,H13,I13,K13)</f>
        <v>2.7608943999999997</v>
      </c>
      <c r="G32" s="95">
        <f>SUM(C13,G13,J13,L13)</f>
        <v>3.3705310000000002</v>
      </c>
      <c r="H32" s="18"/>
      <c r="I32" s="92"/>
      <c r="J32" s="92"/>
      <c r="K32" s="18"/>
    </row>
    <row r="33" spans="2:11" x14ac:dyDescent="0.25">
      <c r="B33" s="114"/>
      <c r="C33" s="66" t="s">
        <v>43</v>
      </c>
      <c r="D33" s="87">
        <f>SUM(F6)</f>
        <v>3.13</v>
      </c>
      <c r="E33" s="87">
        <f>E6</f>
        <v>6.09</v>
      </c>
      <c r="F33" s="87">
        <f>F13</f>
        <v>1.7591939999999999</v>
      </c>
      <c r="G33" s="95">
        <f>E13</f>
        <v>2.6639339999999998</v>
      </c>
      <c r="H33" s="18"/>
      <c r="I33" s="92"/>
      <c r="J33" s="92"/>
      <c r="K33" s="18"/>
    </row>
    <row r="34" spans="2:11" x14ac:dyDescent="0.25">
      <c r="B34" s="114"/>
      <c r="C34" s="66" t="s">
        <v>44</v>
      </c>
      <c r="D34" s="87">
        <v>0</v>
      </c>
      <c r="E34" s="87">
        <v>0.5</v>
      </c>
      <c r="F34" s="87">
        <v>0</v>
      </c>
      <c r="G34" s="95">
        <v>0</v>
      </c>
      <c r="H34" s="18"/>
      <c r="I34" s="92"/>
      <c r="J34" s="92"/>
      <c r="K34" s="18"/>
    </row>
    <row r="35" spans="2:11" x14ac:dyDescent="0.25">
      <c r="B35" s="114" t="s">
        <v>4</v>
      </c>
      <c r="C35" s="66" t="s">
        <v>16</v>
      </c>
      <c r="D35" s="87">
        <f>SUM(AB7,AD7,AF7,AH7,AJ7,AL7)</f>
        <v>1.2042030000000001</v>
      </c>
      <c r="E35" s="87">
        <f>SUM(AK7,AI7,AG7,AE7,AC7,AA7)</f>
        <v>2.8223460000000005</v>
      </c>
      <c r="F35" s="87">
        <f>SUM(AB14,AD14,AF14,AH14,AJ14,AL14)</f>
        <v>1.2053041322</v>
      </c>
      <c r="G35" s="95">
        <f>SUM(AA14,AC14,AE14,AG14,AI14,AK14)</f>
        <v>1.8878905000000001</v>
      </c>
      <c r="H35" s="18"/>
      <c r="I35" s="92"/>
      <c r="J35" s="92"/>
      <c r="K35" s="18"/>
    </row>
    <row r="36" spans="2:11" x14ac:dyDescent="0.25">
      <c r="B36" s="114"/>
      <c r="C36" s="66" t="s">
        <v>41</v>
      </c>
      <c r="D36" s="87">
        <f>SUM(N7,P7,R7,T7,V7,X7,Z7)</f>
        <v>22.498349999999995</v>
      </c>
      <c r="E36" s="87">
        <f>SUM(M7,O7,Q7,S7,U7,W7,Y7)</f>
        <v>2.933665</v>
      </c>
      <c r="F36" s="87">
        <f>SUM(N14,P14,R14,T14,V14,X14,Z14)</f>
        <v>22.278460190499999</v>
      </c>
      <c r="G36" s="95">
        <f>SUM(M14,O14,Q14,S14,U14,W14,Y14)</f>
        <v>2.7338929630000002</v>
      </c>
      <c r="H36" s="18"/>
      <c r="I36" s="92"/>
      <c r="J36" s="92"/>
      <c r="K36" s="18"/>
    </row>
    <row r="37" spans="2:11" x14ac:dyDescent="0.25">
      <c r="B37" s="114"/>
      <c r="C37" s="66" t="s">
        <v>42</v>
      </c>
      <c r="D37" s="87">
        <f>SUM(D7,H7,I7,K7)</f>
        <v>9.9855279999999986</v>
      </c>
      <c r="E37" s="87">
        <f>SUM(C7,G7,J7,L7)</f>
        <v>12.78627</v>
      </c>
      <c r="F37" s="87">
        <f>SUM(D14,H14,I14,K14)</f>
        <v>6.8587816999999998</v>
      </c>
      <c r="G37" s="95">
        <f>SUM(C14,G14,J14,L14)</f>
        <v>9.3005890000000004</v>
      </c>
      <c r="H37" s="18"/>
      <c r="I37" s="92"/>
      <c r="J37" s="92"/>
      <c r="K37" s="18"/>
    </row>
    <row r="38" spans="2:11" x14ac:dyDescent="0.25">
      <c r="B38" s="114"/>
      <c r="C38" s="66" t="s">
        <v>43</v>
      </c>
      <c r="D38" s="87">
        <f>F7</f>
        <v>13.33</v>
      </c>
      <c r="E38" s="87">
        <f>E7</f>
        <v>24.57</v>
      </c>
      <c r="F38" s="87">
        <f>F14</f>
        <v>7.6418400000000002</v>
      </c>
      <c r="G38" s="95">
        <f>E14</f>
        <v>11.036909999999999</v>
      </c>
      <c r="H38" s="18"/>
      <c r="I38" s="92"/>
      <c r="J38" s="92"/>
      <c r="K38" s="18"/>
    </row>
    <row r="39" spans="2:11" x14ac:dyDescent="0.25">
      <c r="B39" s="114"/>
      <c r="C39" s="66" t="s">
        <v>44</v>
      </c>
      <c r="D39" s="87">
        <v>0</v>
      </c>
      <c r="E39" s="87">
        <v>1.5</v>
      </c>
      <c r="F39" s="87">
        <v>0</v>
      </c>
      <c r="G39" s="95">
        <v>1.8</v>
      </c>
      <c r="H39" s="18"/>
      <c r="I39" s="92"/>
      <c r="J39" s="92"/>
      <c r="K39" s="18"/>
    </row>
    <row r="40" spans="2:11" x14ac:dyDescent="0.25">
      <c r="B40" s="114" t="s">
        <v>24</v>
      </c>
      <c r="C40" s="66" t="s">
        <v>16</v>
      </c>
      <c r="D40" s="29">
        <f>SUM(D25,D30,D35)</f>
        <v>1.9912831160000002</v>
      </c>
      <c r="E40" s="29">
        <f t="shared" ref="E40:G40" si="35">SUM(E25,E30,E35)</f>
        <v>17.949973</v>
      </c>
      <c r="F40" s="29">
        <f t="shared" si="35"/>
        <v>1.9641517534296</v>
      </c>
      <c r="G40" s="27">
        <f t="shared" si="35"/>
        <v>14.547329600000001</v>
      </c>
      <c r="H40" s="90">
        <f>(G40-E40)/E40</f>
        <v>-0.18956259154261673</v>
      </c>
      <c r="I40" s="119">
        <f>G40-E40</f>
        <v>-3.4026433999999988</v>
      </c>
      <c r="J40" s="92"/>
      <c r="K40" s="90"/>
    </row>
    <row r="41" spans="2:11" x14ac:dyDescent="0.25">
      <c r="B41" s="114"/>
      <c r="C41" s="66" t="s">
        <v>41</v>
      </c>
      <c r="D41" s="29">
        <f>SUM(D26,D31,D36)</f>
        <v>52.862089999999995</v>
      </c>
      <c r="E41" s="29">
        <f t="shared" ref="E41:G41" si="36">SUM(E26,E31,E36)</f>
        <v>6.86965</v>
      </c>
      <c r="F41" s="29">
        <f t="shared" si="36"/>
        <v>51.781604702999999</v>
      </c>
      <c r="G41" s="27">
        <f t="shared" si="36"/>
        <v>6.3902502299999995</v>
      </c>
      <c r="H41" s="90">
        <f t="shared" ref="H41:H44" si="37">(G41-E41)/E41</f>
        <v>-6.9785181195548621E-2</v>
      </c>
      <c r="I41" s="119">
        <f t="shared" ref="I41:I44" si="38">G41-E41</f>
        <v>-0.47939977000000056</v>
      </c>
      <c r="J41" s="92"/>
      <c r="K41" s="90"/>
    </row>
    <row r="42" spans="2:11" x14ac:dyDescent="0.25">
      <c r="B42" s="114"/>
      <c r="C42" s="66" t="s">
        <v>49</v>
      </c>
      <c r="D42" s="29">
        <f>SUM(D27,D32,D37)</f>
        <v>29.666187999999998</v>
      </c>
      <c r="E42" s="29">
        <f>SUM(E27,E32,E37)</f>
        <v>32.211412000000003</v>
      </c>
      <c r="F42" s="29">
        <f t="shared" ref="F42" si="39">SUM(F27,F32,F37)</f>
        <v>20.9937232411</v>
      </c>
      <c r="G42" s="27">
        <f>SUM(G27,G32,G37)</f>
        <v>23.524523000000002</v>
      </c>
      <c r="H42" s="90">
        <f t="shared" si="37"/>
        <v>-0.2696835829488009</v>
      </c>
      <c r="I42" s="119">
        <f t="shared" si="38"/>
        <v>-8.6868890000000007</v>
      </c>
      <c r="J42" s="92"/>
      <c r="K42" s="90"/>
    </row>
    <row r="43" spans="2:11" x14ac:dyDescent="0.25">
      <c r="B43" s="114"/>
      <c r="C43" s="66" t="s">
        <v>50</v>
      </c>
      <c r="D43" s="29">
        <f>SUM(D28,D33,D38)</f>
        <v>31.07</v>
      </c>
      <c r="E43" s="29">
        <f>SUM(E28,E33,E38)</f>
        <v>55.79</v>
      </c>
      <c r="F43" s="29">
        <f>SUM(F28,F33,F38)</f>
        <v>17.552261999999999</v>
      </c>
      <c r="G43" s="27">
        <f>SUM(G28,G33,G38)</f>
        <v>24.63147</v>
      </c>
      <c r="H43" s="90">
        <f t="shared" si="37"/>
        <v>-0.55849668399354724</v>
      </c>
      <c r="I43" s="119">
        <f>G43-E43</f>
        <v>-31.158529999999999</v>
      </c>
      <c r="J43" s="92"/>
      <c r="K43" s="90"/>
    </row>
    <row r="44" spans="2:11" x14ac:dyDescent="0.25">
      <c r="B44" s="114"/>
      <c r="C44" s="66" t="s">
        <v>44</v>
      </c>
      <c r="D44" s="29">
        <f>SUM(D29,D34,D39)</f>
        <v>0</v>
      </c>
      <c r="E44" s="29">
        <f>SUM(E29,E34,E39)</f>
        <v>2.2999999999999998</v>
      </c>
      <c r="F44" s="29">
        <f t="shared" ref="F44" si="40">SUM(F29,F34,F39)</f>
        <v>0</v>
      </c>
      <c r="G44" s="27">
        <f>SUM(G29,G34,G39)</f>
        <v>2.238</v>
      </c>
      <c r="H44" s="90">
        <f t="shared" si="37"/>
        <v>-2.6956521739130365E-2</v>
      </c>
      <c r="I44" s="119">
        <f t="shared" si="38"/>
        <v>-6.1999999999999833E-2</v>
      </c>
      <c r="J44" s="92"/>
      <c r="K44" s="90"/>
    </row>
    <row r="45" spans="2:11" ht="16.5" thickBot="1" x14ac:dyDescent="0.3">
      <c r="B45" s="96" t="s">
        <v>45</v>
      </c>
      <c r="C45" s="99" t="s">
        <v>46</v>
      </c>
      <c r="D45" s="97">
        <f>SUM(D40:D44)</f>
        <v>115.589561116</v>
      </c>
      <c r="E45" s="97">
        <f t="shared" ref="E45:G45" si="41">SUM(E40:E44)</f>
        <v>115.12103499999999</v>
      </c>
      <c r="F45" s="97">
        <f>SUM(F40:F44)</f>
        <v>92.291741697529588</v>
      </c>
      <c r="G45" s="98">
        <f t="shared" si="41"/>
        <v>71.331572829999999</v>
      </c>
      <c r="H45" s="91"/>
      <c r="I45" s="93"/>
      <c r="J45" s="93"/>
      <c r="K45" s="18"/>
    </row>
    <row r="48" spans="2:11" x14ac:dyDescent="0.25">
      <c r="E48" s="85"/>
      <c r="G48" s="45"/>
    </row>
    <row r="49" spans="4:8" x14ac:dyDescent="0.25">
      <c r="D49" s="85"/>
    </row>
    <row r="50" spans="4:8" s="2" customFormat="1" x14ac:dyDescent="0.25">
      <c r="G50" s="45"/>
      <c r="H50" s="45"/>
    </row>
    <row r="51" spans="4:8" s="2" customFormat="1" x14ac:dyDescent="0.25"/>
  </sheetData>
  <mergeCells count="54">
    <mergeCell ref="B35:B39"/>
    <mergeCell ref="E10:F10"/>
    <mergeCell ref="F23:G23"/>
    <mergeCell ref="I23:J23"/>
    <mergeCell ref="B25:B29"/>
    <mergeCell ref="B30:B34"/>
    <mergeCell ref="U10:V10"/>
    <mergeCell ref="B40:B44"/>
    <mergeCell ref="D23:E23"/>
    <mergeCell ref="M2:Z2"/>
    <mergeCell ref="A16:A19"/>
    <mergeCell ref="A12:A14"/>
    <mergeCell ref="I3:J3"/>
    <mergeCell ref="K3:L3"/>
    <mergeCell ref="M3:N3"/>
    <mergeCell ref="M10:N10"/>
    <mergeCell ref="Q10:R10"/>
    <mergeCell ref="M9:Z9"/>
    <mergeCell ref="O3:P3"/>
    <mergeCell ref="O10:P10"/>
    <mergeCell ref="E3:F3"/>
    <mergeCell ref="I10:J10"/>
    <mergeCell ref="C2:L2"/>
    <mergeCell ref="C3:D3"/>
    <mergeCell ref="C10:D10"/>
    <mergeCell ref="K10:L10"/>
    <mergeCell ref="A15:AL15"/>
    <mergeCell ref="Y3:Z3"/>
    <mergeCell ref="Y10:Z10"/>
    <mergeCell ref="AI10:AJ10"/>
    <mergeCell ref="AK10:AL10"/>
    <mergeCell ref="AE10:AF10"/>
    <mergeCell ref="A8:AL8"/>
    <mergeCell ref="A5:A7"/>
    <mergeCell ref="AK3:AL3"/>
    <mergeCell ref="Q3:R3"/>
    <mergeCell ref="W10:X10"/>
    <mergeCell ref="S10:T10"/>
    <mergeCell ref="C9:L9"/>
    <mergeCell ref="AA2:AL2"/>
    <mergeCell ref="AA3:AB3"/>
    <mergeCell ref="AG10:AH10"/>
    <mergeCell ref="G3:H3"/>
    <mergeCell ref="G10:H10"/>
    <mergeCell ref="W3:X3"/>
    <mergeCell ref="S3:T3"/>
    <mergeCell ref="AI3:AJ3"/>
    <mergeCell ref="AE3:AF3"/>
    <mergeCell ref="U3:V3"/>
    <mergeCell ref="AG3:AH3"/>
    <mergeCell ref="AA9:AL9"/>
    <mergeCell ref="AA10:AB10"/>
    <mergeCell ref="AC3:AD3"/>
    <mergeCell ref="AC10:AD10"/>
  </mergeCells>
  <conditionalFormatting sqref="H25:H44">
    <cfRule type="cellIs" dxfId="3" priority="1" operator="equal">
      <formula>"FAIL"</formula>
    </cfRule>
    <cfRule type="cellIs" dxfId="2" priority="2" operator="equal">
      <formula>"PASS"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5" sqref="A15"/>
    </sheetView>
  </sheetViews>
  <sheetFormatPr defaultRowHeight="15" x14ac:dyDescent="0.25"/>
  <cols>
    <col min="1" max="1" width="133.5703125" bestFit="1" customWidth="1"/>
  </cols>
  <sheetData>
    <row r="1" spans="1:1" s="1" customFormat="1" x14ac:dyDescent="0.25">
      <c r="A1" s="1" t="s">
        <v>9</v>
      </c>
    </row>
    <row r="2" spans="1:1" x14ac:dyDescent="0.25">
      <c r="A2" t="s">
        <v>8</v>
      </c>
    </row>
    <row r="3" spans="1:1" x14ac:dyDescent="0.25">
      <c r="A3" s="20" t="s">
        <v>7</v>
      </c>
    </row>
    <row r="4" spans="1:1" x14ac:dyDescent="0.25">
      <c r="A4" s="20" t="s">
        <v>10</v>
      </c>
    </row>
    <row r="5" spans="1:1" x14ac:dyDescent="0.25">
      <c r="A5" s="20" t="s">
        <v>11</v>
      </c>
    </row>
    <row r="6" spans="1:1" x14ac:dyDescent="0.25">
      <c r="A6" s="20" t="s">
        <v>12</v>
      </c>
    </row>
    <row r="7" spans="1:1" s="2" customFormat="1" x14ac:dyDescent="0.25">
      <c r="A7" s="20" t="s">
        <v>23</v>
      </c>
    </row>
    <row r="8" spans="1:1" s="2" customFormat="1" x14ac:dyDescent="0.25">
      <c r="A8" s="89" t="s">
        <v>51</v>
      </c>
    </row>
    <row r="9" spans="1:1" s="2" customFormat="1" x14ac:dyDescent="0.25">
      <c r="A9" s="88" t="s">
        <v>52</v>
      </c>
    </row>
    <row r="10" spans="1:1" x14ac:dyDescent="0.25">
      <c r="A10" t="s">
        <v>14</v>
      </c>
    </row>
    <row r="11" spans="1:1" x14ac:dyDescent="0.25">
      <c r="A11" s="20" t="s">
        <v>21</v>
      </c>
    </row>
    <row r="16" spans="1:1" x14ac:dyDescent="0.25">
      <c r="A1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summary</vt:lpstr>
      <vt:lpstr>Growth and Control Notes 11-17</vt:lpstr>
      <vt:lpstr>SW CT VOCPIE </vt:lpstr>
      <vt:lpstr>SW CT NOX PIE</vt:lpstr>
    </vt:vector>
  </TitlesOfParts>
  <Company>Connecticut DEEP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KnightK</dc:creator>
  <cp:lastModifiedBy>KnightK</cp:lastModifiedBy>
  <cp:lastPrinted>2017-03-02T16:14:24Z</cp:lastPrinted>
  <dcterms:created xsi:type="dcterms:W3CDTF">2016-11-14T18:21:13Z</dcterms:created>
  <dcterms:modified xsi:type="dcterms:W3CDTF">2017-07-28T16:03:54Z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2057521787</vt:i4>
  </property>
  <property fmtid="{D5CDD505-2E9C-101B-9397-08002B2CF9AE}" pid="3" name="_NewReviewCycle">
    <vt:lpwstr/>
  </property>
  <property fmtid="{D5CDD505-2E9C-101B-9397-08002B2CF9AE}" pid="4" name="_EmailSubject">
    <vt:lpwstr>QA of growth/control files</vt:lpwstr>
  </property>
  <property fmtid="{D5CDD505-2E9C-101B-9397-08002B2CF9AE}" pid="5" name="_AuthorEmail">
    <vt:lpwstr>Paul.Bodner@ct.gov</vt:lpwstr>
  </property>
  <property fmtid="{D5CDD505-2E9C-101B-9397-08002B2CF9AE}" pid="6" name="_AuthorEmailDisplayName">
    <vt:lpwstr>Bodner, Paul</vt:lpwstr>
  </property>
  <property fmtid="{D5CDD505-2E9C-101B-9397-08002B2CF9AE}" pid="7" name="_ReviewingToolsShownOnce">
    <vt:lpwstr/>
  </property>
</Properties>
</file>