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30" i="1" s="1"/>
  <c r="H30" i="1" s="1"/>
  <c r="D30" i="1"/>
  <c r="F29" i="1"/>
  <c r="E29" i="1"/>
  <c r="G29" i="1" s="1"/>
  <c r="D29" i="1"/>
  <c r="H29" i="1" s="1"/>
  <c r="G28" i="1"/>
  <c r="F28" i="1"/>
  <c r="E28" i="1"/>
  <c r="D28" i="1"/>
  <c r="H28" i="1" s="1"/>
  <c r="F27" i="1"/>
  <c r="G27" i="1" s="1"/>
  <c r="H27" i="1" s="1"/>
  <c r="E27" i="1"/>
  <c r="F26" i="1"/>
  <c r="G26" i="1" s="1"/>
  <c r="E26" i="1"/>
  <c r="D26" i="1"/>
  <c r="F25" i="1"/>
  <c r="E25" i="1"/>
  <c r="G25" i="1" s="1"/>
  <c r="D25" i="1"/>
  <c r="H25" i="1" s="1"/>
  <c r="F24" i="1"/>
  <c r="E24" i="1"/>
  <c r="G24" i="1" s="1"/>
  <c r="H24" i="1" s="1"/>
  <c r="F23" i="1"/>
  <c r="E23" i="1"/>
  <c r="G23" i="1" s="1"/>
  <c r="D23" i="1"/>
  <c r="G22" i="1"/>
  <c r="F22" i="1"/>
  <c r="E22" i="1"/>
  <c r="D22" i="1"/>
  <c r="H22" i="1" s="1"/>
  <c r="F21" i="1"/>
  <c r="E21" i="1"/>
  <c r="G21" i="1" s="1"/>
  <c r="D21" i="1"/>
  <c r="H21" i="1" s="1"/>
  <c r="F20" i="1"/>
  <c r="E20" i="1"/>
  <c r="G20" i="1" s="1"/>
  <c r="D20" i="1"/>
  <c r="H20" i="1" s="1"/>
  <c r="F19" i="1"/>
  <c r="E19" i="1"/>
  <c r="G19" i="1" s="1"/>
  <c r="D19" i="1"/>
  <c r="H19" i="1" s="1"/>
  <c r="G18" i="1"/>
  <c r="F18" i="1"/>
  <c r="E18" i="1"/>
  <c r="D18" i="1"/>
  <c r="H18" i="1" s="1"/>
  <c r="F17" i="1"/>
  <c r="E17" i="1"/>
  <c r="G17" i="1" s="1"/>
  <c r="D17" i="1"/>
  <c r="F16" i="1"/>
  <c r="E16" i="1"/>
  <c r="G16" i="1" s="1"/>
  <c r="D16" i="1"/>
  <c r="H16" i="1" s="1"/>
  <c r="F15" i="1"/>
  <c r="E15" i="1"/>
  <c r="G15" i="1" s="1"/>
  <c r="D15" i="1"/>
  <c r="H15" i="1" s="1"/>
  <c r="G14" i="1"/>
  <c r="F14" i="1"/>
  <c r="E14" i="1"/>
  <c r="D14" i="1"/>
  <c r="H14" i="1" s="1"/>
  <c r="F13" i="1"/>
  <c r="E13" i="1"/>
  <c r="G13" i="1" s="1"/>
  <c r="D13" i="1"/>
  <c r="H13" i="1" s="1"/>
  <c r="F12" i="1"/>
  <c r="E12" i="1"/>
  <c r="G12" i="1" s="1"/>
  <c r="D12" i="1"/>
  <c r="F11" i="1"/>
  <c r="E11" i="1"/>
  <c r="G11" i="1" s="1"/>
  <c r="D11" i="1"/>
  <c r="H11" i="1" s="1"/>
  <c r="G10" i="1"/>
  <c r="F10" i="1"/>
  <c r="E10" i="1"/>
  <c r="D10" i="1"/>
  <c r="H10" i="1" s="1"/>
  <c r="F9" i="1"/>
  <c r="E9" i="1"/>
  <c r="G9" i="1" s="1"/>
  <c r="D9" i="1"/>
  <c r="H9" i="1" s="1"/>
  <c r="F8" i="1"/>
  <c r="E8" i="1"/>
  <c r="G8" i="1" s="1"/>
  <c r="H8" i="1" s="1"/>
  <c r="F7" i="1"/>
  <c r="F31" i="1" s="1"/>
  <c r="E7" i="1"/>
  <c r="G7" i="1" s="1"/>
  <c r="D7" i="1"/>
  <c r="D31" i="1" s="1"/>
  <c r="G31" i="1" l="1"/>
  <c r="H12" i="1"/>
  <c r="H17" i="1"/>
  <c r="H23" i="1"/>
  <c r="H26" i="1"/>
  <c r="E31" i="1"/>
  <c r="H7" i="1"/>
  <c r="H31" i="1" l="1"/>
</calcChain>
</file>

<file path=xl/sharedStrings.xml><?xml version="1.0" encoding="utf-8"?>
<sst xmlns="http://schemas.openxmlformats.org/spreadsheetml/2006/main" count="48" uniqueCount="46">
  <si>
    <t>DEPARTMENT OF CHILDREN AND FAMILIES</t>
  </si>
  <si>
    <t>Comprehensive Financial Status Report</t>
  </si>
  <si>
    <t>Schedule 1   -   Summary   -   Consolidated Agency   -   DCF91000</t>
  </si>
  <si>
    <t>For The Month Ending: October 31, 2018</t>
  </si>
  <si>
    <t>A</t>
  </si>
  <si>
    <t>B</t>
  </si>
  <si>
    <t>C</t>
  </si>
  <si>
    <t>D = B+C</t>
  </si>
  <si>
    <t>E = A-D</t>
  </si>
  <si>
    <t>SAAAS SID</t>
  </si>
  <si>
    <t>Core-CT SID</t>
  </si>
  <si>
    <t>ACCOUNT NAME</t>
  </si>
  <si>
    <t>BUDGETED - B1   (Updated by CO Only)</t>
  </si>
  <si>
    <t xml:space="preserve">ACTUAL EXPENDITURES YTD </t>
  </si>
  <si>
    <t xml:space="preserve">PROJECTED EXPENDITURES TO EOY </t>
  </si>
  <si>
    <t>TOTAL EXPENDITURES TO EOY</t>
  </si>
  <si>
    <t>VARIANCE                (Budgeted to Projected)</t>
  </si>
  <si>
    <t>001</t>
  </si>
  <si>
    <t>PERSONAL SERVICES</t>
  </si>
  <si>
    <t>002</t>
  </si>
  <si>
    <t>OTHER EXPENSES</t>
  </si>
  <si>
    <t>039</t>
  </si>
  <si>
    <r>
      <t xml:space="preserve">WORKERS' COMPENSATION CLAIMS  </t>
    </r>
    <r>
      <rPr>
        <sz val="12"/>
        <color rgb="FFFF0000"/>
        <rFont val="Arial"/>
        <family val="2"/>
      </rPr>
      <t xml:space="preserve"> ESTIMATED</t>
    </r>
  </si>
  <si>
    <t>N/A</t>
  </si>
  <si>
    <t>FAMILY SUPPORT SERVICES</t>
  </si>
  <si>
    <t>DIFFERENTIAL RESPONSE SYSTEM</t>
  </si>
  <si>
    <t>REGIONAL BEHAVIORAL HEALTH CONSULTATION</t>
  </si>
  <si>
    <t>HEALTH ASSESSMENT AND CONSULTATION</t>
  </si>
  <si>
    <t>GRANTS FOR PSYCHIATRIC CLINICS FOR CHILDREN</t>
  </si>
  <si>
    <t>DAY TREATMENT CENTERS FOR CHILDREN</t>
  </si>
  <si>
    <t>CHILD ABUSE AND NEGLECT INTERVENTION</t>
  </si>
  <si>
    <t>COMMUNITY BASED PREVENTION PROGRAMS</t>
  </si>
  <si>
    <t>FAMILY VIOLENCE OUTREACH AND COUNSELING</t>
  </si>
  <si>
    <t>SUPPORTIVE HOUSING</t>
  </si>
  <si>
    <t>NO NEXUS SPECIAL EDUCATION</t>
  </si>
  <si>
    <t>FAMILY PRESERVATION SERVICES</t>
  </si>
  <si>
    <t>SUBSTANCE ABUSE TREATMENT</t>
  </si>
  <si>
    <t>CHILD WELFARE SUPPORT SERVICES</t>
  </si>
  <si>
    <t>BOARD AND CARE FOR CHILDREN - ADOPTION</t>
  </si>
  <si>
    <t>BOARD AND CARE FOR CHILDREN - FOSTER</t>
  </si>
  <si>
    <t>BOARD AND CARE FOR CHILDREN - SHORT TERM &amp; RESIDENTIAL</t>
  </si>
  <si>
    <t>INDIVIDUALIZED FAMILY SUPPORTS</t>
  </si>
  <si>
    <t>COMMUNITY KIDCARE</t>
  </si>
  <si>
    <t>COVENANT TO CARE</t>
  </si>
  <si>
    <t>NEIGHBORHOOD CENTER</t>
  </si>
  <si>
    <t>GENERAL FUND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</si>
</sst>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Helvetica"/>
    </font>
    <font>
      <b/>
      <sz val="10"/>
      <name val="Helvetica"/>
    </font>
    <font>
      <sz val="10"/>
      <name val="Helvetica"/>
    </font>
    <font>
      <b/>
      <sz val="9"/>
      <name val="Helvetica"/>
    </font>
    <font>
      <sz val="12"/>
      <name val="Helvetica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3" fillId="0" borderId="4" xfId="0" quotePrefix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/>
    <xf numFmtId="0" fontId="3" fillId="0" borderId="7" xfId="0" quotePrefix="1" applyFont="1" applyFill="1" applyBorder="1" applyAlignment="1">
      <alignment horizontal="left" wrapText="1"/>
    </xf>
    <xf numFmtId="0" fontId="0" fillId="0" borderId="7" xfId="0" applyFill="1" applyBorder="1"/>
    <xf numFmtId="0" fontId="4" fillId="0" borderId="7" xfId="0" applyFont="1" applyFill="1" applyBorder="1" applyAlignment="1">
      <alignment horizontal="center"/>
    </xf>
    <xf numFmtId="0" fontId="4" fillId="0" borderId="7" xfId="0" quotePrefix="1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9" xfId="0" quotePrefix="1" applyFont="1" applyFill="1" applyBorder="1" applyAlignment="1">
      <alignment horizontal="center" wrapText="1"/>
    </xf>
    <xf numFmtId="0" fontId="5" fillId="0" borderId="9" xfId="0" quotePrefix="1" applyFont="1" applyFill="1" applyBorder="1" applyAlignment="1" applyProtection="1">
      <alignment horizontal="center" wrapText="1"/>
    </xf>
    <xf numFmtId="0" fontId="6" fillId="0" borderId="9" xfId="0" applyFont="1" applyFill="1" applyBorder="1" applyAlignment="1">
      <alignment horizontal="center"/>
    </xf>
    <xf numFmtId="0" fontId="7" fillId="0" borderId="9" xfId="0" quotePrefix="1" applyFont="1" applyFill="1" applyBorder="1" applyAlignment="1">
      <alignment horizontal="left"/>
    </xf>
    <xf numFmtId="41" fontId="7" fillId="0" borderId="9" xfId="0" applyNumberFormat="1" applyFont="1" applyFill="1" applyBorder="1"/>
    <xf numFmtId="164" fontId="7" fillId="0" borderId="9" xfId="1" applyNumberFormat="1" applyFont="1" applyFill="1" applyBorder="1"/>
    <xf numFmtId="42" fontId="7" fillId="0" borderId="9" xfId="0" applyNumberFormat="1" applyFont="1" applyFill="1" applyBorder="1"/>
    <xf numFmtId="0" fontId="7" fillId="0" borderId="9" xfId="0" applyFont="1" applyFill="1" applyBorder="1" applyAlignment="1">
      <alignment horizontal="left"/>
    </xf>
    <xf numFmtId="0" fontId="6" fillId="0" borderId="9" xfId="0" quotePrefix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left"/>
    </xf>
    <xf numFmtId="0" fontId="6" fillId="0" borderId="9" xfId="0" applyFont="1" applyFill="1" applyBorder="1"/>
    <xf numFmtId="42" fontId="7" fillId="0" borderId="10" xfId="0" applyNumberFormat="1" applyFont="1" applyFill="1" applyBorder="1"/>
    <xf numFmtId="42" fontId="7" fillId="0" borderId="1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utterfield\AppData\Local\Microsoft\Windows\Temporary%20Internet%20Files\Content.Outlook\PPGYTV9O\Consolidated%20Summary%20SFY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FSR%20Active%20Files\FY2019%20CFSR%20Active%20Files\CFSR%20Schedules\Central%20Office%20SFY%20'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FSR%20Active%20Files\FY2019%20CFSR%20Active%20Files\CFSR%20Schedules\Region%20SFY%20'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2)"/>
      <sheetName val="Summary"/>
      <sheetName val="Consolidated PS Proj"/>
      <sheetName val="Personal Services Detail"/>
      <sheetName val="Link Caseload Data"/>
      <sheetName val="Other Expense Detail"/>
      <sheetName val="Schedule 5"/>
      <sheetName val="Formulas"/>
    </sheetNames>
    <sheetDataSet>
      <sheetData sheetId="0"/>
      <sheetData sheetId="1"/>
      <sheetData sheetId="2"/>
      <sheetData sheetId="3">
        <row r="38">
          <cell r="AF38">
            <v>97762033</v>
          </cell>
          <cell r="AG38">
            <v>172665935.66666666</v>
          </cell>
        </row>
      </sheetData>
      <sheetData sheetId="4"/>
      <sheetData sheetId="5">
        <row r="274">
          <cell r="P274">
            <v>9241210.9400000013</v>
          </cell>
          <cell r="Q274">
            <v>20081145.449999996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 PS Proj"/>
      <sheetName val="Personal Services Detail"/>
      <sheetName val="OE Posting"/>
      <sheetName val="Other Expense Detail"/>
      <sheetName val="Schedule 5"/>
      <sheetName val="Formulas"/>
    </sheetNames>
    <sheetDataSet>
      <sheetData sheetId="0">
        <row r="9">
          <cell r="D9">
            <v>12578720</v>
          </cell>
          <cell r="E9">
            <v>4384826.79</v>
          </cell>
          <cell r="F9">
            <v>6937848.7800000003</v>
          </cell>
        </row>
        <row r="10">
          <cell r="E10">
            <v>468540</v>
          </cell>
          <cell r="F10">
            <v>477911</v>
          </cell>
        </row>
        <row r="11">
          <cell r="E11">
            <v>4021136</v>
          </cell>
          <cell r="F11">
            <v>4330159</v>
          </cell>
        </row>
        <row r="12">
          <cell r="E12">
            <v>822136</v>
          </cell>
          <cell r="F12">
            <v>823888</v>
          </cell>
        </row>
        <row r="13">
          <cell r="E13">
            <v>687231</v>
          </cell>
          <cell r="F13">
            <v>726959</v>
          </cell>
        </row>
        <row r="14">
          <cell r="E14">
            <v>7013310.3300000001</v>
          </cell>
          <cell r="F14">
            <v>9175739.6699999999</v>
          </cell>
        </row>
        <row r="15">
          <cell r="E15">
            <v>3604154</v>
          </cell>
          <cell r="F15">
            <v>3671623</v>
          </cell>
        </row>
        <row r="16">
          <cell r="E16">
            <v>4593982</v>
          </cell>
          <cell r="F16">
            <v>4931445</v>
          </cell>
        </row>
        <row r="17">
          <cell r="E17">
            <v>3778850.93</v>
          </cell>
          <cell r="F17">
            <v>3747149.0700000003</v>
          </cell>
        </row>
        <row r="18">
          <cell r="E18">
            <v>1832038</v>
          </cell>
          <cell r="F18">
            <v>1915120</v>
          </cell>
        </row>
        <row r="19">
          <cell r="E19">
            <v>9832655</v>
          </cell>
          <cell r="F19">
            <v>10054736</v>
          </cell>
        </row>
        <row r="20">
          <cell r="D20">
            <v>2151861</v>
          </cell>
          <cell r="E20">
            <v>793133.13</v>
          </cell>
          <cell r="F20">
            <v>1337663.3700000001</v>
          </cell>
        </row>
        <row r="21">
          <cell r="E21">
            <v>3157525</v>
          </cell>
          <cell r="F21">
            <v>3391048</v>
          </cell>
        </row>
        <row r="22">
          <cell r="E22">
            <v>4377796</v>
          </cell>
          <cell r="F22">
            <v>8425510.5800000001</v>
          </cell>
        </row>
        <row r="23">
          <cell r="E23">
            <v>930477.25</v>
          </cell>
          <cell r="F23">
            <v>918713.5</v>
          </cell>
        </row>
        <row r="24">
          <cell r="E24">
            <v>48758001.829999998</v>
          </cell>
          <cell r="F24">
            <v>50267232</v>
          </cell>
        </row>
        <row r="25">
          <cell r="E25">
            <v>56543355.319999993</v>
          </cell>
          <cell r="F25">
            <v>78890390</v>
          </cell>
        </row>
        <row r="26">
          <cell r="E26">
            <v>40264495.200000003</v>
          </cell>
          <cell r="F26">
            <v>48330710</v>
          </cell>
        </row>
        <row r="27">
          <cell r="E27">
            <v>2060586.1199999996</v>
          </cell>
          <cell r="F27">
            <v>3923524.57</v>
          </cell>
        </row>
        <row r="28">
          <cell r="E28">
            <v>20253936.780000001</v>
          </cell>
          <cell r="F28">
            <v>24090415.219999999</v>
          </cell>
        </row>
        <row r="29">
          <cell r="E29">
            <v>79908</v>
          </cell>
          <cell r="F29">
            <v>81504</v>
          </cell>
        </row>
        <row r="30">
          <cell r="D30">
            <v>0</v>
          </cell>
          <cell r="E30"/>
        </row>
      </sheetData>
      <sheetData sheetId="1">
        <row r="7">
          <cell r="C7">
            <v>1874394.2222222222</v>
          </cell>
        </row>
      </sheetData>
      <sheetData sheetId="2">
        <row r="8">
          <cell r="C8">
            <v>1796223</v>
          </cell>
        </row>
      </sheetData>
      <sheetData sheetId="3"/>
      <sheetData sheetId="4">
        <row r="9">
          <cell r="C9">
            <v>0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gion PS Proj"/>
      <sheetName val="Personal Services Detail"/>
      <sheetName val="OE Posting"/>
      <sheetName val="Other Expense Detail"/>
      <sheetName val="Schedule 5"/>
      <sheetName val="Formulas"/>
    </sheetNames>
    <sheetDataSet>
      <sheetData sheetId="0">
        <row r="26">
          <cell r="E26">
            <v>0</v>
          </cell>
          <cell r="F26">
            <v>1604.6</v>
          </cell>
          <cell r="G26">
            <v>2000</v>
          </cell>
        </row>
        <row r="27">
          <cell r="E27">
            <v>547184.74</v>
          </cell>
          <cell r="F27">
            <v>1452815.26</v>
          </cell>
        </row>
        <row r="28">
          <cell r="E28">
            <v>372281.41000000003</v>
          </cell>
          <cell r="F28">
            <v>1877718.5899999999</v>
          </cell>
        </row>
        <row r="29">
          <cell r="E29">
            <v>34247.57</v>
          </cell>
          <cell r="F29">
            <v>752.43000000000029</v>
          </cell>
        </row>
      </sheetData>
      <sheetData sheetId="1">
        <row r="7">
          <cell r="C7">
            <v>6114293.111111111</v>
          </cell>
        </row>
      </sheetData>
      <sheetData sheetId="2">
        <row r="8">
          <cell r="C8">
            <v>5767079</v>
          </cell>
        </row>
      </sheetData>
      <sheetData sheetId="3"/>
      <sheetData sheetId="4">
        <row r="9">
          <cell r="C9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F1" workbookViewId="0">
      <selection activeCell="N9" sqref="N9"/>
    </sheetView>
  </sheetViews>
  <sheetFormatPr defaultRowHeight="15" x14ac:dyDescent="0.25"/>
  <cols>
    <col min="3" max="3" width="73.7109375" customWidth="1"/>
    <col min="4" max="4" width="26.85546875" customWidth="1"/>
    <col min="5" max="5" width="22.5703125" customWidth="1"/>
    <col min="6" max="6" width="22.28515625" customWidth="1"/>
    <col min="7" max="7" width="24.140625" customWidth="1"/>
    <col min="8" max="8" width="26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10" t="s">
        <v>3</v>
      </c>
      <c r="B4" s="5"/>
      <c r="C4" s="5"/>
      <c r="D4" s="5"/>
      <c r="E4" s="5"/>
      <c r="F4" s="5"/>
      <c r="G4" s="5"/>
      <c r="H4" s="6"/>
    </row>
    <row r="5" spans="1:8" x14ac:dyDescent="0.25">
      <c r="A5" s="11"/>
      <c r="B5" s="12"/>
      <c r="C5" s="13"/>
      <c r="D5" s="14" t="s">
        <v>4</v>
      </c>
      <c r="E5" s="14" t="s">
        <v>5</v>
      </c>
      <c r="F5" s="14" t="s">
        <v>6</v>
      </c>
      <c r="G5" s="15" t="s">
        <v>7</v>
      </c>
      <c r="H5" s="16" t="s">
        <v>8</v>
      </c>
    </row>
    <row r="6" spans="1:8" ht="72.75" x14ac:dyDescent="0.25">
      <c r="A6" s="17" t="s">
        <v>9</v>
      </c>
      <c r="B6" s="17" t="s">
        <v>10</v>
      </c>
      <c r="C6" s="17" t="s">
        <v>11</v>
      </c>
      <c r="D6" s="18" t="s">
        <v>12</v>
      </c>
      <c r="E6" s="18" t="s">
        <v>13</v>
      </c>
      <c r="F6" s="19" t="s">
        <v>14</v>
      </c>
      <c r="G6" s="18" t="s">
        <v>15</v>
      </c>
      <c r="H6" s="18" t="s">
        <v>16</v>
      </c>
    </row>
    <row r="7" spans="1:8" ht="15.75" x14ac:dyDescent="0.25">
      <c r="A7" s="20" t="s">
        <v>17</v>
      </c>
      <c r="B7" s="20">
        <v>10010</v>
      </c>
      <c r="C7" s="21" t="s">
        <v>18</v>
      </c>
      <c r="D7" s="22">
        <f>266242164+577430+5612391</f>
        <v>272431985</v>
      </c>
      <c r="E7" s="22">
        <f>+'[1]Personal Services Detail'!AF38</f>
        <v>97762033</v>
      </c>
      <c r="F7" s="22">
        <f>+'[1]Personal Services Detail'!AG38</f>
        <v>172665935.66666666</v>
      </c>
      <c r="G7" s="23">
        <f>ROUND(E7+F7,0)</f>
        <v>270427969</v>
      </c>
      <c r="H7" s="24">
        <f>ROUND(D7-G7,0)</f>
        <v>2004016</v>
      </c>
    </row>
    <row r="8" spans="1:8" ht="15.75" x14ac:dyDescent="0.25">
      <c r="A8" s="20" t="s">
        <v>19</v>
      </c>
      <c r="B8" s="20">
        <v>10020</v>
      </c>
      <c r="C8" s="25" t="s">
        <v>20</v>
      </c>
      <c r="D8" s="22">
        <v>28887225</v>
      </c>
      <c r="E8" s="22">
        <f>+'[1]Other Expense Detail'!P274</f>
        <v>9241210.9400000013</v>
      </c>
      <c r="F8" s="22">
        <f>'[1]Other Expense Detail'!Q274</f>
        <v>20081145.449999996</v>
      </c>
      <c r="G8" s="24">
        <f>ROUND(E8+F8,0)</f>
        <v>29322356</v>
      </c>
      <c r="H8" s="24">
        <f>ROUND(D8-G8,0)</f>
        <v>-435131</v>
      </c>
    </row>
    <row r="9" spans="1:8" ht="15.75" x14ac:dyDescent="0.25">
      <c r="A9" s="26" t="s">
        <v>21</v>
      </c>
      <c r="B9" s="26">
        <v>12235</v>
      </c>
      <c r="C9" s="21" t="s">
        <v>22</v>
      </c>
      <c r="D9" s="22">
        <f>[2]Summary!D9</f>
        <v>12578720</v>
      </c>
      <c r="E9" s="22">
        <f>[2]Summary!$E$9</f>
        <v>4384826.79</v>
      </c>
      <c r="F9" s="22">
        <f>[2]Summary!$F$9</f>
        <v>6937848.7800000003</v>
      </c>
      <c r="G9" s="24">
        <f t="shared" ref="G9:G30" si="0">ROUND(E9+F9,0)</f>
        <v>11322676</v>
      </c>
      <c r="H9" s="24">
        <f t="shared" ref="H9:H30" si="1">ROUND(D9-G9,0)</f>
        <v>1256044</v>
      </c>
    </row>
    <row r="10" spans="1:8" ht="15.75" x14ac:dyDescent="0.25">
      <c r="A10" s="20" t="s">
        <v>23</v>
      </c>
      <c r="B10" s="20">
        <v>12304</v>
      </c>
      <c r="C10" s="25" t="s">
        <v>24</v>
      </c>
      <c r="D10" s="22">
        <f>867677+9371</f>
        <v>877048</v>
      </c>
      <c r="E10" s="22">
        <f>[2]Summary!$E$10</f>
        <v>468540</v>
      </c>
      <c r="F10" s="22">
        <f>[2]Summary!$F$10</f>
        <v>477911</v>
      </c>
      <c r="G10" s="24">
        <f>ROUND(E10+F10,0)</f>
        <v>946451</v>
      </c>
      <c r="H10" s="24">
        <f t="shared" si="1"/>
        <v>-69403</v>
      </c>
    </row>
    <row r="11" spans="1:8" ht="15.75" x14ac:dyDescent="0.25">
      <c r="A11" s="20" t="s">
        <v>23</v>
      </c>
      <c r="B11" s="20">
        <v>12515</v>
      </c>
      <c r="C11" s="25" t="s">
        <v>25</v>
      </c>
      <c r="D11" s="22">
        <f>7764046+55007</f>
        <v>7819053</v>
      </c>
      <c r="E11" s="22">
        <f>[2]Summary!$E$11</f>
        <v>4021136</v>
      </c>
      <c r="F11" s="22">
        <f>[2]Summary!$F$11</f>
        <v>4330159</v>
      </c>
      <c r="G11" s="24">
        <f t="shared" si="0"/>
        <v>8351295</v>
      </c>
      <c r="H11" s="24">
        <f>ROUND(D11-G11,0)</f>
        <v>-532242</v>
      </c>
    </row>
    <row r="12" spans="1:8" ht="15.75" x14ac:dyDescent="0.25">
      <c r="A12" s="20" t="s">
        <v>23</v>
      </c>
      <c r="B12" s="20">
        <v>12570</v>
      </c>
      <c r="C12" s="25" t="s">
        <v>26</v>
      </c>
      <c r="D12" s="22">
        <f>1619023+1753</f>
        <v>1620776</v>
      </c>
      <c r="E12" s="22">
        <f>[2]Summary!$E$12</f>
        <v>822136</v>
      </c>
      <c r="F12" s="22">
        <f>[2]Summary!$F$12</f>
        <v>823888</v>
      </c>
      <c r="G12" s="24">
        <f t="shared" si="0"/>
        <v>1646024</v>
      </c>
      <c r="H12" s="24">
        <f t="shared" si="1"/>
        <v>-25248</v>
      </c>
    </row>
    <row r="13" spans="1:8" ht="15.75" x14ac:dyDescent="0.25">
      <c r="A13" s="20">
        <v>601</v>
      </c>
      <c r="B13" s="20">
        <v>16008</v>
      </c>
      <c r="C13" s="25" t="s">
        <v>27</v>
      </c>
      <c r="D13" s="22">
        <f>1082532+13357</f>
        <v>1095889</v>
      </c>
      <c r="E13" s="22">
        <f>[2]Summary!$E$13</f>
        <v>687231</v>
      </c>
      <c r="F13" s="22">
        <f>[2]Summary!$F$13</f>
        <v>726959</v>
      </c>
      <c r="G13" s="24">
        <f t="shared" si="0"/>
        <v>1414190</v>
      </c>
      <c r="H13" s="24">
        <f t="shared" si="1"/>
        <v>-318301</v>
      </c>
    </row>
    <row r="14" spans="1:8" ht="15.75" x14ac:dyDescent="0.25">
      <c r="A14" s="20">
        <v>602</v>
      </c>
      <c r="B14" s="20">
        <v>16024</v>
      </c>
      <c r="C14" s="21" t="s">
        <v>28</v>
      </c>
      <c r="D14" s="22">
        <f>14979041+120920</f>
        <v>15099961</v>
      </c>
      <c r="E14" s="22">
        <f>[2]Summary!$E$14</f>
        <v>7013310.3300000001</v>
      </c>
      <c r="F14" s="22">
        <f>[2]Summary!$F$14</f>
        <v>9175739.6699999999</v>
      </c>
      <c r="G14" s="24">
        <f t="shared" si="0"/>
        <v>16189050</v>
      </c>
      <c r="H14" s="24">
        <f t="shared" si="1"/>
        <v>-1089089</v>
      </c>
    </row>
    <row r="15" spans="1:8" ht="15.75" x14ac:dyDescent="0.25">
      <c r="A15" s="20">
        <v>603</v>
      </c>
      <c r="B15" s="20">
        <v>16033</v>
      </c>
      <c r="C15" s="21" t="s">
        <v>29</v>
      </c>
      <c r="D15" s="22">
        <f>6759728+67297</f>
        <v>6827025</v>
      </c>
      <c r="E15" s="22">
        <f>[2]Summary!$E$15</f>
        <v>3604154</v>
      </c>
      <c r="F15" s="22">
        <f>[2]Summary!$F$15</f>
        <v>3671623</v>
      </c>
      <c r="G15" s="24">
        <f>ROUND(E15+F15,0)</f>
        <v>7275777</v>
      </c>
      <c r="H15" s="24">
        <f t="shared" si="1"/>
        <v>-448752</v>
      </c>
    </row>
    <row r="16" spans="1:8" ht="15.75" x14ac:dyDescent="0.25">
      <c r="A16" s="20">
        <v>607</v>
      </c>
      <c r="B16" s="20">
        <v>16064</v>
      </c>
      <c r="C16" s="25" t="s">
        <v>30</v>
      </c>
      <c r="D16" s="22">
        <f>10116287+100882</f>
        <v>10217169</v>
      </c>
      <c r="E16" s="22">
        <f>[2]Summary!$E$16</f>
        <v>4593982</v>
      </c>
      <c r="F16" s="22">
        <f>[2]Summary!$F$16</f>
        <v>4931445</v>
      </c>
      <c r="G16" s="24">
        <f t="shared" si="0"/>
        <v>9525427</v>
      </c>
      <c r="H16" s="24">
        <f t="shared" si="1"/>
        <v>691742</v>
      </c>
    </row>
    <row r="17" spans="1:8" ht="15.75" x14ac:dyDescent="0.25">
      <c r="A17" s="20">
        <v>611</v>
      </c>
      <c r="B17" s="20">
        <v>16092</v>
      </c>
      <c r="C17" s="25" t="s">
        <v>31</v>
      </c>
      <c r="D17" s="22">
        <f>7637305+41138</f>
        <v>7678443</v>
      </c>
      <c r="E17" s="22">
        <f>[2]Summary!$E$17</f>
        <v>3778850.93</v>
      </c>
      <c r="F17" s="22">
        <f>[2]Summary!$F$17</f>
        <v>3747149.0700000003</v>
      </c>
      <c r="G17" s="24">
        <f t="shared" si="0"/>
        <v>7526000</v>
      </c>
      <c r="H17" s="24">
        <f t="shared" si="1"/>
        <v>152443</v>
      </c>
    </row>
    <row r="18" spans="1:8" ht="15.75" x14ac:dyDescent="0.25">
      <c r="A18" s="20">
        <v>613</v>
      </c>
      <c r="B18" s="20">
        <v>16097</v>
      </c>
      <c r="C18" s="21" t="s">
        <v>32</v>
      </c>
      <c r="D18" s="22">
        <f>2547289+19007</f>
        <v>2566296</v>
      </c>
      <c r="E18" s="22">
        <f>[2]Summary!$E$18</f>
        <v>1832038</v>
      </c>
      <c r="F18" s="22">
        <f>[2]Summary!$F$18</f>
        <v>1915120</v>
      </c>
      <c r="G18" s="24">
        <f t="shared" si="0"/>
        <v>3747158</v>
      </c>
      <c r="H18" s="24">
        <f t="shared" si="1"/>
        <v>-1180862</v>
      </c>
    </row>
    <row r="19" spans="1:8" ht="15.75" x14ac:dyDescent="0.25">
      <c r="A19" s="20">
        <v>615</v>
      </c>
      <c r="B19" s="20">
        <v>16102</v>
      </c>
      <c r="C19" s="25" t="s">
        <v>33</v>
      </c>
      <c r="D19" s="22">
        <f>18479526+37659</f>
        <v>18517185</v>
      </c>
      <c r="E19" s="22">
        <f>[2]Summary!$E$19</f>
        <v>9832655</v>
      </c>
      <c r="F19" s="22">
        <f>[2]Summary!$F$19</f>
        <v>10054736</v>
      </c>
      <c r="G19" s="24">
        <f t="shared" si="0"/>
        <v>19887391</v>
      </c>
      <c r="H19" s="24">
        <f t="shared" si="1"/>
        <v>-1370206</v>
      </c>
    </row>
    <row r="20" spans="1:8" ht="15.75" x14ac:dyDescent="0.25">
      <c r="A20" s="20">
        <v>616</v>
      </c>
      <c r="B20" s="20">
        <v>16107</v>
      </c>
      <c r="C20" s="21" t="s">
        <v>34</v>
      </c>
      <c r="D20" s="22">
        <f>[2]Summary!D20</f>
        <v>2151861</v>
      </c>
      <c r="E20" s="22">
        <f>[2]Summary!$E$20</f>
        <v>793133.13</v>
      </c>
      <c r="F20" s="22">
        <f>[2]Summary!$F$20</f>
        <v>1337663.3700000001</v>
      </c>
      <c r="G20" s="24">
        <f t="shared" si="0"/>
        <v>2130797</v>
      </c>
      <c r="H20" s="24">
        <f t="shared" si="1"/>
        <v>21064</v>
      </c>
    </row>
    <row r="21" spans="1:8" ht="15.75" x14ac:dyDescent="0.25">
      <c r="A21" s="20">
        <v>617</v>
      </c>
      <c r="B21" s="20">
        <v>16111</v>
      </c>
      <c r="C21" s="21" t="s">
        <v>35</v>
      </c>
      <c r="D21" s="22">
        <f>6070574+36418</f>
        <v>6106992</v>
      </c>
      <c r="E21" s="22">
        <f>[2]Summary!$E$21</f>
        <v>3157525</v>
      </c>
      <c r="F21" s="22">
        <f>[2]Summary!$F$21</f>
        <v>3391048</v>
      </c>
      <c r="G21" s="24">
        <f t="shared" si="0"/>
        <v>6548573</v>
      </c>
      <c r="H21" s="24">
        <f t="shared" si="1"/>
        <v>-441581</v>
      </c>
    </row>
    <row r="22" spans="1:8" ht="15.75" x14ac:dyDescent="0.25">
      <c r="A22" s="20">
        <v>618</v>
      </c>
      <c r="B22" s="20">
        <v>16116</v>
      </c>
      <c r="C22" s="21" t="s">
        <v>36</v>
      </c>
      <c r="D22" s="22">
        <f>9840612+60507</f>
        <v>9901119</v>
      </c>
      <c r="E22" s="22">
        <f>[2]Summary!$E$22</f>
        <v>4377796</v>
      </c>
      <c r="F22" s="22">
        <f>[2]Summary!$F$22</f>
        <v>8425510.5800000001</v>
      </c>
      <c r="G22" s="24">
        <f t="shared" si="0"/>
        <v>12803307</v>
      </c>
      <c r="H22" s="24">
        <f t="shared" si="1"/>
        <v>-2902188</v>
      </c>
    </row>
    <row r="23" spans="1:8" ht="15.75" x14ac:dyDescent="0.25">
      <c r="A23" s="20">
        <v>619</v>
      </c>
      <c r="B23" s="20">
        <v>16120</v>
      </c>
      <c r="C23" s="21" t="s">
        <v>37</v>
      </c>
      <c r="D23" s="22">
        <f>1757237+14610</f>
        <v>1771847</v>
      </c>
      <c r="E23" s="22">
        <f>[2]Summary!$E$23</f>
        <v>930477.25</v>
      </c>
      <c r="F23" s="22">
        <f>[2]Summary!$F$23</f>
        <v>918713.5</v>
      </c>
      <c r="G23" s="24">
        <f t="shared" si="0"/>
        <v>1849191</v>
      </c>
      <c r="H23" s="24">
        <f t="shared" si="1"/>
        <v>-77344</v>
      </c>
    </row>
    <row r="24" spans="1:8" ht="15.75" x14ac:dyDescent="0.25">
      <c r="A24" s="20">
        <v>624</v>
      </c>
      <c r="B24" s="20">
        <v>16132</v>
      </c>
      <c r="C24" s="21" t="s">
        <v>38</v>
      </c>
      <c r="D24" s="22">
        <v>98735921</v>
      </c>
      <c r="E24" s="22">
        <f>[2]Summary!$E$24</f>
        <v>48758001.829999998</v>
      </c>
      <c r="F24" s="22">
        <f>[2]Summary!$F$24+[3]Summary!$F$26</f>
        <v>50268836.600000001</v>
      </c>
      <c r="G24" s="24">
        <f t="shared" si="0"/>
        <v>99026838</v>
      </c>
      <c r="H24" s="24">
        <f t="shared" si="1"/>
        <v>-290917</v>
      </c>
    </row>
    <row r="25" spans="1:8" ht="15.75" x14ac:dyDescent="0.25">
      <c r="A25" s="20">
        <v>625</v>
      </c>
      <c r="B25" s="20">
        <v>16135</v>
      </c>
      <c r="C25" s="21" t="s">
        <v>39</v>
      </c>
      <c r="D25" s="22">
        <f>135345435+80820</f>
        <v>135426255</v>
      </c>
      <c r="E25" s="22">
        <f>[2]Summary!$E$25+[3]Summary!$E$27</f>
        <v>57090540.059999995</v>
      </c>
      <c r="F25" s="22">
        <f>[2]Summary!$F$25+[3]Summary!$F$27-2000</f>
        <v>80341205.260000005</v>
      </c>
      <c r="G25" s="24">
        <f>ROUND(E25+F25,0)+[3]Summary!$G$26-2000</f>
        <v>137431745</v>
      </c>
      <c r="H25" s="24">
        <f>ROUND(D25-G25,0)-2000</f>
        <v>-2007490</v>
      </c>
    </row>
    <row r="26" spans="1:8" ht="15.75" x14ac:dyDescent="0.25">
      <c r="A26" s="20">
        <v>626</v>
      </c>
      <c r="B26" s="20">
        <v>16138</v>
      </c>
      <c r="C26" s="21" t="s">
        <v>40</v>
      </c>
      <c r="D26" s="22">
        <f>90339295+571625</f>
        <v>90910920</v>
      </c>
      <c r="E26" s="22">
        <f>[2]Summary!$E$26+[3]Summary!$E$28</f>
        <v>40636776.609999999</v>
      </c>
      <c r="F26" s="22">
        <f>[2]Summary!$F$26+[3]Summary!$F$28</f>
        <v>50208428.590000004</v>
      </c>
      <c r="G26" s="24">
        <f>ROUND(E26+F26,0)</f>
        <v>90845205</v>
      </c>
      <c r="H26" s="24">
        <f t="shared" si="1"/>
        <v>65715</v>
      </c>
    </row>
    <row r="27" spans="1:8" ht="15.75" x14ac:dyDescent="0.25">
      <c r="A27" s="20">
        <v>627</v>
      </c>
      <c r="B27" s="20">
        <v>16140</v>
      </c>
      <c r="C27" s="27" t="s">
        <v>41</v>
      </c>
      <c r="D27" s="22">
        <v>6552680</v>
      </c>
      <c r="E27" s="22">
        <f>[2]Summary!$E$27+[3]Summary!$E$29</f>
        <v>2094833.6899999997</v>
      </c>
      <c r="F27" s="22">
        <f>[2]Summary!$F$27+[3]Summary!$F$29</f>
        <v>3924277</v>
      </c>
      <c r="G27" s="24">
        <f>ROUND(E27+F27,0)</f>
        <v>6019111</v>
      </c>
      <c r="H27" s="24">
        <f t="shared" si="1"/>
        <v>533569</v>
      </c>
    </row>
    <row r="28" spans="1:8" ht="15.75" x14ac:dyDescent="0.25">
      <c r="A28" s="20">
        <v>628</v>
      </c>
      <c r="B28" s="20">
        <v>16141</v>
      </c>
      <c r="C28" s="25" t="s">
        <v>42</v>
      </c>
      <c r="D28" s="22">
        <f>37968191+281137</f>
        <v>38249328</v>
      </c>
      <c r="E28" s="22">
        <f>[2]Summary!$E$28</f>
        <v>20253936.780000001</v>
      </c>
      <c r="F28" s="22">
        <f>[2]Summary!$F$28</f>
        <v>24090415.219999999</v>
      </c>
      <c r="G28" s="24">
        <f t="shared" si="0"/>
        <v>44344352</v>
      </c>
      <c r="H28" s="24">
        <f t="shared" si="1"/>
        <v>-6095024</v>
      </c>
    </row>
    <row r="29" spans="1:8" ht="15.75" x14ac:dyDescent="0.25">
      <c r="A29" s="20">
        <v>630</v>
      </c>
      <c r="B29" s="20">
        <v>16144</v>
      </c>
      <c r="C29" s="25" t="s">
        <v>43</v>
      </c>
      <c r="D29" s="22">
        <f>133548+1594</f>
        <v>135142</v>
      </c>
      <c r="E29" s="22">
        <f>[2]Summary!$E$29</f>
        <v>79908</v>
      </c>
      <c r="F29" s="22">
        <f>[2]Summary!$F$29</f>
        <v>81504</v>
      </c>
      <c r="G29" s="24">
        <f t="shared" si="0"/>
        <v>161412</v>
      </c>
      <c r="H29" s="24">
        <f t="shared" si="1"/>
        <v>-26270</v>
      </c>
    </row>
    <row r="30" spans="1:8" ht="15.75" x14ac:dyDescent="0.25">
      <c r="A30" s="20">
        <v>631</v>
      </c>
      <c r="B30" s="20">
        <v>16145</v>
      </c>
      <c r="C30" s="25" t="s">
        <v>44</v>
      </c>
      <c r="D30" s="22">
        <f>[2]Summary!D30</f>
        <v>0</v>
      </c>
      <c r="E30" s="22">
        <f>[2]Summary!$E$30</f>
        <v>0</v>
      </c>
      <c r="F30" s="22">
        <v>0</v>
      </c>
      <c r="G30" s="24">
        <f t="shared" si="0"/>
        <v>0</v>
      </c>
      <c r="H30" s="24">
        <f t="shared" si="1"/>
        <v>0</v>
      </c>
    </row>
    <row r="31" spans="1:8" ht="15.75" x14ac:dyDescent="0.25">
      <c r="A31" s="28"/>
      <c r="B31" s="28"/>
      <c r="C31" s="20" t="s">
        <v>45</v>
      </c>
      <c r="D31" s="29">
        <f>SUM(D7:D30)</f>
        <v>776158840</v>
      </c>
      <c r="E31" s="29">
        <f>SUM(E7:E30)</f>
        <v>326215032.34000003</v>
      </c>
      <c r="F31" s="29">
        <f>SUM(F7:F30)</f>
        <v>462527261.75666666</v>
      </c>
      <c r="G31" s="24">
        <f>SUM(G7:G30)</f>
        <v>788742295</v>
      </c>
      <c r="H31" s="30">
        <f>SUM(H7:H30)</f>
        <v>-12585455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Children and Families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BUTTERFIELD, CINDY</dc:creator>
  <cp:lastModifiedBy>BUTTERFIELD, CINDY</cp:lastModifiedBy>
  <dcterms:created xsi:type="dcterms:W3CDTF">2019-01-09T18:00:00Z</dcterms:created>
  <dcterms:modified xsi:type="dcterms:W3CDTF">2019-01-09T18:00:56Z</dcterms:modified>
</cp:coreProperties>
</file>