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5460" windowWidth="15480" windowHeight="5520" tabRatio="865" firstSheet="2" activeTab="7"/>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Actuals" sheetId="14" r:id="rId8"/>
    <sheet name="Settings" sheetId="11" state="hidden"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J12" i="14"/>
  <c r="I12"/>
  <c r="AE21" l="1"/>
  <c r="AE20"/>
  <c r="AE19"/>
  <c r="AE17"/>
  <c r="AE16"/>
  <c r="AE15"/>
  <c r="AE14"/>
  <c r="AE13"/>
  <c r="AE12"/>
  <c r="AE10"/>
  <c r="AE9"/>
  <c r="AE8"/>
  <c r="Y21"/>
  <c r="Y20"/>
  <c r="Y19"/>
  <c r="Y17"/>
  <c r="Y16"/>
  <c r="Y15"/>
  <c r="Y13"/>
  <c r="Y12"/>
  <c r="Y10"/>
  <c r="Y9"/>
  <c r="Y8"/>
  <c r="S21"/>
  <c r="S20"/>
  <c r="S19"/>
  <c r="S17"/>
  <c r="S16"/>
  <c r="S15"/>
  <c r="S14"/>
  <c r="S13"/>
  <c r="S12"/>
  <c r="S10"/>
  <c r="S9"/>
  <c r="S8"/>
  <c r="M21"/>
  <c r="M20"/>
  <c r="M19"/>
  <c r="M17"/>
  <c r="M16"/>
  <c r="M15"/>
  <c r="M14"/>
  <c r="M13"/>
  <c r="M12"/>
  <c r="M10"/>
  <c r="M9"/>
  <c r="M8"/>
  <c r="G21"/>
  <c r="G20"/>
  <c r="G19"/>
  <c r="G17"/>
  <c r="G16"/>
  <c r="G15"/>
  <c r="G14"/>
  <c r="G13"/>
  <c r="G12"/>
  <c r="G10"/>
  <c r="G9"/>
  <c r="G8"/>
  <c r="AC21"/>
  <c r="AC20"/>
  <c r="AC19"/>
  <c r="AC17"/>
  <c r="AC16"/>
  <c r="AC15"/>
  <c r="AC14"/>
  <c r="AC13"/>
  <c r="AC12"/>
  <c r="AC10"/>
  <c r="AC9"/>
  <c r="AC8"/>
  <c r="W21"/>
  <c r="W20"/>
  <c r="W19"/>
  <c r="W17"/>
  <c r="W16"/>
  <c r="W15"/>
  <c r="W13"/>
  <c r="W12"/>
  <c r="W10"/>
  <c r="W9"/>
  <c r="W8"/>
  <c r="Q21"/>
  <c r="Q20"/>
  <c r="Q19"/>
  <c r="Q17"/>
  <c r="Q16"/>
  <c r="Q15"/>
  <c r="Q14"/>
  <c r="Q13"/>
  <c r="Q12"/>
  <c r="Q10"/>
  <c r="Q9"/>
  <c r="Q8"/>
  <c r="K21"/>
  <c r="K20"/>
  <c r="K19"/>
  <c r="K17"/>
  <c r="K16"/>
  <c r="K15"/>
  <c r="K14"/>
  <c r="K13"/>
  <c r="K12"/>
  <c r="K10"/>
  <c r="K9"/>
  <c r="K8"/>
  <c r="E21"/>
  <c r="D21"/>
  <c r="E20"/>
  <c r="D20"/>
  <c r="E19"/>
  <c r="D19"/>
  <c r="E17"/>
  <c r="D17"/>
  <c r="E16"/>
  <c r="D16"/>
  <c r="E15"/>
  <c r="D15"/>
  <c r="E14"/>
  <c r="D14"/>
  <c r="E13"/>
  <c r="D13"/>
  <c r="E12"/>
  <c r="D12"/>
  <c r="D18" s="1"/>
  <c r="E10"/>
  <c r="D10"/>
  <c r="E9"/>
  <c r="D9"/>
  <c r="E8"/>
  <c r="D8"/>
  <c r="D2"/>
  <c r="AH22"/>
  <c r="AG22"/>
  <c r="AF22"/>
  <c r="AB22"/>
  <c r="AA22"/>
  <c r="Z22"/>
  <c r="V22"/>
  <c r="U22"/>
  <c r="T22"/>
  <c r="P22"/>
  <c r="O22"/>
  <c r="N22"/>
  <c r="J22"/>
  <c r="I22"/>
  <c r="AK21"/>
  <c r="AD21"/>
  <c r="X21"/>
  <c r="R21"/>
  <c r="L21"/>
  <c r="H21"/>
  <c r="AJ21" s="1"/>
  <c r="AI21"/>
  <c r="F21"/>
  <c r="AN21"/>
  <c r="AK20"/>
  <c r="AD20"/>
  <c r="X20"/>
  <c r="R20"/>
  <c r="L20"/>
  <c r="H20"/>
  <c r="AJ20" s="1"/>
  <c r="AL20" s="1"/>
  <c r="AI20"/>
  <c r="F20"/>
  <c r="AN20"/>
  <c r="AK19"/>
  <c r="AK22" s="1"/>
  <c r="AE22"/>
  <c r="AC22"/>
  <c r="Y22"/>
  <c r="X19"/>
  <c r="W22"/>
  <c r="S22"/>
  <c r="Q22"/>
  <c r="M22"/>
  <c r="L19"/>
  <c r="L22" s="1"/>
  <c r="K22"/>
  <c r="H19"/>
  <c r="H22" s="1"/>
  <c r="G22"/>
  <c r="F19"/>
  <c r="F22" s="1"/>
  <c r="E22"/>
  <c r="D22"/>
  <c r="AH18"/>
  <c r="AG18"/>
  <c r="AF18"/>
  <c r="AB18"/>
  <c r="AA18"/>
  <c r="Z18"/>
  <c r="V18"/>
  <c r="U18"/>
  <c r="T18"/>
  <c r="P18"/>
  <c r="O18"/>
  <c r="N18"/>
  <c r="J18"/>
  <c r="I18"/>
  <c r="AK17"/>
  <c r="AD17"/>
  <c r="X17"/>
  <c r="R17"/>
  <c r="L17"/>
  <c r="H17"/>
  <c r="AJ17" s="1"/>
  <c r="AL17" s="1"/>
  <c r="AI17"/>
  <c r="F17"/>
  <c r="AN17"/>
  <c r="AK16"/>
  <c r="AD16"/>
  <c r="X16"/>
  <c r="R16"/>
  <c r="L16"/>
  <c r="H16"/>
  <c r="AJ16" s="1"/>
  <c r="AI16"/>
  <c r="F16"/>
  <c r="AN16"/>
  <c r="AK15"/>
  <c r="AD15"/>
  <c r="X15"/>
  <c r="R15"/>
  <c r="L15"/>
  <c r="H15"/>
  <c r="AJ15" s="1"/>
  <c r="AL15" s="1"/>
  <c r="AI15"/>
  <c r="F15"/>
  <c r="AK14"/>
  <c r="AD14"/>
  <c r="X14"/>
  <c r="R14"/>
  <c r="L14"/>
  <c r="H14"/>
  <c r="AJ14" s="1"/>
  <c r="AL14" s="1"/>
  <c r="F14"/>
  <c r="AN14"/>
  <c r="AK13"/>
  <c r="AD13"/>
  <c r="X13"/>
  <c r="R13"/>
  <c r="L13"/>
  <c r="H13"/>
  <c r="AJ13" s="1"/>
  <c r="AL13" s="1"/>
  <c r="F13"/>
  <c r="AN13"/>
  <c r="AK12"/>
  <c r="AK18" s="1"/>
  <c r="AE18"/>
  <c r="AD12"/>
  <c r="AC18"/>
  <c r="Y18"/>
  <c r="X12"/>
  <c r="X18" s="1"/>
  <c r="S18"/>
  <c r="R12"/>
  <c r="R18" s="1"/>
  <c r="Q18"/>
  <c r="M18"/>
  <c r="L12"/>
  <c r="H12"/>
  <c r="F12"/>
  <c r="AN12"/>
  <c r="AH11"/>
  <c r="AH23" s="1"/>
  <c r="AG11"/>
  <c r="AG23" s="1"/>
  <c r="AF11"/>
  <c r="AF23" s="1"/>
  <c r="AB11"/>
  <c r="AB23" s="1"/>
  <c r="AA11"/>
  <c r="AA23" s="1"/>
  <c r="Z11"/>
  <c r="Z23" s="1"/>
  <c r="V11"/>
  <c r="V23" s="1"/>
  <c r="U11"/>
  <c r="U23" s="1"/>
  <c r="T11"/>
  <c r="T23" s="1"/>
  <c r="P11"/>
  <c r="P23" s="1"/>
  <c r="O11"/>
  <c r="O23" s="1"/>
  <c r="N11"/>
  <c r="N23" s="1"/>
  <c r="J11"/>
  <c r="I11"/>
  <c r="I23" s="1"/>
  <c r="AK10"/>
  <c r="AD10"/>
  <c r="X10"/>
  <c r="R10"/>
  <c r="L10"/>
  <c r="H10"/>
  <c r="AJ10" s="1"/>
  <c r="AL10" s="1"/>
  <c r="F10"/>
  <c r="AN10"/>
  <c r="AM9"/>
  <c r="AK9"/>
  <c r="AD9"/>
  <c r="X9"/>
  <c r="R9"/>
  <c r="L9"/>
  <c r="H9"/>
  <c r="AJ9" s="1"/>
  <c r="AL9" s="1"/>
  <c r="F9"/>
  <c r="AN9"/>
  <c r="AO9" s="1"/>
  <c r="AM8"/>
  <c r="AK8"/>
  <c r="AK11" s="1"/>
  <c r="AE11"/>
  <c r="AE23" s="1"/>
  <c r="AD8"/>
  <c r="AD11" s="1"/>
  <c r="AC11"/>
  <c r="AC23" s="1"/>
  <c r="Y11"/>
  <c r="Y23" s="1"/>
  <c r="X8"/>
  <c r="X11" s="1"/>
  <c r="S11"/>
  <c r="S23" s="1"/>
  <c r="R8"/>
  <c r="R11" s="1"/>
  <c r="Q11"/>
  <c r="Q23" s="1"/>
  <c r="M11"/>
  <c r="M23" s="1"/>
  <c r="L8"/>
  <c r="H8"/>
  <c r="F8"/>
  <c r="D11"/>
  <c r="AK23" l="1"/>
  <c r="J23"/>
  <c r="D23"/>
  <c r="AL21"/>
  <c r="AL16"/>
  <c r="X22"/>
  <c r="X23" s="1"/>
  <c r="H11"/>
  <c r="AJ8"/>
  <c r="F11"/>
  <c r="L11"/>
  <c r="F18"/>
  <c r="L18"/>
  <c r="AD18"/>
  <c r="H18"/>
  <c r="AJ12"/>
  <c r="AI9"/>
  <c r="AI10"/>
  <c r="AM10"/>
  <c r="AM11" s="1"/>
  <c r="E11"/>
  <c r="G11"/>
  <c r="K11"/>
  <c r="W11"/>
  <c r="AI12"/>
  <c r="AM12"/>
  <c r="AO12" s="1"/>
  <c r="AI13"/>
  <c r="AM13"/>
  <c r="AO13" s="1"/>
  <c r="AI14"/>
  <c r="AM14"/>
  <c r="AO14" s="1"/>
  <c r="AM15"/>
  <c r="AM16"/>
  <c r="AO16" s="1"/>
  <c r="AM17"/>
  <c r="AO17" s="1"/>
  <c r="E18"/>
  <c r="G18"/>
  <c r="K18"/>
  <c r="W18"/>
  <c r="R19"/>
  <c r="R22" s="1"/>
  <c r="R23" s="1"/>
  <c r="AD19"/>
  <c r="AD22" s="1"/>
  <c r="AD23" s="1"/>
  <c r="AI19"/>
  <c r="AI22" s="1"/>
  <c r="AM19"/>
  <c r="AM20"/>
  <c r="AO20" s="1"/>
  <c r="AM21"/>
  <c r="AO21" s="1"/>
  <c r="AI8"/>
  <c r="AI11" s="1"/>
  <c r="AN8"/>
  <c r="AN15"/>
  <c r="AO15" s="1"/>
  <c r="AJ19"/>
  <c r="AN19"/>
  <c r="G12" i="2"/>
  <c r="G12" i="1"/>
  <c r="F12"/>
  <c r="E12"/>
  <c r="C10" i="5"/>
  <c r="D12" i="1"/>
  <c r="F12" i="2"/>
  <c r="E12"/>
  <c r="AJ22" i="14" l="1"/>
  <c r="AL22" s="1"/>
  <c r="AL19"/>
  <c r="AN11"/>
  <c r="AO8"/>
  <c r="AJ18"/>
  <c r="AL18" s="1"/>
  <c r="AL12"/>
  <c r="AM22"/>
  <c r="AI18"/>
  <c r="K23"/>
  <c r="E23"/>
  <c r="L23"/>
  <c r="AO10"/>
  <c r="H23"/>
  <c r="AN22"/>
  <c r="AO19"/>
  <c r="AJ11"/>
  <c r="AJ23" s="1"/>
  <c r="AL23" s="1"/>
  <c r="AL8"/>
  <c r="AL11" s="1"/>
  <c r="AI23"/>
  <c r="AM18"/>
  <c r="AM23" s="1"/>
  <c r="W23"/>
  <c r="G23"/>
  <c r="AN18"/>
  <c r="F23"/>
  <c r="O27" i="2"/>
  <c r="M27"/>
  <c r="J23" i="6"/>
  <c r="I23"/>
  <c r="H23"/>
  <c r="D23"/>
  <c r="D22" i="2"/>
  <c r="D15"/>
  <c r="D27" s="1"/>
  <c r="E15"/>
  <c r="F15"/>
  <c r="O12"/>
  <c r="O14"/>
  <c r="O13"/>
  <c r="O16"/>
  <c r="O17"/>
  <c r="O18"/>
  <c r="O19"/>
  <c r="O20"/>
  <c r="O21"/>
  <c r="O23"/>
  <c r="O25"/>
  <c r="O26" s="1"/>
  <c r="M15"/>
  <c r="M22"/>
  <c r="M26"/>
  <c r="K11"/>
  <c r="J11"/>
  <c r="I11"/>
  <c r="H11"/>
  <c r="G11"/>
  <c r="F11"/>
  <c r="E11"/>
  <c r="D36" i="10"/>
  <c r="K10" i="2"/>
  <c r="J10"/>
  <c r="I10"/>
  <c r="H10"/>
  <c r="G10"/>
  <c r="F10"/>
  <c r="H15"/>
  <c r="J26"/>
  <c r="I26"/>
  <c r="H26"/>
  <c r="J22"/>
  <c r="J27" s="1"/>
  <c r="I22"/>
  <c r="I27" s="1"/>
  <c r="H22"/>
  <c r="H27" s="1"/>
  <c r="J15"/>
  <c r="I15"/>
  <c r="D66" i="10"/>
  <c r="C4" i="5"/>
  <c r="C3"/>
  <c r="C2"/>
  <c r="D4" i="2"/>
  <c r="D3"/>
  <c r="D2"/>
  <c r="C2" i="10"/>
  <c r="C4"/>
  <c r="C3"/>
  <c r="D4" i="6"/>
  <c r="D3"/>
  <c r="D2"/>
  <c r="D2" i="1"/>
  <c r="D4"/>
  <c r="D3"/>
  <c r="C4" i="4"/>
  <c r="C3"/>
  <c r="A37" i="10"/>
  <c r="D7" i="5"/>
  <c r="E7"/>
  <c r="F7"/>
  <c r="G7"/>
  <c r="H7"/>
  <c r="I7"/>
  <c r="J7"/>
  <c r="K7"/>
  <c r="J8"/>
  <c r="K8"/>
  <c r="L8"/>
  <c r="J9"/>
  <c r="K9"/>
  <c r="L9"/>
  <c r="J10"/>
  <c r="K10"/>
  <c r="L10"/>
  <c r="J11"/>
  <c r="K11"/>
  <c r="L11"/>
  <c r="J12"/>
  <c r="K12"/>
  <c r="L12"/>
  <c r="D11" i="6"/>
  <c r="D18"/>
  <c r="E18"/>
  <c r="E23" s="1"/>
  <c r="D22"/>
  <c r="E11"/>
  <c r="E22"/>
  <c r="F11"/>
  <c r="F18"/>
  <c r="F23" s="1"/>
  <c r="F22"/>
  <c r="G11"/>
  <c r="G18"/>
  <c r="G23" s="1"/>
  <c r="G22"/>
  <c r="H11"/>
  <c r="H18"/>
  <c r="H22"/>
  <c r="I11"/>
  <c r="I18"/>
  <c r="I22"/>
  <c r="J11"/>
  <c r="J18"/>
  <c r="J22"/>
  <c r="J14" i="5"/>
  <c r="K14"/>
  <c r="L14"/>
  <c r="J15"/>
  <c r="K15"/>
  <c r="L15"/>
  <c r="J16"/>
  <c r="K16"/>
  <c r="L16"/>
  <c r="J17"/>
  <c r="K17"/>
  <c r="L17"/>
  <c r="J18"/>
  <c r="K18"/>
  <c r="L18"/>
  <c r="G15" i="2"/>
  <c r="K15"/>
  <c r="E22"/>
  <c r="F22"/>
  <c r="F27" s="1"/>
  <c r="G22"/>
  <c r="K22"/>
  <c r="D26"/>
  <c r="E26"/>
  <c r="F26"/>
  <c r="G26"/>
  <c r="K26"/>
  <c r="A20" i="10"/>
  <c r="A9"/>
  <c r="E7" i="6"/>
  <c r="F7"/>
  <c r="G7"/>
  <c r="H7"/>
  <c r="I7"/>
  <c r="J7"/>
  <c r="K8"/>
  <c r="K9"/>
  <c r="K10"/>
  <c r="K12"/>
  <c r="K13"/>
  <c r="K14"/>
  <c r="K15"/>
  <c r="K16"/>
  <c r="K17"/>
  <c r="K19"/>
  <c r="K21"/>
  <c r="E7" i="1"/>
  <c r="F7"/>
  <c r="G7"/>
  <c r="H7"/>
  <c r="I7"/>
  <c r="J7"/>
  <c r="K8"/>
  <c r="K9"/>
  <c r="K10"/>
  <c r="D11"/>
  <c r="E11"/>
  <c r="E18"/>
  <c r="F11"/>
  <c r="K11" s="1"/>
  <c r="G11"/>
  <c r="H11"/>
  <c r="I11"/>
  <c r="J11"/>
  <c r="J18"/>
  <c r="K12"/>
  <c r="K13"/>
  <c r="K14"/>
  <c r="K15"/>
  <c r="K16"/>
  <c r="K17"/>
  <c r="D18"/>
  <c r="F18"/>
  <c r="G18"/>
  <c r="H18"/>
  <c r="I18"/>
  <c r="K19"/>
  <c r="D22"/>
  <c r="E22"/>
  <c r="F22"/>
  <c r="G22"/>
  <c r="H22"/>
  <c r="I22"/>
  <c r="J22"/>
  <c r="D27" i="4"/>
  <c r="F27"/>
  <c r="D19" i="5"/>
  <c r="K11" i="6"/>
  <c r="C13" i="5"/>
  <c r="K22" i="1"/>
  <c r="AO18" i="14" l="1"/>
  <c r="AO22"/>
  <c r="AN23"/>
  <c r="AO23" s="1"/>
  <c r="AO11"/>
  <c r="K27" i="2"/>
  <c r="E27"/>
  <c r="G27"/>
  <c r="K18" i="1"/>
  <c r="O22" i="2"/>
  <c r="O15"/>
  <c r="I13" i="5"/>
  <c r="I19" s="1"/>
  <c r="G19"/>
  <c r="H19"/>
  <c r="F19"/>
  <c r="K18" i="6"/>
  <c r="K22"/>
  <c r="J23" i="1"/>
  <c r="I21" i="5" s="1"/>
  <c r="H23" i="1"/>
  <c r="G21" i="5" s="1"/>
  <c r="F23" i="1"/>
  <c r="E21" i="5" s="1"/>
  <c r="E23" i="1"/>
  <c r="D21" i="5" s="1"/>
  <c r="D23" s="1"/>
  <c r="I23" i="1"/>
  <c r="H21" i="5" s="1"/>
  <c r="G23" i="1"/>
  <c r="D23"/>
  <c r="C21" i="5" s="1"/>
  <c r="C19"/>
  <c r="K23" i="6"/>
  <c r="G23" i="5" l="1"/>
  <c r="K23" i="1"/>
  <c r="I23" i="5"/>
  <c r="H23"/>
  <c r="F21"/>
  <c r="F23" s="1"/>
  <c r="K13"/>
  <c r="K19" s="1"/>
  <c r="J13"/>
  <c r="J19" s="1"/>
  <c r="E19"/>
  <c r="E23" s="1"/>
  <c r="L13"/>
  <c r="L19" s="1"/>
  <c r="C25" l="1"/>
</calcChain>
</file>

<file path=xl/sharedStrings.xml><?xml version="1.0" encoding="utf-8"?>
<sst xmlns="http://schemas.openxmlformats.org/spreadsheetml/2006/main" count="325" uniqueCount="153">
  <si>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</si>
  <si>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</si>
  <si>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</si>
  <si>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</si>
  <si>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</si>
  <si>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</si>
  <si>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</si>
  <si>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</si>
  <si>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</si>
  <si>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</si>
  <si>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</si>
  <si>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</si>
  <si>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</si>
  <si>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</si>
  <si>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</si>
  <si>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</si>
  <si>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</si>
  <si>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</si>
  <si>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</si>
  <si>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</si>
  <si>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</si>
  <si>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</si>
  <si>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</si>
  <si>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</si>
  <si>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</si>
  <si>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</si>
  <si>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</si>
  <si>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</si>
  <si>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</si>
  <si>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</si>
  <si>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</si>
  <si>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</si>
  <si>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</si>
  <si>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</si>
  <si>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</si>
  <si>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</si>
  <si>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</si>
  <si>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</si>
  <si>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</si>
  <si>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</si>
  <si>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</si>
  <si>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</si>
  <si>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</si>
  <si>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</si>
  <si>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</si>
  <si>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</si>
  <si>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</si>
  <si>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</si>
  <si>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</si>
  <si>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</si>
  <si>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</si>
  <si>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</si>
  <si>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</si>
  <si>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</si>
  <si>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</si>
  <si>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</si>
  <si>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</si>
  <si>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</si>
  <si>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</si>
  <si>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</si>
  <si>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</si>
  <si>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</si>
  <si>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</si>
  <si>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</si>
  <si>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</si>
  <si>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</si>
  <si>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</si>
  <si>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</si>
  <si>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</si>
  <si>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</si>
  <si>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</si>
  <si>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</si>
  <si>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</si>
  <si>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</si>
  <si>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</si>
  <si>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</si>
  <si>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</si>
  <si>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</si>
  <si>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</si>
  <si>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</si>
  <si>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</si>
  <si>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</si>
  <si>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</si>
  <si>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</si>
  <si>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</si>
  <si>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</si>
  <si>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</si>
  <si>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</si>
  <si>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</si>
  <si>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</si>
  <si>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</si>
  <si>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</si>
  <si>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</si>
  <si>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</si>
  <si>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</si>
  <si>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</si>
  <si>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</si>
  <si>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</si>
  <si>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</si>
  <si>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</si>
  <si>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</si>
  <si>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</si>
  <si>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</si>
  <si>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</si>
  <si>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</si>
  <si>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 xml:space="preserve">DEEP Enterprise Online Case Management System </t>
  </si>
  <si>
    <t>Dennis Thibodeau</t>
  </si>
  <si>
    <t>860-424-3748</t>
  </si>
  <si>
    <t>dennis.thibodeau@ct.gov</t>
  </si>
  <si>
    <t>Reduction in management of paper resources</t>
  </si>
  <si>
    <t>Reduction mailroom costs</t>
  </si>
  <si>
    <t>Minimize the impact of new programs developed using IT infr.</t>
  </si>
  <si>
    <t xml:space="preserve">Public awareness to regulatory requirements results in increased particpation </t>
  </si>
  <si>
    <t>Reduction/realignment of processing staff</t>
  </si>
  <si>
    <t>14</t>
  </si>
  <si>
    <t>13</t>
  </si>
  <si>
    <t>Appropriated Funds</t>
  </si>
  <si>
    <t>Special Revenue Funds</t>
  </si>
  <si>
    <t>Restricted Revenue Funds</t>
  </si>
  <si>
    <t>Reduction in Software Costs (Consolidating IT Infr)</t>
  </si>
  <si>
    <t>Public Benefit***</t>
  </si>
  <si>
    <r>
      <t xml:space="preserve">Use this sheet to identify the </t>
    </r>
    <r>
      <rPr>
        <i/>
        <sz val="10"/>
        <color rgb="FFFF0000"/>
        <rFont val="Arial"/>
        <family val="2"/>
      </rPr>
      <t xml:space="preserve">ACTUAL </t>
    </r>
    <r>
      <rPr>
        <b/>
        <i/>
        <sz val="10"/>
        <color rgb="FFFF0000"/>
        <rFont val="Arial"/>
        <family val="2"/>
      </rPr>
      <t>TOTAL</t>
    </r>
    <r>
      <rPr>
        <i/>
        <sz val="10"/>
        <rFont val="Arial"/>
        <family val="2"/>
      </rPr>
      <t xml:space="preserve"> project development and implementation costs.</t>
    </r>
  </si>
  <si>
    <t>ACTUAL TOTAL DEVELOPMENT &amp; IMPLEMENTATION COSTS</t>
  </si>
  <si>
    <t xml:space="preserve">FY013 </t>
  </si>
  <si>
    <t>FY014</t>
  </si>
  <si>
    <t>FY015</t>
  </si>
  <si>
    <t>FY016</t>
  </si>
  <si>
    <t>FY017</t>
  </si>
  <si>
    <t>IT Capital Fund</t>
  </si>
  <si>
    <t>(All Funds)</t>
  </si>
  <si>
    <t>Total FY013              Budget</t>
  </si>
  <si>
    <t>Total                NON IT Capital Fund Budget</t>
  </si>
  <si>
    <t>Total                IT Capital Fund Budget</t>
  </si>
  <si>
    <t>Allotment</t>
  </si>
  <si>
    <t>Actual             NON IT Capital Fund</t>
  </si>
  <si>
    <t>Actual              IT Capital Fund</t>
  </si>
  <si>
    <t>PROPOSED FY014 Budget</t>
  </si>
  <si>
    <t>PROPOSED Total NON IT Capital Fund Budget</t>
  </si>
  <si>
    <t>PROPOSED Total IT Capital Fund Budget</t>
  </si>
  <si>
    <t>PROPOSED FY015 Budget</t>
  </si>
  <si>
    <t>PROPOSED FY016 Budget</t>
  </si>
  <si>
    <t>PROPOSED FY017 Budget</t>
  </si>
  <si>
    <t>Total IT Capital Fund Budget</t>
  </si>
  <si>
    <t>Total IT Capital Fund Budget Allotments</t>
  </si>
  <si>
    <t>Total IT Capital Fund (Actual)</t>
  </si>
  <si>
    <t>Allotment Balance</t>
  </si>
  <si>
    <t>Total Budget</t>
  </si>
  <si>
    <t>Budget Balance</t>
  </si>
  <si>
    <t xml:space="preserve">Prior Fiscal years </t>
  </si>
  <si>
    <t>Total Actuals (includes prior fiscal years)</t>
  </si>
  <si>
    <t>DEPA000305002xx</t>
  </si>
  <si>
    <r>
      <rPr>
        <b/>
        <vertAlign val="superscript"/>
        <sz val="10"/>
        <color rgb="FFFF0000"/>
        <rFont val="Arial"/>
        <family val="2"/>
      </rPr>
      <t>*C</t>
    </r>
    <r>
      <rPr>
        <b/>
        <sz val="10"/>
        <rFont val="Arial"/>
        <family val="2"/>
      </rPr>
      <t xml:space="preserve"> 53715</t>
    </r>
  </si>
  <si>
    <r>
      <rPr>
        <vertAlign val="superscript"/>
        <sz val="10"/>
        <color rgb="FFFF0000"/>
        <rFont val="Arial"/>
        <family val="2"/>
      </rPr>
      <t>*C</t>
    </r>
    <r>
      <rPr>
        <sz val="10"/>
        <rFont val="Arial"/>
        <family val="2"/>
      </rPr>
      <t xml:space="preserve"> - $298,451 currently committed to vendor on PO for services related to e-gov solutions utilizing a combination of IT Investment bonds, federal funds and other state resources.</t>
    </r>
  </si>
</sst>
</file>

<file path=xl/styles.xml><?xml version="1.0" encoding="utf-8"?>
<styleSheet xmlns="http://schemas.openxmlformats.org/spreadsheetml/2006/main">
  <numFmts count="3">
    <numFmt numFmtId="44" formatCode="_(&quot;$&quot;* #,##0.00_);_(&quot;$&quot;* \(#,##0.00\);_(&quot;$&quot;* &quot;-&quot;??_);_(@_)"/>
    <numFmt numFmtId="164" formatCode="&quot;$&quot;#,##0"/>
    <numFmt numFmtId="165" formatCode="[$-409]mmmm\ d\,\ yyyy;@"/>
  </numFmts>
  <fonts count="5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10"/>
      <name val="Arial Unicode MS"/>
      <family val="2"/>
    </font>
    <font>
      <i/>
      <sz val="10"/>
      <color rgb="FFFF0000"/>
      <name val="Arial"/>
      <family val="2"/>
    </font>
    <font>
      <b/>
      <i/>
      <sz val="10"/>
      <color rgb="FFFF0000"/>
      <name val="Arial"/>
      <family val="2"/>
    </font>
    <font>
      <b/>
      <vertAlign val="superscript"/>
      <sz val="10"/>
      <color rgb="FFFF0000"/>
      <name val="Arial"/>
      <family val="2"/>
    </font>
    <font>
      <vertAlign val="superscript"/>
      <sz val="10"/>
      <color rgb="FFFF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
      <patternFill patternType="solid">
        <fgColor theme="0" tint="-0.14999847407452621"/>
        <bgColor indexed="64"/>
      </patternFill>
    </fill>
    <fill>
      <patternFill patternType="solid">
        <fgColor rgb="FFFFFF00"/>
        <bgColor indexed="64"/>
      </patternFill>
    </fill>
  </fills>
  <borders count="1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style="thin">
        <color indexed="9"/>
      </left>
      <right style="thin">
        <color indexed="9"/>
      </right>
      <top style="thin">
        <color indexed="9"/>
      </top>
      <bottom style="double">
        <color indexed="64"/>
      </bottom>
      <diagonal/>
    </border>
    <border>
      <left/>
      <right style="thin">
        <color indexed="9"/>
      </right>
      <top style="thin">
        <color indexed="9"/>
      </top>
      <bottom style="double">
        <color indexed="64"/>
      </bottom>
      <diagonal/>
    </border>
  </borders>
  <cellStyleXfs count="4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6" fillId="0" borderId="0"/>
    <xf numFmtId="0" fontId="1" fillId="0" borderId="0"/>
    <xf numFmtId="44" fontId="1" fillId="0" borderId="0" applyFont="0" applyFill="0" applyBorder="0" applyAlignment="0" applyProtection="0"/>
    <xf numFmtId="0" fontId="1" fillId="0" borderId="0"/>
  </cellStyleXfs>
  <cellXfs count="404">
    <xf numFmtId="0" fontId="0" fillId="0" borderId="0" xfId="0"/>
    <xf numFmtId="3" fontId="9" fillId="25" borderId="13" xfId="0" applyNumberFormat="1" applyFont="1" applyFill="1" applyBorder="1" applyAlignment="1" applyProtection="1">
      <alignment horizontal="right" vertical="center" indent="1"/>
    </xf>
    <xf numFmtId="0" fontId="0" fillId="0" borderId="0" xfId="0" applyProtection="1"/>
    <xf numFmtId="3" fontId="9" fillId="25" borderId="14" xfId="0" applyNumberFormat="1" applyFont="1" applyFill="1" applyBorder="1" applyAlignment="1" applyProtection="1">
      <alignment horizontal="right" vertical="center" indent="1"/>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44" fillId="0" borderId="0" xfId="0" applyFont="1" applyBorder="1" applyProtection="1"/>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3" fontId="5" fillId="31" borderId="42" xfId="0" applyNumberFormat="1" applyFont="1" applyFill="1" applyBorder="1" applyAlignment="1" applyProtection="1">
      <alignment horizontal="right" vertical="center" indent="1"/>
    </xf>
    <xf numFmtId="3" fontId="4" fillId="0" borderId="0" xfId="0" applyNumberFormat="1" applyFont="1" applyProtection="1"/>
    <xf numFmtId="0" fontId="8" fillId="0" borderId="0" xfId="45" applyFont="1" applyProtection="1"/>
    <xf numFmtId="49" fontId="13" fillId="0" borderId="0" xfId="45" applyNumberFormat="1" applyFont="1" applyAlignment="1" applyProtection="1">
      <alignment vertical="center"/>
    </xf>
    <xf numFmtId="49" fontId="8" fillId="0" borderId="0" xfId="45" applyNumberFormat="1" applyFont="1" applyAlignment="1" applyProtection="1">
      <alignment vertical="center"/>
    </xf>
    <xf numFmtId="0" fontId="7" fillId="26" borderId="101" xfId="45" applyFont="1" applyFill="1" applyBorder="1" applyAlignment="1" applyProtection="1">
      <alignment horizontal="center" wrapText="1"/>
    </xf>
    <xf numFmtId="0" fontId="7" fillId="26" borderId="102" xfId="45" applyFont="1" applyFill="1" applyBorder="1" applyAlignment="1" applyProtection="1">
      <alignment horizontal="center" wrapText="1"/>
    </xf>
    <xf numFmtId="0" fontId="8" fillId="0" borderId="0" xfId="45" applyFont="1" applyAlignment="1" applyProtection="1">
      <alignment wrapText="1"/>
    </xf>
    <xf numFmtId="0" fontId="7" fillId="26" borderId="37" xfId="45" applyFont="1" applyFill="1" applyBorder="1" applyAlignment="1" applyProtection="1">
      <alignment horizontal="center"/>
    </xf>
    <xf numFmtId="0" fontId="7" fillId="26" borderId="38" xfId="45" applyFont="1" applyFill="1" applyBorder="1" applyAlignment="1" applyProtection="1">
      <alignment horizontal="center"/>
    </xf>
    <xf numFmtId="0" fontId="7" fillId="26" borderId="39" xfId="45" applyFont="1" applyFill="1" applyBorder="1" applyAlignment="1" applyProtection="1">
      <alignment horizontal="center"/>
    </xf>
    <xf numFmtId="0" fontId="7" fillId="26" borderId="82" xfId="45" applyFont="1" applyFill="1" applyBorder="1" applyAlignment="1" applyProtection="1">
      <alignment horizontal="center" wrapText="1"/>
    </xf>
    <xf numFmtId="0" fontId="7" fillId="26" borderId="136" xfId="45" applyFont="1" applyFill="1" applyBorder="1" applyAlignment="1" applyProtection="1">
      <alignment horizontal="center" wrapText="1"/>
    </xf>
    <xf numFmtId="0" fontId="7" fillId="26" borderId="137" xfId="45" applyFont="1" applyFill="1" applyBorder="1" applyAlignment="1" applyProtection="1">
      <alignment horizontal="center" wrapText="1"/>
    </xf>
    <xf numFmtId="0" fontId="7" fillId="26" borderId="138" xfId="45" applyFont="1" applyFill="1" applyBorder="1" applyAlignment="1" applyProtection="1">
      <alignment horizontal="center" wrapText="1"/>
    </xf>
    <xf numFmtId="0" fontId="7" fillId="26" borderId="40" xfId="45" applyFont="1" applyFill="1" applyBorder="1" applyAlignment="1" applyProtection="1">
      <alignment horizontal="center" wrapText="1"/>
    </xf>
    <xf numFmtId="0" fontId="9" fillId="25" borderId="0" xfId="45" applyFont="1" applyFill="1" applyBorder="1" applyAlignment="1" applyProtection="1">
      <alignment vertical="center"/>
    </xf>
    <xf numFmtId="3" fontId="5" fillId="25" borderId="13" xfId="45" applyNumberFormat="1" applyFont="1" applyFill="1" applyBorder="1" applyAlignment="1" applyProtection="1">
      <alignment horizontal="right" vertical="center" indent="1"/>
    </xf>
    <xf numFmtId="3" fontId="5" fillId="32" borderId="12" xfId="45" applyNumberFormat="1" applyFont="1" applyFill="1" applyBorder="1" applyAlignment="1" applyProtection="1">
      <alignment horizontal="right" vertical="center" indent="1"/>
      <protection locked="0"/>
    </xf>
    <xf numFmtId="3" fontId="5" fillId="24" borderId="12" xfId="45" applyNumberFormat="1" applyFont="1" applyFill="1" applyBorder="1" applyAlignment="1" applyProtection="1">
      <alignment horizontal="right" vertical="center" indent="1"/>
    </xf>
    <xf numFmtId="0" fontId="9" fillId="25" borderId="41" xfId="45" applyFont="1" applyFill="1" applyBorder="1" applyAlignment="1" applyProtection="1">
      <alignment vertical="center"/>
    </xf>
    <xf numFmtId="3" fontId="5" fillId="25" borderId="14" xfId="45" applyNumberFormat="1" applyFont="1" applyFill="1" applyBorder="1" applyAlignment="1" applyProtection="1">
      <alignment horizontal="right" vertical="center" indent="1"/>
    </xf>
    <xf numFmtId="3" fontId="5" fillId="25" borderId="42" xfId="45" applyNumberFormat="1" applyFont="1" applyFill="1" applyBorder="1" applyAlignment="1" applyProtection="1">
      <alignment horizontal="right" vertical="center" indent="1"/>
    </xf>
    <xf numFmtId="3" fontId="8" fillId="0" borderId="0" xfId="45" applyNumberFormat="1" applyFont="1" applyProtection="1"/>
    <xf numFmtId="0" fontId="0" fillId="0" borderId="0" xfId="0" applyBorder="1" applyAlignment="1">
      <alignment vertical="center" wrapText="1"/>
    </xf>
    <xf numFmtId="0" fontId="0" fillId="0" borderId="0" xfId="0" applyBorder="1" applyAlignment="1">
      <alignment horizontal="left" vertical="center" wrapText="1"/>
    </xf>
    <xf numFmtId="0" fontId="7" fillId="26" borderId="82" xfId="45" applyFont="1" applyFill="1" applyBorder="1" applyAlignment="1" applyProtection="1">
      <alignment horizont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0" borderId="83"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165" fontId="9" fillId="0" borderId="36" xfId="0" applyNumberFormat="1" applyFont="1" applyFill="1" applyBorder="1" applyAlignment="1" applyProtection="1">
      <alignment horizontal="left" vertical="center" wrapText="1"/>
    </xf>
    <xf numFmtId="0" fontId="10" fillId="0" borderId="79" xfId="34" applyFill="1" applyBorder="1" applyAlignment="1" applyProtection="1">
      <alignment horizontal="left" vertical="center" wrapText="1"/>
    </xf>
    <xf numFmtId="0" fontId="37" fillId="26" borderId="73" xfId="0" applyFont="1" applyFill="1" applyBorder="1" applyProtection="1"/>
    <xf numFmtId="0" fontId="37" fillId="26" borderId="86" xfId="0" applyFont="1" applyFill="1" applyBorder="1" applyProtection="1"/>
    <xf numFmtId="0" fontId="37" fillId="26" borderId="13" xfId="0" applyFont="1" applyFill="1" applyBorder="1" applyAlignment="1" applyProtection="1"/>
    <xf numFmtId="0" fontId="37" fillId="26" borderId="85" xfId="0" applyFont="1" applyFill="1" applyBorder="1" applyAlignment="1" applyProtection="1"/>
    <xf numFmtId="0" fontId="37" fillId="26" borderId="86" xfId="0" applyFont="1" applyFill="1" applyBorder="1" applyAlignment="1" applyProtection="1"/>
    <xf numFmtId="0" fontId="37" fillId="26" borderId="73" xfId="0" applyFont="1" applyFill="1" applyBorder="1" applyAlignment="1" applyProtection="1"/>
    <xf numFmtId="49" fontId="4" fillId="24" borderId="30" xfId="0" applyNumberFormat="1" applyFont="1" applyFill="1" applyBorder="1" applyAlignment="1" applyProtection="1">
      <alignment horizontal="left" vertical="center" wrapText="1"/>
    </xf>
    <xf numFmtId="49" fontId="5" fillId="24" borderId="15" xfId="0" applyNumberFormat="1" applyFont="1" applyFill="1" applyBorder="1" applyAlignment="1" applyProtection="1">
      <alignment horizontal="center" vertical="center" wrapText="1"/>
    </xf>
    <xf numFmtId="3" fontId="5" fillId="24" borderId="18" xfId="0" applyNumberFormat="1" applyFont="1" applyFill="1" applyBorder="1" applyAlignment="1" applyProtection="1">
      <alignment horizontal="right" vertical="center" wrapText="1"/>
    </xf>
    <xf numFmtId="49" fontId="5" fillId="24" borderId="16" xfId="0" applyNumberFormat="1" applyFont="1" applyFill="1" applyBorder="1" applyAlignment="1" applyProtection="1">
      <alignment horizontal="center" vertical="center" wrapText="1"/>
    </xf>
    <xf numFmtId="3" fontId="5" fillId="24" borderId="17" xfId="0" applyNumberFormat="1" applyFont="1" applyFill="1" applyBorder="1" applyAlignment="1" applyProtection="1">
      <alignment horizontal="right" vertical="center" wrapText="1"/>
    </xf>
    <xf numFmtId="49" fontId="5" fillId="24" borderId="19" xfId="0" applyNumberFormat="1" applyFont="1" applyFill="1" applyBorder="1" applyAlignment="1" applyProtection="1">
      <alignment horizontal="center" vertical="center" wrapText="1"/>
    </xf>
    <xf numFmtId="3" fontId="5" fillId="24" borderId="20" xfId="0" applyNumberFormat="1" applyFont="1" applyFill="1" applyBorder="1" applyAlignment="1" applyProtection="1">
      <alignment horizontal="right" vertical="center" wrapText="1"/>
    </xf>
    <xf numFmtId="49" fontId="4" fillId="24" borderId="18" xfId="0" applyNumberFormat="1" applyFont="1" applyFill="1" applyBorder="1" applyAlignment="1" applyProtection="1">
      <alignment horizontal="left" vertical="center" wrapText="1"/>
    </xf>
    <xf numFmtId="49" fontId="4" fillId="24" borderId="17" xfId="0" applyNumberFormat="1" applyFont="1" applyFill="1" applyBorder="1" applyAlignment="1" applyProtection="1">
      <alignment horizontal="left" vertical="center" wrapText="1"/>
    </xf>
    <xf numFmtId="49" fontId="4" fillId="24" borderId="20" xfId="0" applyNumberFormat="1" applyFont="1" applyFill="1" applyBorder="1" applyAlignment="1" applyProtection="1">
      <alignment horizontal="left" vertical="center" wrapText="1"/>
    </xf>
    <xf numFmtId="3" fontId="5" fillId="24" borderId="12" xfId="0" applyNumberFormat="1" applyFont="1" applyFill="1" applyBorder="1" applyAlignment="1" applyProtection="1">
      <alignment horizontal="right" vertical="center" indent="1"/>
    </xf>
    <xf numFmtId="3" fontId="5" fillId="24" borderId="10" xfId="0" applyNumberFormat="1" applyFont="1" applyFill="1" applyBorder="1" applyAlignment="1" applyProtection="1">
      <alignment horizontal="right" vertical="center" indent="1"/>
    </xf>
    <xf numFmtId="3" fontId="5" fillId="24" borderId="11" xfId="0" applyNumberFormat="1" applyFont="1" applyFill="1" applyBorder="1" applyAlignment="1" applyProtection="1">
      <alignment horizontal="right" vertical="center" indent="1"/>
    </xf>
    <xf numFmtId="0" fontId="45" fillId="31" borderId="0" xfId="0" applyFont="1" applyFill="1" applyProtection="1"/>
    <xf numFmtId="3" fontId="5" fillId="24" borderId="31" xfId="0" applyNumberFormat="1" applyFont="1" applyFill="1" applyBorder="1" applyAlignment="1" applyProtection="1">
      <alignment horizontal="right" vertical="center" indent="1"/>
    </xf>
    <xf numFmtId="3" fontId="5" fillId="31" borderId="10" xfId="0" applyNumberFormat="1" applyFont="1" applyFill="1" applyBorder="1" applyAlignment="1" applyProtection="1">
      <alignment horizontal="right" vertical="center" indent="1"/>
    </xf>
    <xf numFmtId="3" fontId="5" fillId="24" borderId="32" xfId="0" applyNumberFormat="1" applyFont="1" applyFill="1" applyBorder="1" applyAlignment="1" applyProtection="1">
      <alignment horizontal="right" vertical="center" indent="1"/>
    </xf>
    <xf numFmtId="3" fontId="5" fillId="31" borderId="11" xfId="0" applyNumberFormat="1" applyFont="1" applyFill="1" applyBorder="1" applyAlignment="1" applyProtection="1">
      <alignment horizontal="right" vertical="center" indent="1"/>
    </xf>
    <xf numFmtId="3" fontId="5" fillId="24" borderId="33" xfId="0" applyNumberFormat="1" applyFont="1" applyFill="1" applyBorder="1" applyAlignment="1" applyProtection="1">
      <alignment horizontal="right" vertical="center" indent="1"/>
    </xf>
    <xf numFmtId="3" fontId="5" fillId="31" borderId="12"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xf>
    <xf numFmtId="0" fontId="5" fillId="24" borderId="58" xfId="0" applyNumberFormat="1" applyFont="1" applyFill="1" applyBorder="1" applyAlignment="1" applyProtection="1">
      <alignment horizontal="right" vertical="center" indent="1"/>
    </xf>
    <xf numFmtId="3" fontId="5" fillId="24" borderId="17" xfId="0" applyNumberFormat="1" applyFont="1" applyFill="1" applyBorder="1" applyAlignment="1" applyProtection="1">
      <alignment horizontal="right" vertical="center" indent="1"/>
    </xf>
    <xf numFmtId="3" fontId="5" fillId="24" borderId="16" xfId="0" applyNumberFormat="1" applyFont="1" applyFill="1" applyBorder="1" applyAlignment="1" applyProtection="1">
      <alignment horizontal="right" vertical="center" indent="1"/>
    </xf>
    <xf numFmtId="10" fontId="5" fillId="24" borderId="12" xfId="0" applyNumberFormat="1" applyFont="1" applyFill="1" applyBorder="1" applyAlignment="1" applyProtection="1">
      <alignment horizontal="right" vertical="center" indent="1"/>
    </xf>
    <xf numFmtId="3" fontId="5" fillId="24" borderId="18" xfId="0" applyNumberFormat="1" applyFont="1" applyFill="1" applyBorder="1" applyAlignment="1" applyProtection="1">
      <alignment horizontal="right" vertical="center" indent="1"/>
    </xf>
    <xf numFmtId="3" fontId="5" fillId="24" borderId="15" xfId="0" applyNumberFormat="1" applyFont="1" applyFill="1" applyBorder="1" applyAlignment="1" applyProtection="1">
      <alignment horizontal="right" vertical="center" indent="1"/>
    </xf>
    <xf numFmtId="10" fontId="5" fillId="24" borderId="10" xfId="0" applyNumberFormat="1" applyFont="1" applyFill="1" applyBorder="1" applyAlignment="1" applyProtection="1">
      <alignment horizontal="right" vertical="center" indent="1"/>
    </xf>
    <xf numFmtId="3" fontId="5" fillId="24" borderId="20" xfId="0" applyNumberFormat="1" applyFont="1" applyFill="1" applyBorder="1" applyAlignment="1" applyProtection="1">
      <alignment horizontal="right" vertical="center" indent="1"/>
    </xf>
    <xf numFmtId="3" fontId="5" fillId="24" borderId="19" xfId="0" applyNumberFormat="1" applyFont="1" applyFill="1" applyBorder="1" applyAlignment="1" applyProtection="1">
      <alignment horizontal="right" vertical="center" indent="1"/>
    </xf>
    <xf numFmtId="10" fontId="5" fillId="24" borderId="11" xfId="0" applyNumberFormat="1" applyFont="1" applyFill="1" applyBorder="1" applyAlignment="1" applyProtection="1">
      <alignment horizontal="right" vertical="center" indent="1"/>
    </xf>
    <xf numFmtId="3" fontId="9" fillId="24" borderId="12"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xf>
    <xf numFmtId="3" fontId="9" fillId="24" borderId="10" xfId="0" applyNumberFormat="1" applyFont="1" applyFill="1" applyBorder="1" applyAlignment="1" applyProtection="1">
      <alignment horizontal="right" vertical="center" indent="1"/>
    </xf>
    <xf numFmtId="3" fontId="9" fillId="24" borderId="11"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xf>
    <xf numFmtId="0" fontId="9" fillId="24" borderId="11" xfId="0" applyFont="1" applyFill="1" applyBorder="1" applyAlignment="1" applyProtection="1">
      <alignment vertical="center" wrapText="1"/>
    </xf>
    <xf numFmtId="3" fontId="9" fillId="24" borderId="65" xfId="0" applyNumberFormat="1" applyFont="1" applyFill="1" applyBorder="1" applyAlignment="1" applyProtection="1">
      <alignment horizontal="right" vertical="center" indent="1"/>
    </xf>
    <xf numFmtId="0" fontId="9" fillId="25" borderId="0" xfId="45" applyFont="1" applyFill="1" applyBorder="1" applyAlignment="1" applyProtection="1">
      <alignment horizontal="right" vertical="center"/>
    </xf>
    <xf numFmtId="0" fontId="8" fillId="30" borderId="85" xfId="0" applyFont="1" applyFill="1" applyBorder="1" applyAlignment="1" applyProtection="1">
      <alignment wrapText="1"/>
    </xf>
    <xf numFmtId="0" fontId="8" fillId="30" borderId="13" xfId="0" applyFont="1" applyFill="1" applyBorder="1" applyAlignment="1" applyProtection="1">
      <alignment wrapText="1"/>
    </xf>
    <xf numFmtId="0" fontId="33" fillId="26" borderId="89" xfId="0" applyFont="1" applyFill="1" applyBorder="1" applyAlignment="1" applyProtection="1">
      <alignment horizontal="center" wrapText="1"/>
    </xf>
    <xf numFmtId="0" fontId="33" fillId="26" borderId="90" xfId="0" applyFont="1" applyFill="1" applyBorder="1" applyAlignment="1" applyProtection="1">
      <alignment horizontal="center" wrapText="1"/>
    </xf>
    <xf numFmtId="0" fontId="33" fillId="26" borderId="91" xfId="0" applyFont="1" applyFill="1" applyBorder="1" applyAlignment="1" applyProtection="1">
      <alignment horizontal="center" wrapText="1"/>
    </xf>
    <xf numFmtId="0" fontId="8" fillId="30" borderId="13" xfId="0" applyFont="1" applyFill="1" applyBorder="1" applyAlignment="1" applyProtection="1">
      <alignment vertical="top" wrapText="1"/>
    </xf>
    <xf numFmtId="0" fontId="8" fillId="30" borderId="85" xfId="0" applyFont="1" applyFill="1" applyBorder="1" applyAlignment="1" applyProtection="1">
      <alignment vertical="top" wrapText="1"/>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xf>
    <xf numFmtId="0" fontId="33" fillId="26" borderId="89" xfId="0" applyFont="1" applyFill="1" applyBorder="1" applyAlignment="1" applyProtection="1">
      <alignment horizontal="center" vertical="center"/>
    </xf>
    <xf numFmtId="0" fontId="33" fillId="26" borderId="90" xfId="0" applyFont="1" applyFill="1" applyBorder="1" applyAlignment="1" applyProtection="1">
      <alignment horizontal="center" vertical="center"/>
    </xf>
    <xf numFmtId="0" fontId="33" fillId="26" borderId="91" xfId="0" applyFont="1" applyFill="1" applyBorder="1" applyAlignment="1" applyProtection="1">
      <alignment horizontal="center" vertical="center"/>
    </xf>
    <xf numFmtId="0" fontId="33" fillId="26" borderId="50" xfId="0" applyFont="1" applyFill="1" applyBorder="1" applyAlignment="1" applyProtection="1">
      <alignment horizontal="center"/>
    </xf>
    <xf numFmtId="0" fontId="8" fillId="30" borderId="86" xfId="0" applyFont="1" applyFill="1" applyBorder="1" applyAlignment="1" applyProtection="1">
      <alignment vertical="top" wrapText="1"/>
    </xf>
    <xf numFmtId="0" fontId="8" fillId="30" borderId="88" xfId="0" applyFont="1" applyFill="1" applyBorder="1" applyAlignment="1" applyProtection="1">
      <alignment vertical="top" wrapText="1"/>
    </xf>
    <xf numFmtId="0" fontId="9" fillId="30" borderId="13" xfId="0" applyFont="1" applyFill="1" applyBorder="1" applyAlignment="1" applyProtection="1">
      <alignment wrapText="1"/>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xf>
    <xf numFmtId="0" fontId="8" fillId="30" borderId="96" xfId="0" applyFont="1" applyFill="1" applyBorder="1" applyAlignment="1" applyProtection="1">
      <alignment horizontal="left" wrapText="1"/>
    </xf>
    <xf numFmtId="0" fontId="8" fillId="30" borderId="88" xfId="0" applyFont="1" applyFill="1" applyBorder="1" applyAlignment="1" applyProtection="1">
      <alignment horizontal="left" wrapText="1"/>
    </xf>
    <xf numFmtId="0" fontId="9" fillId="30" borderId="86" xfId="0" applyFont="1" applyFill="1" applyBorder="1" applyAlignment="1" applyProtection="1">
      <alignment horizontal="left" wrapText="1"/>
    </xf>
    <xf numFmtId="0" fontId="9" fillId="30" borderId="88" xfId="0" applyFont="1" applyFill="1" applyBorder="1" applyAlignment="1" applyProtection="1">
      <alignment horizontal="left" wrapText="1"/>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26" xfId="45" applyFont="1" applyFill="1" applyBorder="1" applyAlignment="1" applyProtection="1">
      <alignment horizontal="center" vertical="center" textRotation="90" wrapText="1"/>
    </xf>
    <xf numFmtId="0" fontId="1" fillId="0" borderId="26" xfId="45" applyBorder="1" applyAlignment="1" applyProtection="1">
      <alignment horizontal="center" vertical="center" textRotation="90" wrapText="1"/>
    </xf>
    <xf numFmtId="0" fontId="1" fillId="0" borderId="72" xfId="45" applyBorder="1" applyAlignment="1" applyProtection="1">
      <alignment horizontal="center" vertical="center" textRotation="90" wrapText="1"/>
    </xf>
    <xf numFmtId="0" fontId="9" fillId="25" borderId="113" xfId="45" applyFont="1" applyFill="1" applyBorder="1" applyAlignment="1" applyProtection="1">
      <alignment horizontal="center" vertical="center" textRotation="90" wrapText="1"/>
    </xf>
    <xf numFmtId="0" fontId="9" fillId="25" borderId="45" xfId="45" applyFont="1" applyFill="1" applyBorder="1" applyAlignment="1" applyProtection="1">
      <alignment vertical="center"/>
    </xf>
    <xf numFmtId="0" fontId="9" fillId="25" borderId="46" xfId="45" applyFont="1" applyFill="1" applyBorder="1" applyAlignment="1" applyProtection="1">
      <alignment vertical="center"/>
    </xf>
    <xf numFmtId="0" fontId="9" fillId="25" borderId="112" xfId="45" applyFont="1" applyFill="1" applyBorder="1" applyAlignment="1" applyProtection="1">
      <alignment vertical="center"/>
    </xf>
    <xf numFmtId="0" fontId="33" fillId="26" borderId="100" xfId="45" applyFont="1" applyFill="1" applyBorder="1" applyAlignment="1" applyProtection="1">
      <alignment horizontal="center"/>
    </xf>
    <xf numFmtId="0" fontId="33" fillId="26" borderId="101" xfId="45" applyFont="1" applyFill="1" applyBorder="1" applyAlignment="1" applyProtection="1">
      <alignment horizontal="center"/>
    </xf>
    <xf numFmtId="0" fontId="33" fillId="26" borderId="90" xfId="45" applyFont="1" applyFill="1" applyBorder="1" applyAlignment="1" applyProtection="1">
      <alignment horizontal="center"/>
    </xf>
    <xf numFmtId="0" fontId="7" fillId="26" borderId="134" xfId="45" applyFont="1" applyFill="1" applyBorder="1" applyAlignment="1" applyProtection="1">
      <alignment horizontal="center" wrapText="1"/>
    </xf>
    <xf numFmtId="0" fontId="7" fillId="26" borderId="118" xfId="45" applyFont="1" applyFill="1" applyBorder="1" applyAlignment="1" applyProtection="1">
      <alignment horizontal="center" wrapText="1"/>
    </xf>
    <xf numFmtId="0" fontId="1" fillId="0" borderId="135" xfId="45" applyBorder="1" applyAlignment="1" applyProtection="1">
      <alignment horizontal="center" wrapText="1"/>
    </xf>
    <xf numFmtId="0" fontId="1" fillId="0" borderId="118" xfId="45" applyBorder="1" applyAlignment="1" applyProtection="1">
      <alignment horizontal="center" wrapText="1"/>
    </xf>
    <xf numFmtId="0" fontId="0" fillId="0" borderId="118" xfId="0" applyBorder="1" applyAlignment="1" applyProtection="1">
      <alignment horizontal="center" wrapText="1"/>
    </xf>
    <xf numFmtId="0" fontId="0" fillId="0" borderId="135" xfId="0" applyBorder="1" applyAlignment="1" applyProtection="1">
      <alignment horizontal="center" wrapText="1"/>
    </xf>
    <xf numFmtId="0" fontId="7" fillId="26" borderId="114" xfId="45" applyFont="1" applyFill="1" applyBorder="1" applyAlignment="1" applyProtection="1">
      <alignment vertical="center"/>
    </xf>
    <xf numFmtId="0" fontId="7" fillId="26" borderId="115" xfId="45" applyFont="1" applyFill="1" applyBorder="1" applyAlignment="1" applyProtection="1">
      <alignment vertical="center"/>
    </xf>
    <xf numFmtId="0" fontId="7" fillId="26" borderId="116" xfId="45" applyFont="1" applyFill="1" applyBorder="1" applyAlignment="1" applyProtection="1">
      <alignment vertical="center"/>
    </xf>
    <xf numFmtId="165" fontId="9" fillId="25" borderId="107" xfId="45" applyNumberFormat="1" applyFont="1" applyFill="1" applyBorder="1" applyAlignment="1" applyProtection="1">
      <alignment horizontal="left" vertical="center" wrapText="1"/>
    </xf>
    <xf numFmtId="0" fontId="0" fillId="0" borderId="108" xfId="0" applyBorder="1" applyAlignment="1">
      <alignment horizontal="left" vertical="center" wrapText="1"/>
    </xf>
    <xf numFmtId="0" fontId="0" fillId="0" borderId="57" xfId="0" applyBorder="1" applyAlignment="1">
      <alignment horizontal="left" vertical="center" wrapText="1"/>
    </xf>
    <xf numFmtId="0" fontId="7" fillId="26" borderId="117" xfId="45" applyFont="1" applyFill="1" applyBorder="1" applyAlignment="1" applyProtection="1">
      <alignment vertical="center"/>
    </xf>
    <xf numFmtId="0" fontId="7" fillId="26" borderId="118" xfId="45" applyFont="1" applyFill="1" applyBorder="1" applyAlignment="1" applyProtection="1">
      <alignment vertical="center"/>
    </xf>
    <xf numFmtId="0" fontId="7" fillId="26" borderId="104" xfId="45" applyFont="1" applyFill="1" applyBorder="1" applyAlignment="1" applyProtection="1">
      <alignment vertical="center"/>
    </xf>
    <xf numFmtId="0" fontId="9" fillId="25" borderId="60" xfId="45" applyNumberFormat="1" applyFont="1" applyFill="1" applyBorder="1" applyAlignment="1" applyProtection="1">
      <alignment vertical="center" wrapText="1"/>
    </xf>
    <xf numFmtId="0" fontId="0" fillId="0" borderId="109" xfId="0" applyBorder="1" applyAlignment="1">
      <alignment vertical="center"/>
    </xf>
    <xf numFmtId="0" fontId="0" fillId="0" borderId="61" xfId="0" applyBorder="1" applyAlignment="1">
      <alignment vertical="center"/>
    </xf>
    <xf numFmtId="0" fontId="7" fillId="26" borderId="119" xfId="45" applyFont="1" applyFill="1" applyBorder="1" applyAlignment="1" applyProtection="1">
      <alignment vertical="center"/>
    </xf>
    <xf numFmtId="0" fontId="7" fillId="26" borderId="120" xfId="45" applyFont="1" applyFill="1" applyBorder="1" applyAlignment="1" applyProtection="1">
      <alignment vertical="center"/>
    </xf>
    <xf numFmtId="0" fontId="7" fillId="26" borderId="121" xfId="45" applyFont="1" applyFill="1" applyBorder="1" applyAlignment="1" applyProtection="1">
      <alignment vertical="center"/>
    </xf>
    <xf numFmtId="165" fontId="9" fillId="25" borderId="110" xfId="45" applyNumberFormat="1" applyFont="1" applyFill="1" applyBorder="1" applyAlignment="1" applyProtection="1">
      <alignment horizontal="left" vertical="center" wrapText="1"/>
    </xf>
    <xf numFmtId="0" fontId="0" fillId="0" borderId="111" xfId="0" applyBorder="1" applyAlignment="1">
      <alignment horizontal="left" vertical="center" wrapText="1"/>
    </xf>
    <xf numFmtId="0" fontId="0" fillId="0" borderId="58" xfId="0" applyBorder="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7"/>
    <cellStyle name="Normal 2 2" xfId="44"/>
    <cellStyle name="Normal 2 3" xfId="45"/>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ennis.thibodeau@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C6" sqref="C6"/>
    </sheetView>
  </sheetViews>
  <sheetFormatPr defaultRowHeight="10.5"/>
  <cols>
    <col min="1" max="1" width="2" style="2" customWidth="1"/>
    <col min="2" max="2" width="14.42578125" style="2" customWidth="1"/>
    <col min="3" max="3" width="109.7109375" style="2" customWidth="1"/>
    <col min="4" max="4" width="1.28515625" style="2" customWidth="1"/>
    <col min="5" max="16384" width="9.140625" style="2"/>
  </cols>
  <sheetData>
    <row r="1" spans="1:7" ht="12.6" customHeight="1"/>
    <row r="2" spans="1:7" ht="16.5" customHeight="1">
      <c r="A2" s="248" t="s">
        <v>73</v>
      </c>
      <c r="B2" s="248"/>
      <c r="C2" s="249"/>
    </row>
    <row r="3" spans="1:7" s="124" customFormat="1" ht="16.5" customHeight="1">
      <c r="A3" s="251" t="s">
        <v>25</v>
      </c>
      <c r="B3" s="252"/>
      <c r="C3" s="192"/>
    </row>
    <row r="4" spans="1:7" s="124" customFormat="1" ht="16.5" customHeight="1">
      <c r="A4" s="251" t="s">
        <v>22</v>
      </c>
      <c r="B4" s="252"/>
      <c r="C4" s="193" t="s">
        <v>105</v>
      </c>
    </row>
    <row r="5" spans="1:7" s="124" customFormat="1" ht="16.5" customHeight="1">
      <c r="A5" s="251" t="s">
        <v>26</v>
      </c>
      <c r="B5" s="252"/>
      <c r="C5" s="194">
        <v>41220</v>
      </c>
    </row>
    <row r="6" spans="1:7" s="124" customFormat="1" ht="16.5" customHeight="1">
      <c r="A6" s="251" t="s">
        <v>27</v>
      </c>
      <c r="B6" s="252"/>
      <c r="C6" s="193" t="s">
        <v>106</v>
      </c>
      <c r="E6" s="267" t="s">
        <v>80</v>
      </c>
      <c r="F6" s="267"/>
      <c r="G6" s="267"/>
    </row>
    <row r="7" spans="1:7" s="124" customFormat="1" ht="16.5" customHeight="1">
      <c r="A7" s="251" t="s">
        <v>23</v>
      </c>
      <c r="B7" s="252"/>
      <c r="C7" s="193" t="s">
        <v>107</v>
      </c>
      <c r="E7" s="267"/>
      <c r="F7" s="267"/>
      <c r="G7" s="267"/>
    </row>
    <row r="8" spans="1:7" s="125" customFormat="1" ht="16.5" customHeight="1">
      <c r="A8" s="254" t="s">
        <v>24</v>
      </c>
      <c r="B8" s="255"/>
      <c r="C8" s="195" t="s">
        <v>108</v>
      </c>
      <c r="E8" s="267"/>
      <c r="F8" s="267"/>
      <c r="G8" s="267"/>
    </row>
    <row r="9" spans="1:7" ht="15.75" customHeight="1">
      <c r="A9" s="256" t="s">
        <v>74</v>
      </c>
      <c r="B9" s="257"/>
      <c r="C9" s="258"/>
    </row>
    <row r="10" spans="1:7" ht="26.25" customHeight="1">
      <c r="A10" s="268" t="s">
        <v>104</v>
      </c>
      <c r="B10" s="269"/>
      <c r="C10" s="270"/>
    </row>
    <row r="11" spans="1:7" ht="16.5" customHeight="1">
      <c r="A11" s="196">
        <v>1</v>
      </c>
      <c r="B11" s="253" t="s">
        <v>68</v>
      </c>
      <c r="C11" s="253"/>
      <c r="D11" s="158"/>
      <c r="E11" s="158"/>
    </row>
    <row r="12" spans="1:7" ht="16.5" customHeight="1">
      <c r="A12" s="197">
        <v>2</v>
      </c>
      <c r="B12" s="253" t="s">
        <v>31</v>
      </c>
      <c r="C12" s="253"/>
      <c r="D12" s="158"/>
      <c r="E12" s="158"/>
    </row>
    <row r="13" spans="1:7" ht="16.5" customHeight="1">
      <c r="A13" s="197">
        <v>3</v>
      </c>
      <c r="B13" s="253" t="s">
        <v>32</v>
      </c>
      <c r="C13" s="253"/>
      <c r="D13" s="158"/>
      <c r="E13" s="158"/>
    </row>
    <row r="14" spans="1:7" ht="16.5" customHeight="1">
      <c r="A14" s="197">
        <v>4</v>
      </c>
      <c r="B14" s="253" t="s">
        <v>66</v>
      </c>
      <c r="C14" s="253"/>
      <c r="D14" s="158"/>
      <c r="E14" s="158"/>
    </row>
    <row r="15" spans="1:7" ht="16.5" customHeight="1">
      <c r="A15" s="197">
        <v>6</v>
      </c>
      <c r="B15" s="253" t="s">
        <v>67</v>
      </c>
      <c r="C15" s="253"/>
      <c r="D15" s="158"/>
      <c r="E15" s="158"/>
    </row>
    <row r="16" spans="1:7" ht="18" customHeight="1">
      <c r="A16" s="197">
        <v>7</v>
      </c>
      <c r="B16" s="253" t="s">
        <v>33</v>
      </c>
      <c r="C16" s="253"/>
      <c r="D16" s="158"/>
      <c r="E16" s="158"/>
    </row>
    <row r="17" spans="1:3" ht="15.75" customHeight="1">
      <c r="A17" s="250" t="s">
        <v>46</v>
      </c>
      <c r="B17" s="248"/>
      <c r="C17" s="249"/>
    </row>
    <row r="18" spans="1:3" ht="14.25" customHeight="1">
      <c r="A18" s="198">
        <v>3</v>
      </c>
      <c r="B18" s="271" t="s">
        <v>84</v>
      </c>
      <c r="C18" s="272"/>
    </row>
    <row r="19" spans="1:3" ht="14.25" customHeight="1">
      <c r="A19" s="243" t="s">
        <v>20</v>
      </c>
      <c r="B19" s="244"/>
      <c r="C19" s="245"/>
    </row>
    <row r="20" spans="1:3" ht="12.75">
      <c r="A20" s="199">
        <v>1</v>
      </c>
      <c r="B20" s="241" t="s">
        <v>34</v>
      </c>
      <c r="C20" s="241"/>
    </row>
    <row r="21" spans="1:3" ht="93" customHeight="1">
      <c r="A21" s="198">
        <v>2</v>
      </c>
      <c r="B21" s="242" t="s">
        <v>47</v>
      </c>
      <c r="C21" s="242"/>
    </row>
    <row r="22" spans="1:3" ht="12.75">
      <c r="A22" s="198">
        <v>3</v>
      </c>
      <c r="B22" s="242" t="s">
        <v>101</v>
      </c>
      <c r="C22" s="242"/>
    </row>
    <row r="23" spans="1:3" ht="12.75">
      <c r="A23" s="198">
        <v>4</v>
      </c>
      <c r="B23" s="242" t="s">
        <v>102</v>
      </c>
      <c r="C23" s="242"/>
    </row>
    <row r="24" spans="1:3" ht="15.75" customHeight="1">
      <c r="A24" s="263" t="s">
        <v>45</v>
      </c>
      <c r="B24" s="263"/>
      <c r="C24" s="263"/>
    </row>
    <row r="25" spans="1:3" ht="12.75" customHeight="1">
      <c r="A25" s="199">
        <v>1</v>
      </c>
      <c r="B25" s="247" t="s">
        <v>35</v>
      </c>
      <c r="C25" s="247"/>
    </row>
    <row r="26" spans="1:3" ht="12.75">
      <c r="A26" s="198">
        <v>2</v>
      </c>
      <c r="B26" s="246" t="s">
        <v>36</v>
      </c>
      <c r="C26" s="246"/>
    </row>
    <row r="27" spans="1:3" ht="12.75" customHeight="1">
      <c r="A27" s="198">
        <v>3</v>
      </c>
      <c r="B27" s="242" t="s">
        <v>101</v>
      </c>
      <c r="C27" s="242"/>
    </row>
    <row r="28" spans="1:3" ht="13.5" customHeight="1">
      <c r="A28" s="260" t="s">
        <v>50</v>
      </c>
      <c r="B28" s="261"/>
      <c r="C28" s="262"/>
    </row>
    <row r="29" spans="1:3" ht="12.75">
      <c r="A29" s="199">
        <v>1</v>
      </c>
      <c r="B29" s="247" t="s">
        <v>35</v>
      </c>
      <c r="C29" s="247"/>
    </row>
    <row r="30" spans="1:3" ht="12.75">
      <c r="A30" s="198">
        <v>2</v>
      </c>
      <c r="B30" s="246" t="s">
        <v>36</v>
      </c>
      <c r="C30" s="246"/>
    </row>
    <row r="31" spans="1:3" ht="12.75" customHeight="1">
      <c r="A31" s="198">
        <v>3</v>
      </c>
      <c r="B31" s="242" t="s">
        <v>101</v>
      </c>
      <c r="C31" s="242"/>
    </row>
    <row r="32" spans="1:3" ht="13.5" customHeight="1">
      <c r="A32" s="260" t="s">
        <v>54</v>
      </c>
      <c r="B32" s="261"/>
      <c r="C32" s="262"/>
    </row>
    <row r="33" spans="1:3" ht="64.5" customHeight="1">
      <c r="A33" s="199">
        <v>1</v>
      </c>
      <c r="B33" s="264" t="s">
        <v>81</v>
      </c>
      <c r="C33" s="265"/>
    </row>
    <row r="34" spans="1:3" ht="117.75" customHeight="1">
      <c r="A34" s="198">
        <v>2</v>
      </c>
      <c r="B34" s="264" t="s">
        <v>103</v>
      </c>
      <c r="C34" s="265"/>
    </row>
    <row r="35" spans="1:3" ht="54.75" customHeight="1">
      <c r="A35" s="198">
        <v>3</v>
      </c>
      <c r="B35" s="264" t="s">
        <v>82</v>
      </c>
      <c r="C35" s="265"/>
    </row>
    <row r="36" spans="1:3" ht="32.25" customHeight="1">
      <c r="A36" s="198">
        <v>4</v>
      </c>
      <c r="B36" s="264" t="s">
        <v>59</v>
      </c>
      <c r="C36" s="265"/>
    </row>
    <row r="37" spans="1:3" ht="15.75" customHeight="1">
      <c r="A37" s="198">
        <v>5</v>
      </c>
      <c r="B37" s="242" t="s">
        <v>69</v>
      </c>
      <c r="C37" s="242"/>
    </row>
    <row r="38" spans="1:3" ht="107.25" customHeight="1">
      <c r="A38" s="198">
        <v>6</v>
      </c>
      <c r="B38" s="266" t="s">
        <v>100</v>
      </c>
      <c r="C38" s="242"/>
    </row>
    <row r="39" spans="1:3" ht="13.5" customHeight="1">
      <c r="A39" s="260" t="s">
        <v>21</v>
      </c>
      <c r="B39" s="261"/>
      <c r="C39" s="262"/>
    </row>
    <row r="40" spans="1:3" ht="12.75" customHeight="1">
      <c r="A40" s="199">
        <v>1</v>
      </c>
      <c r="B40" s="241" t="s">
        <v>37</v>
      </c>
      <c r="C40" s="241"/>
    </row>
    <row r="41" spans="1:3" ht="27.75" customHeight="1">
      <c r="A41" s="198">
        <v>2</v>
      </c>
      <c r="B41" s="242" t="s">
        <v>75</v>
      </c>
      <c r="C41" s="242"/>
    </row>
    <row r="42" spans="1:3" ht="15.75" customHeight="1">
      <c r="A42" s="200">
        <v>3</v>
      </c>
      <c r="B42" s="242" t="s">
        <v>38</v>
      </c>
      <c r="C42" s="242"/>
    </row>
    <row r="43" spans="1:3" ht="43.5" customHeight="1">
      <c r="A43" s="201">
        <v>4</v>
      </c>
      <c r="B43" s="259" t="s">
        <v>79</v>
      </c>
      <c r="C43" s="242"/>
    </row>
  </sheetData>
  <sheetProtection password="CAD5" sheet="1" objects="1" scenario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30"/>
  <sheetViews>
    <sheetView showGridLines="0" zoomScaleNormal="100" workbookViewId="0">
      <selection activeCell="B13" sqref="B13"/>
    </sheetView>
  </sheetViews>
  <sheetFormatPr defaultRowHeight="12"/>
  <cols>
    <col min="1" max="1" width="2" style="4" customWidth="1"/>
    <col min="2" max="2" width="53.28515625" style="4" customWidth="1"/>
    <col min="3" max="3" width="19" style="4" customWidth="1"/>
    <col min="4" max="4" width="16.85546875" style="4" customWidth="1"/>
    <col min="5" max="5" width="16.28515625" style="4" customWidth="1"/>
    <col min="6" max="6" width="17.28515625" style="4" customWidth="1"/>
    <col min="7" max="16384" width="9.140625" style="4"/>
  </cols>
  <sheetData>
    <row r="2" spans="1:6" s="5" customFormat="1" ht="16.5" customHeight="1">
      <c r="A2" s="278" t="s">
        <v>25</v>
      </c>
      <c r="B2" s="279"/>
      <c r="C2" s="284"/>
      <c r="D2" s="285"/>
      <c r="E2" s="285"/>
      <c r="F2" s="286"/>
    </row>
    <row r="3" spans="1:6" s="5" customFormat="1" ht="16.5" customHeight="1">
      <c r="A3" s="280" t="s">
        <v>22</v>
      </c>
      <c r="B3" s="281"/>
      <c r="C3" s="287" t="str">
        <f>IF(ISBLANK('PROJECT ID|INSTRUCTIONS'!C4)," ",'PROJECT ID|INSTRUCTIONS'!C4)</f>
        <v xml:space="preserve">DEEP Enterprise Online Case Management System </v>
      </c>
      <c r="D3" s="288"/>
      <c r="E3" s="288"/>
      <c r="F3" s="289"/>
    </row>
    <row r="4" spans="1:6" s="5" customFormat="1" ht="16.5" customHeight="1">
      <c r="A4" s="282" t="s">
        <v>26</v>
      </c>
      <c r="B4" s="283"/>
      <c r="C4" s="290">
        <f>IF(ISBLANK('PROJECT ID|INSTRUCTIONS'!C5)," ",'PROJECT ID|INSTRUCTIONS'!C5)</f>
        <v>41220</v>
      </c>
      <c r="D4" s="291"/>
      <c r="E4" s="291"/>
      <c r="F4" s="292"/>
    </row>
    <row r="5" spans="1:6" s="6" customFormat="1" ht="12" customHeight="1"/>
    <row r="6" spans="1:6" s="6" customFormat="1" ht="18.75" customHeight="1">
      <c r="A6" s="275" t="s">
        <v>20</v>
      </c>
      <c r="B6" s="276"/>
      <c r="C6" s="276"/>
      <c r="D6" s="276"/>
      <c r="E6" s="276"/>
      <c r="F6" s="277"/>
    </row>
    <row r="7" spans="1:6" ht="14.25" customHeight="1">
      <c r="A7" s="16"/>
      <c r="B7" s="7"/>
      <c r="C7" s="8" t="s">
        <v>3</v>
      </c>
      <c r="D7" s="8"/>
      <c r="E7" s="8" t="s">
        <v>4</v>
      </c>
      <c r="F7" s="17"/>
    </row>
    <row r="8" spans="1:6" ht="16.5" customHeight="1" thickBot="1">
      <c r="A8" s="18"/>
      <c r="B8" s="9"/>
      <c r="C8" s="10" t="s">
        <v>6</v>
      </c>
      <c r="D8" s="10" t="s">
        <v>5</v>
      </c>
      <c r="E8" s="10" t="s">
        <v>1</v>
      </c>
      <c r="F8" s="19" t="s">
        <v>2</v>
      </c>
    </row>
    <row r="9" spans="1:6" ht="18" customHeight="1" thickTop="1">
      <c r="A9" s="20" t="s">
        <v>10</v>
      </c>
      <c r="B9" s="21"/>
      <c r="C9" s="11"/>
      <c r="D9" s="12"/>
      <c r="E9" s="11"/>
      <c r="F9" s="12"/>
    </row>
    <row r="10" spans="1:6" s="13" customFormat="1" ht="24">
      <c r="A10" s="66"/>
      <c r="B10" s="202" t="s">
        <v>112</v>
      </c>
      <c r="C10" s="203"/>
      <c r="D10" s="204"/>
      <c r="E10" s="203" t="s">
        <v>115</v>
      </c>
      <c r="F10" s="204">
        <v>250000</v>
      </c>
    </row>
    <row r="11" spans="1:6" s="13" customFormat="1">
      <c r="A11" s="66"/>
      <c r="B11" s="202"/>
      <c r="C11" s="205"/>
      <c r="D11" s="206"/>
      <c r="E11" s="205"/>
      <c r="F11" s="206"/>
    </row>
    <row r="12" spans="1:6" s="13" customFormat="1">
      <c r="A12" s="66"/>
      <c r="B12" s="202"/>
      <c r="C12" s="205"/>
      <c r="D12" s="206"/>
      <c r="E12" s="205"/>
      <c r="F12" s="206"/>
    </row>
    <row r="13" spans="1:6" s="13" customFormat="1">
      <c r="A13" s="66"/>
      <c r="B13" s="202"/>
      <c r="C13" s="203"/>
      <c r="D13" s="204"/>
      <c r="E13" s="203"/>
      <c r="F13" s="204"/>
    </row>
    <row r="14" spans="1:6" s="13" customFormat="1">
      <c r="A14" s="66"/>
      <c r="B14" s="202"/>
      <c r="C14" s="203"/>
      <c r="D14" s="204"/>
      <c r="E14" s="203"/>
      <c r="F14" s="204"/>
    </row>
    <row r="15" spans="1:6" ht="15" customHeight="1">
      <c r="A15" s="20" t="s">
        <v>11</v>
      </c>
      <c r="B15" s="21"/>
      <c r="C15" s="69"/>
      <c r="D15" s="70"/>
      <c r="E15" s="69"/>
      <c r="F15" s="70"/>
    </row>
    <row r="16" spans="1:6" s="13" customFormat="1">
      <c r="A16" s="66"/>
      <c r="B16" s="202" t="s">
        <v>113</v>
      </c>
      <c r="C16" s="205"/>
      <c r="D16" s="206"/>
      <c r="E16" s="205" t="s">
        <v>115</v>
      </c>
      <c r="F16" s="206">
        <v>0</v>
      </c>
    </row>
    <row r="17" spans="1:6" s="13" customFormat="1">
      <c r="A17" s="66"/>
      <c r="B17" s="202" t="s">
        <v>109</v>
      </c>
      <c r="C17" s="205"/>
      <c r="D17" s="206"/>
      <c r="E17" s="205" t="s">
        <v>114</v>
      </c>
      <c r="F17" s="206">
        <v>65000</v>
      </c>
    </row>
    <row r="18" spans="1:6" s="13" customFormat="1">
      <c r="A18" s="66"/>
      <c r="B18" s="202" t="s">
        <v>110</v>
      </c>
      <c r="C18" s="205"/>
      <c r="D18" s="206"/>
      <c r="E18" s="205" t="s">
        <v>114</v>
      </c>
      <c r="F18" s="206">
        <v>35000</v>
      </c>
    </row>
    <row r="19" spans="1:6" s="13" customFormat="1">
      <c r="A19" s="66"/>
      <c r="B19" s="202"/>
      <c r="C19" s="203"/>
      <c r="D19" s="204"/>
      <c r="E19" s="203"/>
      <c r="F19" s="204"/>
    </row>
    <row r="20" spans="1:6" s="13" customFormat="1">
      <c r="A20" s="66"/>
      <c r="B20" s="202"/>
      <c r="C20" s="207"/>
      <c r="D20" s="208"/>
      <c r="E20" s="207"/>
      <c r="F20" s="208"/>
    </row>
    <row r="21" spans="1:6" ht="15" customHeight="1">
      <c r="A21" s="20" t="s">
        <v>12</v>
      </c>
      <c r="B21" s="21"/>
      <c r="C21" s="67"/>
      <c r="D21" s="68"/>
      <c r="E21" s="150"/>
      <c r="F21" s="68"/>
    </row>
    <row r="22" spans="1:6" s="13" customFormat="1">
      <c r="A22" s="22"/>
      <c r="B22" s="209" t="s">
        <v>111</v>
      </c>
      <c r="C22" s="205"/>
      <c r="D22" s="206"/>
      <c r="E22" s="205" t="s">
        <v>115</v>
      </c>
      <c r="F22" s="206">
        <v>20000</v>
      </c>
    </row>
    <row r="23" spans="1:6" s="13" customFormat="1">
      <c r="A23" s="22"/>
      <c r="B23" s="210" t="s">
        <v>119</v>
      </c>
      <c r="C23" s="205"/>
      <c r="D23" s="206"/>
      <c r="E23" s="205" t="s">
        <v>114</v>
      </c>
      <c r="F23" s="206">
        <v>85000</v>
      </c>
    </row>
    <row r="24" spans="1:6" s="13" customFormat="1">
      <c r="A24" s="22"/>
      <c r="B24" s="210"/>
      <c r="C24" s="205"/>
      <c r="D24" s="206"/>
      <c r="E24" s="205"/>
      <c r="F24" s="206"/>
    </row>
    <row r="25" spans="1:6" s="13" customFormat="1">
      <c r="A25" s="22"/>
      <c r="B25" s="209"/>
      <c r="C25" s="203"/>
      <c r="D25" s="204"/>
      <c r="E25" s="203"/>
      <c r="F25" s="204"/>
    </row>
    <row r="26" spans="1:6" s="13" customFormat="1" ht="12.75" thickBot="1">
      <c r="A26" s="22"/>
      <c r="B26" s="211"/>
      <c r="C26" s="207"/>
      <c r="D26" s="208"/>
      <c r="E26" s="207"/>
      <c r="F26" s="208"/>
    </row>
    <row r="27" spans="1:6" ht="18" customHeight="1" thickTop="1" thickBot="1">
      <c r="A27" s="273" t="s">
        <v>0</v>
      </c>
      <c r="B27" s="274"/>
      <c r="C27" s="14"/>
      <c r="D27" s="15">
        <f>SUM(D9:D26)</f>
        <v>0</v>
      </c>
      <c r="E27" s="14"/>
      <c r="F27" s="15">
        <f>SUM(F9:F26)</f>
        <v>455000</v>
      </c>
    </row>
    <row r="28" spans="1:6" ht="12.75" thickTop="1"/>
    <row r="30" spans="1:6">
      <c r="B30" s="4" t="s">
        <v>120</v>
      </c>
    </row>
  </sheetData>
  <sheetProtection password="CAD5" sheet="1" objects="1" scenario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80" zoomScaleNormal="80" workbookViewId="0">
      <pane ySplit="7" topLeftCell="A8" activePane="bottomLeft" state="frozen"/>
      <selection pane="bottomLeft" activeCell="H15" sqref="H15"/>
    </sheetView>
  </sheetViews>
  <sheetFormatPr defaultRowHeight="12.75"/>
  <cols>
    <col min="1" max="1" width="7.7109375" style="6" customWidth="1"/>
    <col min="2" max="2" width="10.28515625" style="6" customWidth="1"/>
    <col min="3" max="3" width="29.85546875" style="6" bestFit="1" customWidth="1"/>
    <col min="4" max="10" width="12.7109375" style="6" customWidth="1"/>
    <col min="11" max="11" width="14.140625" style="6" customWidth="1"/>
    <col min="12" max="16384" width="9.140625" style="6"/>
  </cols>
  <sheetData>
    <row r="1" spans="1:11" ht="12" customHeight="1"/>
    <row r="2" spans="1:11" ht="16.5" customHeight="1">
      <c r="A2" s="303" t="s">
        <v>25</v>
      </c>
      <c r="B2" s="304"/>
      <c r="C2" s="305"/>
      <c r="D2" s="284" t="str">
        <f>IF(ISBLANK('PROJECT ID|INSTRUCTIONS'!C3)," ",'PROJECT ID|INSTRUCTIONS'!C3)</f>
        <v xml:space="preserve"> </v>
      </c>
      <c r="E2" s="285"/>
      <c r="F2" s="285"/>
      <c r="G2" s="285"/>
      <c r="H2" s="285"/>
      <c r="I2" s="286"/>
    </row>
    <row r="3" spans="1:11" ht="16.5" customHeight="1">
      <c r="A3" s="306" t="s">
        <v>22</v>
      </c>
      <c r="B3" s="307"/>
      <c r="C3" s="281"/>
      <c r="D3" s="287" t="str">
        <f>IF(ISBLANK('PROJECT ID|INSTRUCTIONS'!C4)," ",'PROJECT ID|INSTRUCTIONS'!C4)</f>
        <v xml:space="preserve">DEEP Enterprise Online Case Management System </v>
      </c>
      <c r="E3" s="288"/>
      <c r="F3" s="288"/>
      <c r="G3" s="288"/>
      <c r="H3" s="288"/>
      <c r="I3" s="289"/>
    </row>
    <row r="4" spans="1:11" ht="16.5" customHeight="1">
      <c r="A4" s="308" t="s">
        <v>26</v>
      </c>
      <c r="B4" s="309"/>
      <c r="C4" s="310"/>
      <c r="D4" s="290">
        <f>IF(ISBLANK('PROJECT ID|INSTRUCTIONS'!C5)," ",'PROJECT ID|INSTRUCTIONS'!C5)</f>
        <v>41220</v>
      </c>
      <c r="E4" s="291"/>
      <c r="F4" s="291"/>
      <c r="G4" s="291"/>
      <c r="H4" s="291"/>
      <c r="I4" s="292"/>
    </row>
    <row r="5" spans="1:11" s="24" customFormat="1" ht="12" customHeight="1">
      <c r="A5" s="23" t="s">
        <v>48</v>
      </c>
      <c r="B5" s="23"/>
      <c r="C5" s="23"/>
      <c r="D5" s="23"/>
      <c r="E5" s="23"/>
      <c r="F5" s="23"/>
      <c r="G5" s="23"/>
    </row>
    <row r="6" spans="1:11" s="25" customFormat="1" ht="18" customHeight="1">
      <c r="A6" s="296" t="s">
        <v>55</v>
      </c>
      <c r="B6" s="297"/>
      <c r="C6" s="297"/>
      <c r="D6" s="297"/>
      <c r="E6" s="297"/>
      <c r="F6" s="297"/>
      <c r="G6" s="297"/>
      <c r="H6" s="297"/>
      <c r="I6" s="297"/>
      <c r="J6" s="297"/>
      <c r="K6" s="298"/>
    </row>
    <row r="7" spans="1:11" s="25" customFormat="1" ht="25.5">
      <c r="A7" s="26"/>
      <c r="B7" s="27" t="s">
        <v>14</v>
      </c>
      <c r="C7" s="28" t="s">
        <v>15</v>
      </c>
      <c r="D7" s="29" t="s">
        <v>13</v>
      </c>
      <c r="E7" s="29" t="str">
        <f>CONCATENATE("FY ",Settings!$C$1)</f>
        <v>FY 2013</v>
      </c>
      <c r="F7" s="29" t="str">
        <f>CONCATENATE("FY ",Settings!$C$1+1)</f>
        <v>FY 2014</v>
      </c>
      <c r="G7" s="29" t="str">
        <f>CONCATENATE("FY ",Settings!$C$1+2)</f>
        <v>FY 2015</v>
      </c>
      <c r="H7" s="29" t="str">
        <f>CONCATENATE("FY ",Settings!$C$1+3)</f>
        <v>FY 2016</v>
      </c>
      <c r="I7" s="29" t="str">
        <f>CONCATENATE("FY ",Settings!$C$1+4)</f>
        <v>FY 2017</v>
      </c>
      <c r="J7" s="29" t="str">
        <f>CONCATENATE("Out Years after FY",Settings!$C$1+4)</f>
        <v>Out Years after FY2017</v>
      </c>
      <c r="K7" s="30" t="s">
        <v>0</v>
      </c>
    </row>
    <row r="8" spans="1:11" ht="16.5" customHeight="1">
      <c r="A8" s="299" t="s">
        <v>86</v>
      </c>
      <c r="B8" s="31">
        <v>50110</v>
      </c>
      <c r="C8" s="31" t="s">
        <v>87</v>
      </c>
      <c r="D8" s="212"/>
      <c r="E8" s="212"/>
      <c r="F8" s="212"/>
      <c r="G8" s="212"/>
      <c r="H8" s="212"/>
      <c r="I8" s="212"/>
      <c r="J8" s="212"/>
      <c r="K8" s="141">
        <f>SUM(D8:J8)</f>
        <v>0</v>
      </c>
    </row>
    <row r="9" spans="1:11" ht="16.5" customHeight="1">
      <c r="A9" s="300"/>
      <c r="B9" s="31">
        <v>50130</v>
      </c>
      <c r="C9" s="31" t="s">
        <v>88</v>
      </c>
      <c r="D9" s="213"/>
      <c r="E9" s="213"/>
      <c r="F9" s="213"/>
      <c r="G9" s="213"/>
      <c r="H9" s="213"/>
      <c r="I9" s="213"/>
      <c r="J9" s="213"/>
      <c r="K9" s="68">
        <f t="shared" ref="K9:K19" si="0">SUM(D9:J9)</f>
        <v>0</v>
      </c>
    </row>
    <row r="10" spans="1:11" ht="16.5" customHeight="1">
      <c r="A10" s="300"/>
      <c r="B10" s="31">
        <v>50170</v>
      </c>
      <c r="C10" s="31" t="s">
        <v>89</v>
      </c>
      <c r="D10" s="214">
        <v>50000</v>
      </c>
      <c r="E10" s="214">
        <v>50000</v>
      </c>
      <c r="F10" s="214">
        <v>50000</v>
      </c>
      <c r="G10" s="214">
        <v>50000</v>
      </c>
      <c r="H10" s="214"/>
      <c r="I10" s="214"/>
      <c r="J10" s="214"/>
      <c r="K10" s="149">
        <f t="shared" si="0"/>
        <v>200000</v>
      </c>
    </row>
    <row r="11" spans="1:11" ht="16.5" customHeight="1" thickBot="1">
      <c r="A11" s="301"/>
      <c r="B11" s="32" t="s">
        <v>16</v>
      </c>
      <c r="C11" s="32"/>
      <c r="D11" s="33">
        <f>SUM(D8:D10)</f>
        <v>50000</v>
      </c>
      <c r="E11" s="33">
        <f t="shared" ref="E11:J11" si="1">SUM(E8:E10)</f>
        <v>50000</v>
      </c>
      <c r="F11" s="33">
        <f t="shared" si="1"/>
        <v>50000</v>
      </c>
      <c r="G11" s="33">
        <f t="shared" si="1"/>
        <v>50000</v>
      </c>
      <c r="H11" s="33">
        <f t="shared" si="1"/>
        <v>0</v>
      </c>
      <c r="I11" s="33">
        <f t="shared" si="1"/>
        <v>0</v>
      </c>
      <c r="J11" s="33">
        <f t="shared" si="1"/>
        <v>0</v>
      </c>
      <c r="K11" s="34">
        <f t="shared" si="0"/>
        <v>200000</v>
      </c>
    </row>
    <row r="12" spans="1:11" ht="16.5" customHeight="1" thickTop="1">
      <c r="A12" s="302" t="s">
        <v>85</v>
      </c>
      <c r="B12" s="31">
        <v>53715</v>
      </c>
      <c r="C12" s="31" t="s">
        <v>90</v>
      </c>
      <c r="D12" s="212">
        <f>3500000+500000+250000-50000</f>
        <v>4200000</v>
      </c>
      <c r="E12" s="212">
        <f>150000+200000+1150000+120000-50000</f>
        <v>1570000</v>
      </c>
      <c r="F12" s="212">
        <f>150000+100000+3750000+130000-50000</f>
        <v>4080000</v>
      </c>
      <c r="G12" s="212">
        <f>3050000+130000-50000</f>
        <v>3130000</v>
      </c>
      <c r="H12" s="212">
        <v>130000</v>
      </c>
      <c r="I12" s="212">
        <v>130000</v>
      </c>
      <c r="J12" s="212"/>
      <c r="K12" s="148">
        <f t="shared" si="0"/>
        <v>13240000</v>
      </c>
    </row>
    <row r="13" spans="1:11" ht="16.5" customHeight="1">
      <c r="A13" s="300"/>
      <c r="B13" s="31">
        <v>53720</v>
      </c>
      <c r="C13" s="31" t="s">
        <v>91</v>
      </c>
      <c r="D13" s="213"/>
      <c r="E13" s="213"/>
      <c r="F13" s="213"/>
      <c r="G13" s="213"/>
      <c r="H13" s="213"/>
      <c r="I13" s="213"/>
      <c r="J13" s="213"/>
      <c r="K13" s="68">
        <f t="shared" si="0"/>
        <v>0</v>
      </c>
    </row>
    <row r="14" spans="1:11" ht="16.5" customHeight="1">
      <c r="A14" s="300"/>
      <c r="B14" s="31">
        <v>53735</v>
      </c>
      <c r="C14" s="31" t="s">
        <v>92</v>
      </c>
      <c r="D14" s="213"/>
      <c r="E14" s="213"/>
      <c r="F14" s="213"/>
      <c r="G14" s="213"/>
      <c r="H14" s="213"/>
      <c r="I14" s="213"/>
      <c r="J14" s="213"/>
      <c r="K14" s="68">
        <f t="shared" si="0"/>
        <v>0</v>
      </c>
    </row>
    <row r="15" spans="1:11" ht="16.5" customHeight="1">
      <c r="A15" s="300"/>
      <c r="B15" s="31">
        <v>53740</v>
      </c>
      <c r="C15" s="31" t="s">
        <v>93</v>
      </c>
      <c r="D15" s="213">
        <v>100000</v>
      </c>
      <c r="E15" s="213">
        <v>10000</v>
      </c>
      <c r="F15" s="213">
        <v>10000</v>
      </c>
      <c r="G15" s="213">
        <v>10000</v>
      </c>
      <c r="H15" s="213"/>
      <c r="I15" s="213"/>
      <c r="J15" s="213"/>
      <c r="K15" s="68">
        <f t="shared" si="0"/>
        <v>130000</v>
      </c>
    </row>
    <row r="16" spans="1:11" ht="16.5" customHeight="1">
      <c r="A16" s="300"/>
      <c r="B16" s="31">
        <v>53755</v>
      </c>
      <c r="C16" s="31" t="s">
        <v>94</v>
      </c>
      <c r="D16" s="213">
        <v>163500</v>
      </c>
      <c r="E16" s="213">
        <v>20000</v>
      </c>
      <c r="F16" s="213">
        <v>20000</v>
      </c>
      <c r="G16" s="213">
        <v>20000</v>
      </c>
      <c r="H16" s="213"/>
      <c r="I16" s="213"/>
      <c r="J16" s="213"/>
      <c r="K16" s="68">
        <f t="shared" si="0"/>
        <v>223500</v>
      </c>
    </row>
    <row r="17" spans="1:11" ht="16.5" customHeight="1">
      <c r="A17" s="300"/>
      <c r="B17" s="31">
        <v>53760</v>
      </c>
      <c r="C17" s="31" t="s">
        <v>95</v>
      </c>
      <c r="D17" s="213"/>
      <c r="E17" s="213">
        <v>10000</v>
      </c>
      <c r="F17" s="213">
        <v>10000</v>
      </c>
      <c r="G17" s="213">
        <v>10000</v>
      </c>
      <c r="H17" s="213"/>
      <c r="I17" s="213"/>
      <c r="J17" s="213"/>
      <c r="K17" s="149">
        <f t="shared" si="0"/>
        <v>30000</v>
      </c>
    </row>
    <row r="18" spans="1:11" ht="16.5" customHeight="1" thickBot="1">
      <c r="A18" s="301"/>
      <c r="B18" s="32" t="s">
        <v>16</v>
      </c>
      <c r="C18" s="32"/>
      <c r="D18" s="33">
        <f>SUM(D12:D17)</f>
        <v>4463500</v>
      </c>
      <c r="E18" s="33">
        <f t="shared" ref="E18:J18" si="2">SUM(E12:E17)</f>
        <v>1610000</v>
      </c>
      <c r="F18" s="33">
        <f t="shared" si="2"/>
        <v>4120000</v>
      </c>
      <c r="G18" s="33">
        <f t="shared" si="2"/>
        <v>3170000</v>
      </c>
      <c r="H18" s="33">
        <f t="shared" si="2"/>
        <v>130000</v>
      </c>
      <c r="I18" s="33">
        <f t="shared" si="2"/>
        <v>130000</v>
      </c>
      <c r="J18" s="33">
        <f t="shared" si="2"/>
        <v>0</v>
      </c>
      <c r="K18" s="34">
        <f>SUM(D18:J18)</f>
        <v>13623500</v>
      </c>
    </row>
    <row r="19" spans="1:11" ht="16.5" customHeight="1" thickTop="1">
      <c r="A19" s="302" t="s">
        <v>96</v>
      </c>
      <c r="B19" s="31">
        <v>55700</v>
      </c>
      <c r="C19" s="31" t="s">
        <v>97</v>
      </c>
      <c r="D19" s="213"/>
      <c r="E19" s="213"/>
      <c r="F19" s="213"/>
      <c r="G19" s="213"/>
      <c r="H19" s="213"/>
      <c r="I19" s="213"/>
      <c r="J19" s="213"/>
      <c r="K19" s="148">
        <f t="shared" si="0"/>
        <v>0</v>
      </c>
    </row>
    <row r="20" spans="1:11" ht="16.5" customHeight="1">
      <c r="A20" s="299"/>
      <c r="B20" s="31">
        <v>55710</v>
      </c>
      <c r="C20" s="31" t="s">
        <v>98</v>
      </c>
      <c r="D20" s="213"/>
      <c r="E20" s="213"/>
      <c r="F20" s="213"/>
      <c r="G20" s="213"/>
      <c r="H20" s="213"/>
      <c r="I20" s="213"/>
      <c r="J20" s="213"/>
      <c r="K20" s="159"/>
    </row>
    <row r="21" spans="1:11" ht="48" customHeight="1">
      <c r="A21" s="299"/>
      <c r="B21" s="31">
        <v>55730</v>
      </c>
      <c r="C21" s="31" t="s">
        <v>99</v>
      </c>
      <c r="D21" s="213"/>
      <c r="E21" s="213"/>
      <c r="F21" s="213"/>
      <c r="G21" s="213"/>
      <c r="H21" s="213"/>
      <c r="I21" s="213"/>
      <c r="J21" s="213"/>
      <c r="K21" s="159"/>
    </row>
    <row r="22" spans="1:11" ht="16.5" customHeight="1" thickBot="1">
      <c r="A22" s="301"/>
      <c r="B22" s="32" t="s">
        <v>16</v>
      </c>
      <c r="C22" s="32"/>
      <c r="D22" s="33">
        <f t="shared" ref="D22:J22" si="3">SUM(D19:D21)</f>
        <v>0</v>
      </c>
      <c r="E22" s="33">
        <f t="shared" si="3"/>
        <v>0</v>
      </c>
      <c r="F22" s="33">
        <f t="shared" si="3"/>
        <v>0</v>
      </c>
      <c r="G22" s="33">
        <f t="shared" si="3"/>
        <v>0</v>
      </c>
      <c r="H22" s="33">
        <f t="shared" si="3"/>
        <v>0</v>
      </c>
      <c r="I22" s="33">
        <f t="shared" si="3"/>
        <v>0</v>
      </c>
      <c r="J22" s="33">
        <f t="shared" si="3"/>
        <v>0</v>
      </c>
      <c r="K22" s="34">
        <f>SUM(D22:J22)</f>
        <v>0</v>
      </c>
    </row>
    <row r="23" spans="1:11" ht="16.5" customHeight="1" thickTop="1" thickBot="1">
      <c r="A23" s="293" t="s">
        <v>17</v>
      </c>
      <c r="B23" s="294"/>
      <c r="C23" s="295"/>
      <c r="D23" s="15">
        <f t="shared" ref="D23:J23" si="4">D11+D18+D22</f>
        <v>4513500</v>
      </c>
      <c r="E23" s="15">
        <f t="shared" si="4"/>
        <v>1660000</v>
      </c>
      <c r="F23" s="15">
        <f t="shared" si="4"/>
        <v>4170000</v>
      </c>
      <c r="G23" s="15">
        <f t="shared" si="4"/>
        <v>3220000</v>
      </c>
      <c r="H23" s="15">
        <f t="shared" si="4"/>
        <v>130000</v>
      </c>
      <c r="I23" s="15">
        <f t="shared" si="4"/>
        <v>130000</v>
      </c>
      <c r="J23" s="15">
        <f t="shared" si="4"/>
        <v>0</v>
      </c>
      <c r="K23" s="15">
        <f>SUM(D23:J23)</f>
        <v>13823500</v>
      </c>
    </row>
    <row r="24" spans="1:11" ht="13.5" thickTop="1"/>
  </sheetData>
  <sheetProtection password="CAD5" sheet="1" objects="1" scenario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7"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90" zoomScaleNormal="90" workbookViewId="0">
      <pane ySplit="7" topLeftCell="A8" activePane="bottomLeft" state="frozen"/>
      <selection pane="bottomLeft" activeCell="G15" sqref="G15"/>
    </sheetView>
  </sheetViews>
  <sheetFormatPr defaultRowHeight="10.5"/>
  <cols>
    <col min="1" max="1" width="7.7109375" style="2" customWidth="1"/>
    <col min="2" max="2" width="5.7109375" style="2" customWidth="1"/>
    <col min="3" max="3" width="29.85546875" style="2" bestFit="1" customWidth="1"/>
    <col min="4" max="5" width="12.7109375" style="2" customWidth="1"/>
    <col min="6" max="7" width="14.28515625" style="2" customWidth="1"/>
    <col min="8" max="10" width="12.7109375" style="2" customWidth="1"/>
    <col min="11" max="11" width="13" style="2" customWidth="1"/>
    <col min="12" max="16384" width="9.140625" style="2"/>
  </cols>
  <sheetData>
    <row r="1" spans="1:11" ht="12" customHeight="1"/>
    <row r="2" spans="1:11" s="36" customFormat="1" ht="16.5" customHeight="1">
      <c r="A2" s="303" t="s">
        <v>25</v>
      </c>
      <c r="B2" s="304"/>
      <c r="C2" s="304"/>
      <c r="D2" s="285" t="str">
        <f>IF(ISBLANK('PROJECT ID|INSTRUCTIONS'!C3)," ",'PROJECT ID|INSTRUCTIONS'!C3)</f>
        <v xml:space="preserve"> </v>
      </c>
      <c r="E2" s="311"/>
      <c r="F2" s="311"/>
      <c r="G2" s="311"/>
      <c r="H2" s="311"/>
      <c r="I2" s="312"/>
    </row>
    <row r="3" spans="1:11" s="36" customFormat="1" ht="16.5" customHeight="1">
      <c r="A3" s="306" t="s">
        <v>22</v>
      </c>
      <c r="B3" s="307"/>
      <c r="C3" s="307"/>
      <c r="D3" s="288" t="str">
        <f>IF(ISBLANK('PROJECT ID|INSTRUCTIONS'!C4)," ",'PROJECT ID|INSTRUCTIONS'!C4)</f>
        <v xml:space="preserve">DEEP Enterprise Online Case Management System </v>
      </c>
      <c r="E3" s="313"/>
      <c r="F3" s="313"/>
      <c r="G3" s="313"/>
      <c r="H3" s="313"/>
      <c r="I3" s="314"/>
    </row>
    <row r="4" spans="1:11" s="36" customFormat="1" ht="16.5" customHeight="1">
      <c r="A4" s="308" t="s">
        <v>26</v>
      </c>
      <c r="B4" s="309"/>
      <c r="C4" s="309"/>
      <c r="D4" s="291">
        <f>IF(ISBLANK('PROJECT ID|INSTRUCTIONS'!C5)," ",'PROJECT ID|INSTRUCTIONS'!C5)</f>
        <v>41220</v>
      </c>
      <c r="E4" s="315"/>
      <c r="F4" s="315"/>
      <c r="G4" s="315"/>
      <c r="H4" s="315"/>
      <c r="I4" s="316"/>
    </row>
    <row r="5" spans="1:11" s="36" customFormat="1" ht="12" customHeight="1">
      <c r="A5" s="37"/>
      <c r="B5" s="37"/>
      <c r="C5" s="37"/>
      <c r="D5" s="37"/>
      <c r="E5" s="38"/>
      <c r="F5" s="38"/>
      <c r="G5" s="38"/>
      <c r="H5" s="38"/>
      <c r="I5" s="38"/>
    </row>
    <row r="6" spans="1:11" ht="18" customHeight="1">
      <c r="A6" s="317" t="s">
        <v>56</v>
      </c>
      <c r="B6" s="318"/>
      <c r="C6" s="318"/>
      <c r="D6" s="318"/>
      <c r="E6" s="318"/>
      <c r="F6" s="318"/>
      <c r="G6" s="318"/>
      <c r="H6" s="318"/>
      <c r="I6" s="318"/>
      <c r="J6" s="318"/>
      <c r="K6" s="319"/>
    </row>
    <row r="7" spans="1:11" ht="26.25" thickBot="1">
      <c r="A7" s="39"/>
      <c r="B7" s="40" t="s">
        <v>14</v>
      </c>
      <c r="C7" s="40" t="s">
        <v>15</v>
      </c>
      <c r="D7" s="41" t="s">
        <v>13</v>
      </c>
      <c r="E7" s="41" t="str">
        <f>CONCATENATE("FY ",Settings!$C$1)</f>
        <v>FY 2013</v>
      </c>
      <c r="F7" s="41" t="str">
        <f>CONCATENATE("FY ",Settings!$C$1+1)</f>
        <v>FY 2014</v>
      </c>
      <c r="G7" s="41" t="str">
        <f>CONCATENATE("FY ",Settings!$C$1+2)</f>
        <v>FY 2015</v>
      </c>
      <c r="H7" s="41" t="str">
        <f>CONCATENATE("FY ",Settings!$C$1+3)</f>
        <v>FY 2016</v>
      </c>
      <c r="I7" s="41" t="str">
        <f>CONCATENATE("FY ",Settings!$C$1+4)</f>
        <v>FY 2017</v>
      </c>
      <c r="J7" s="41" t="str">
        <f>CONCATENATE("Out Years after FY",Settings!$C$1+4)</f>
        <v>Out Years after FY2017</v>
      </c>
      <c r="K7" s="42" t="s">
        <v>0</v>
      </c>
    </row>
    <row r="8" spans="1:11" ht="16.5" customHeight="1">
      <c r="A8" s="299" t="s">
        <v>86</v>
      </c>
      <c r="B8" s="31">
        <v>50110</v>
      </c>
      <c r="C8" s="31" t="s">
        <v>87</v>
      </c>
      <c r="D8" s="215"/>
      <c r="E8" s="212"/>
      <c r="F8" s="212"/>
      <c r="G8" s="212"/>
      <c r="H8" s="212"/>
      <c r="I8" s="212"/>
      <c r="J8" s="216"/>
      <c r="K8" s="144">
        <f>SUM(D8:J8)</f>
        <v>0</v>
      </c>
    </row>
    <row r="9" spans="1:11" ht="16.5" customHeight="1">
      <c r="A9" s="300"/>
      <c r="B9" s="31">
        <v>50130</v>
      </c>
      <c r="C9" s="31" t="s">
        <v>88</v>
      </c>
      <c r="D9" s="217"/>
      <c r="E9" s="213"/>
      <c r="F9" s="213"/>
      <c r="G9" s="213"/>
      <c r="H9" s="213"/>
      <c r="I9" s="213"/>
      <c r="J9" s="218"/>
      <c r="K9" s="145">
        <f t="shared" ref="K9:K23" si="0">SUM(D9:J9)</f>
        <v>0</v>
      </c>
    </row>
    <row r="10" spans="1:11" ht="16.5" customHeight="1">
      <c r="A10" s="300"/>
      <c r="B10" s="31">
        <v>50170</v>
      </c>
      <c r="C10" s="31" t="s">
        <v>89</v>
      </c>
      <c r="D10" s="219"/>
      <c r="E10" s="214"/>
      <c r="F10" s="214"/>
      <c r="G10" s="214"/>
      <c r="H10" s="214"/>
      <c r="I10" s="214"/>
      <c r="J10" s="220"/>
      <c r="K10" s="146">
        <f t="shared" si="0"/>
        <v>0</v>
      </c>
    </row>
    <row r="11" spans="1:11" ht="16.5" customHeight="1" thickBot="1">
      <c r="A11" s="301"/>
      <c r="B11" s="32" t="s">
        <v>16</v>
      </c>
      <c r="C11" s="32"/>
      <c r="D11" s="161">
        <f>SUM(D8:D10)</f>
        <v>0</v>
      </c>
      <c r="E11" s="33">
        <f t="shared" ref="E11:J11" si="1">SUM(E8:E10)</f>
        <v>0</v>
      </c>
      <c r="F11" s="33">
        <f t="shared" si="1"/>
        <v>0</v>
      </c>
      <c r="G11" s="33">
        <f t="shared" si="1"/>
        <v>0</v>
      </c>
      <c r="H11" s="33">
        <f t="shared" si="1"/>
        <v>0</v>
      </c>
      <c r="I11" s="33">
        <f t="shared" si="1"/>
        <v>0</v>
      </c>
      <c r="J11" s="43">
        <f t="shared" si="1"/>
        <v>0</v>
      </c>
      <c r="K11" s="35">
        <f t="shared" si="0"/>
        <v>0</v>
      </c>
    </row>
    <row r="12" spans="1:11" ht="16.5" customHeight="1" thickTop="1">
      <c r="A12" s="302" t="s">
        <v>85</v>
      </c>
      <c r="B12" s="31">
        <v>53715</v>
      </c>
      <c r="C12" s="31" t="s">
        <v>90</v>
      </c>
      <c r="D12" s="221"/>
      <c r="E12" s="213">
        <v>1150000</v>
      </c>
      <c r="F12" s="213">
        <v>3750000</v>
      </c>
      <c r="G12" s="213">
        <v>3050000</v>
      </c>
      <c r="H12" s="212"/>
      <c r="I12" s="212"/>
      <c r="J12" s="216"/>
      <c r="K12" s="147">
        <f t="shared" si="0"/>
        <v>7950000</v>
      </c>
    </row>
    <row r="13" spans="1:11" ht="16.5" customHeight="1">
      <c r="A13" s="300"/>
      <c r="B13" s="31">
        <v>53720</v>
      </c>
      <c r="C13" s="31" t="s">
        <v>91</v>
      </c>
      <c r="D13" s="217"/>
      <c r="E13" s="213"/>
      <c r="F13" s="213"/>
      <c r="G13" s="213"/>
      <c r="H13" s="213"/>
      <c r="I13" s="213"/>
      <c r="J13" s="218"/>
      <c r="K13" s="145">
        <f t="shared" si="0"/>
        <v>0</v>
      </c>
    </row>
    <row r="14" spans="1:11" ht="16.5" customHeight="1">
      <c r="A14" s="300"/>
      <c r="B14" s="31">
        <v>53735</v>
      </c>
      <c r="C14" s="31" t="s">
        <v>92</v>
      </c>
      <c r="D14" s="217"/>
      <c r="E14" s="213"/>
      <c r="F14" s="213"/>
      <c r="G14" s="213"/>
      <c r="H14" s="213"/>
      <c r="I14" s="213"/>
      <c r="J14" s="218"/>
      <c r="K14" s="145">
        <f t="shared" si="0"/>
        <v>0</v>
      </c>
    </row>
    <row r="15" spans="1:11" ht="16.5" customHeight="1">
      <c r="A15" s="300"/>
      <c r="B15" s="31">
        <v>53740</v>
      </c>
      <c r="C15" s="31" t="s">
        <v>93</v>
      </c>
      <c r="D15" s="217"/>
      <c r="E15" s="213"/>
      <c r="F15" s="213"/>
      <c r="G15" s="213"/>
      <c r="H15" s="213"/>
      <c r="I15" s="213"/>
      <c r="J15" s="218"/>
      <c r="K15" s="145">
        <f t="shared" si="0"/>
        <v>0</v>
      </c>
    </row>
    <row r="16" spans="1:11" ht="16.5" customHeight="1">
      <c r="A16" s="300"/>
      <c r="B16" s="31">
        <v>53755</v>
      </c>
      <c r="C16" s="31" t="s">
        <v>94</v>
      </c>
      <c r="D16" s="217"/>
      <c r="E16" s="213"/>
      <c r="F16" s="213"/>
      <c r="G16" s="213"/>
      <c r="H16" s="213"/>
      <c r="I16" s="213"/>
      <c r="J16" s="218"/>
      <c r="K16" s="145">
        <f t="shared" si="0"/>
        <v>0</v>
      </c>
    </row>
    <row r="17" spans="1:11" ht="16.5" customHeight="1">
      <c r="A17" s="300"/>
      <c r="B17" s="31">
        <v>53760</v>
      </c>
      <c r="C17" s="31" t="s">
        <v>95</v>
      </c>
      <c r="D17" s="217"/>
      <c r="E17" s="213"/>
      <c r="F17" s="213"/>
      <c r="G17" s="213"/>
      <c r="H17" s="213"/>
      <c r="I17" s="213"/>
      <c r="J17" s="218"/>
      <c r="K17" s="146">
        <f t="shared" si="0"/>
        <v>0</v>
      </c>
    </row>
    <row r="18" spans="1:11" ht="16.5" customHeight="1" thickBot="1">
      <c r="A18" s="301"/>
      <c r="B18" s="32" t="s">
        <v>16</v>
      </c>
      <c r="C18" s="32"/>
      <c r="D18" s="161">
        <f>SUM(D12:D17)</f>
        <v>0</v>
      </c>
      <c r="E18" s="33">
        <f t="shared" ref="E18:J18" si="2">SUM(E12:E17)</f>
        <v>1150000</v>
      </c>
      <c r="F18" s="33">
        <f t="shared" si="2"/>
        <v>3750000</v>
      </c>
      <c r="G18" s="33">
        <f t="shared" si="2"/>
        <v>3050000</v>
      </c>
      <c r="H18" s="33">
        <f t="shared" si="2"/>
        <v>0</v>
      </c>
      <c r="I18" s="33">
        <f t="shared" si="2"/>
        <v>0</v>
      </c>
      <c r="J18" s="43">
        <f t="shared" si="2"/>
        <v>0</v>
      </c>
      <c r="K18" s="35">
        <f t="shared" si="0"/>
        <v>7950000</v>
      </c>
    </row>
    <row r="19" spans="1:11" ht="16.5" customHeight="1" thickTop="1">
      <c r="A19" s="302" t="s">
        <v>96</v>
      </c>
      <c r="B19" s="31">
        <v>55700</v>
      </c>
      <c r="C19" s="31" t="s">
        <v>97</v>
      </c>
      <c r="D19" s="217"/>
      <c r="E19" s="213"/>
      <c r="F19" s="213"/>
      <c r="G19" s="213"/>
      <c r="H19" s="213"/>
      <c r="I19" s="213"/>
      <c r="J19" s="218"/>
      <c r="K19" s="147">
        <f t="shared" si="0"/>
        <v>0</v>
      </c>
    </row>
    <row r="20" spans="1:11" ht="16.5" customHeight="1">
      <c r="A20" s="299"/>
      <c r="B20" s="31">
        <v>55710</v>
      </c>
      <c r="C20" s="31" t="s">
        <v>98</v>
      </c>
      <c r="D20" s="217"/>
      <c r="E20" s="213"/>
      <c r="F20" s="213"/>
      <c r="G20" s="213"/>
      <c r="H20" s="213"/>
      <c r="I20" s="213"/>
      <c r="J20" s="218"/>
      <c r="K20" s="160"/>
    </row>
    <row r="21" spans="1:11" ht="30" customHeight="1">
      <c r="A21" s="299"/>
      <c r="B21" s="31">
        <v>55730</v>
      </c>
      <c r="C21" s="31" t="s">
        <v>99</v>
      </c>
      <c r="D21" s="217"/>
      <c r="E21" s="213"/>
      <c r="F21" s="213"/>
      <c r="G21" s="213"/>
      <c r="H21" s="213"/>
      <c r="I21" s="213"/>
      <c r="J21" s="218"/>
      <c r="K21" s="146">
        <f t="shared" si="0"/>
        <v>0</v>
      </c>
    </row>
    <row r="22" spans="1:11" ht="16.5" customHeight="1" thickBot="1">
      <c r="A22" s="301"/>
      <c r="B22" s="32" t="s">
        <v>16</v>
      </c>
      <c r="C22" s="32"/>
      <c r="D22" s="33">
        <f>SUM(D19:D21)</f>
        <v>0</v>
      </c>
      <c r="E22" s="33">
        <f t="shared" ref="E22:J22" si="3">SUM(E19:E21)</f>
        <v>0</v>
      </c>
      <c r="F22" s="33">
        <f t="shared" si="3"/>
        <v>0</v>
      </c>
      <c r="G22" s="33">
        <f t="shared" si="3"/>
        <v>0</v>
      </c>
      <c r="H22" s="33">
        <f t="shared" si="3"/>
        <v>0</v>
      </c>
      <c r="I22" s="33">
        <f t="shared" si="3"/>
        <v>0</v>
      </c>
      <c r="J22" s="43">
        <f t="shared" si="3"/>
        <v>0</v>
      </c>
      <c r="K22" s="35">
        <f t="shared" si="0"/>
        <v>0</v>
      </c>
    </row>
    <row r="23" spans="1:11" ht="16.5" customHeight="1" thickTop="1" thickBot="1">
      <c r="A23" s="188" t="s">
        <v>17</v>
      </c>
      <c r="B23" s="189"/>
      <c r="C23" s="44"/>
      <c r="D23" s="15">
        <f t="shared" ref="D23:J23" si="4">D11+D18+D22</f>
        <v>0</v>
      </c>
      <c r="E23" s="15">
        <f t="shared" si="4"/>
        <v>1150000</v>
      </c>
      <c r="F23" s="15">
        <f t="shared" si="4"/>
        <v>3750000</v>
      </c>
      <c r="G23" s="15">
        <f t="shared" si="4"/>
        <v>3050000</v>
      </c>
      <c r="H23" s="15">
        <f t="shared" si="4"/>
        <v>0</v>
      </c>
      <c r="I23" s="15">
        <f t="shared" si="4"/>
        <v>0</v>
      </c>
      <c r="J23" s="15">
        <f t="shared" si="4"/>
        <v>0</v>
      </c>
      <c r="K23" s="15">
        <f t="shared" si="0"/>
        <v>7950000</v>
      </c>
    </row>
    <row r="24" spans="1:11" ht="3.95" customHeight="1" thickTop="1">
      <c r="A24" s="6"/>
      <c r="B24" s="6"/>
      <c r="C24" s="6"/>
      <c r="D24" s="45"/>
      <c r="E24" s="45"/>
      <c r="F24" s="45"/>
      <c r="G24" s="45"/>
      <c r="H24" s="45"/>
      <c r="I24" s="45"/>
      <c r="J24" s="45"/>
      <c r="K24" s="45"/>
    </row>
  </sheetData>
  <sheetProtection password="CAD5" sheet="1" objects="1" scenario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9"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46" customWidth="1"/>
    <col min="2" max="2" width="9.28515625" style="46" customWidth="1"/>
    <col min="3" max="3" width="74.42578125" style="47" customWidth="1"/>
    <col min="4" max="4" width="17.5703125" style="47" customWidth="1"/>
    <col min="5" max="5" width="15.140625" style="47" customWidth="1"/>
    <col min="6" max="16384" width="9.140625" style="47"/>
  </cols>
  <sheetData>
    <row r="1" spans="1:5" ht="12" customHeight="1"/>
    <row r="2" spans="1:5" ht="16.5" customHeight="1">
      <c r="A2" s="340" t="s">
        <v>25</v>
      </c>
      <c r="B2" s="341"/>
      <c r="C2" s="333" t="str">
        <f>IF(ISBLANK('PROJECT ID|INSTRUCTIONS'!C3)," ",'PROJECT ID|INSTRUCTIONS'!C3)</f>
        <v xml:space="preserve"> </v>
      </c>
      <c r="D2" s="333"/>
      <c r="E2" s="334"/>
    </row>
    <row r="3" spans="1:5" ht="16.5" customHeight="1">
      <c r="A3" s="342" t="s">
        <v>22</v>
      </c>
      <c r="B3" s="343"/>
      <c r="C3" s="335" t="str">
        <f>IF(ISBLANK('PROJECT ID|INSTRUCTIONS'!C4)," ",'PROJECT ID|INSTRUCTIONS'!C4)</f>
        <v xml:space="preserve">DEEP Enterprise Online Case Management System </v>
      </c>
      <c r="D3" s="335"/>
      <c r="E3" s="336"/>
    </row>
    <row r="4" spans="1:5" ht="16.5" customHeight="1">
      <c r="A4" s="344" t="s">
        <v>26</v>
      </c>
      <c r="B4" s="345"/>
      <c r="C4" s="337">
        <f>IF(ISBLANK('PROJECT ID|INSTRUCTIONS'!C5)," ",'PROJECT ID|INSTRUCTIONS'!C5)</f>
        <v>41220</v>
      </c>
      <c r="D4" s="337"/>
      <c r="E4" s="338"/>
    </row>
    <row r="5" spans="1:5" ht="12" customHeight="1"/>
    <row r="6" spans="1:5" ht="15.75">
      <c r="A6" s="321" t="s">
        <v>71</v>
      </c>
      <c r="B6" s="322"/>
      <c r="C6" s="322"/>
      <c r="D6" s="322"/>
      <c r="E6" s="323"/>
    </row>
    <row r="7" spans="1:5" ht="15.75" customHeight="1">
      <c r="A7" s="157" t="s">
        <v>44</v>
      </c>
      <c r="B7" s="151" t="s">
        <v>49</v>
      </c>
      <c r="C7" s="152" t="s">
        <v>83</v>
      </c>
      <c r="D7" s="152" t="s">
        <v>51</v>
      </c>
      <c r="E7" s="153" t="s">
        <v>43</v>
      </c>
    </row>
    <row r="8" spans="1:5" ht="3.75" customHeight="1">
      <c r="A8" s="155"/>
      <c r="B8" s="155"/>
      <c r="C8" s="156"/>
      <c r="D8" s="156"/>
      <c r="E8" s="156"/>
    </row>
    <row r="9" spans="1:5" ht="15">
      <c r="A9" s="324" t="str">
        <f>CONCATENATE("FY ",Settings!$C$1-1)</f>
        <v>FY 2012</v>
      </c>
      <c r="B9" s="325"/>
      <c r="C9" s="325"/>
      <c r="D9" s="325"/>
      <c r="E9" s="326"/>
    </row>
    <row r="10" spans="1:5">
      <c r="A10" s="93">
        <v>2011</v>
      </c>
      <c r="B10" s="94">
        <v>1</v>
      </c>
      <c r="C10" s="137"/>
      <c r="D10" s="95"/>
      <c r="E10" s="96" t="s">
        <v>57</v>
      </c>
    </row>
    <row r="11" spans="1:5">
      <c r="A11" s="97">
        <v>2011</v>
      </c>
      <c r="B11" s="98">
        <v>2</v>
      </c>
      <c r="C11" s="138"/>
      <c r="D11" s="100"/>
      <c r="E11" s="101" t="s">
        <v>57</v>
      </c>
    </row>
    <row r="12" spans="1:5">
      <c r="A12" s="97">
        <v>2011</v>
      </c>
      <c r="B12" s="98">
        <v>3</v>
      </c>
      <c r="C12" s="139"/>
      <c r="D12" s="100"/>
      <c r="E12" s="101" t="s">
        <v>57</v>
      </c>
    </row>
    <row r="13" spans="1:5">
      <c r="A13" s="97">
        <v>2011</v>
      </c>
      <c r="B13" s="98">
        <v>4</v>
      </c>
      <c r="C13" s="139"/>
      <c r="D13" s="100"/>
      <c r="E13" s="101" t="s">
        <v>57</v>
      </c>
    </row>
    <row r="14" spans="1:5">
      <c r="A14" s="97">
        <v>2011</v>
      </c>
      <c r="B14" s="98">
        <v>5</v>
      </c>
      <c r="C14" s="139"/>
      <c r="D14" s="100"/>
      <c r="E14" s="101" t="s">
        <v>57</v>
      </c>
    </row>
    <row r="15" spans="1:5">
      <c r="A15" s="97">
        <v>2011</v>
      </c>
      <c r="B15" s="98">
        <v>6</v>
      </c>
      <c r="C15" s="139"/>
      <c r="D15" s="100"/>
      <c r="E15" s="101" t="s">
        <v>57</v>
      </c>
    </row>
    <row r="16" spans="1:5">
      <c r="A16" s="97">
        <v>2011</v>
      </c>
      <c r="B16" s="98">
        <v>7</v>
      </c>
      <c r="C16" s="139"/>
      <c r="D16" s="100"/>
      <c r="E16" s="101" t="s">
        <v>57</v>
      </c>
    </row>
    <row r="17" spans="1:5">
      <c r="A17" s="97">
        <v>2011</v>
      </c>
      <c r="B17" s="98">
        <v>8</v>
      </c>
      <c r="C17" s="139"/>
      <c r="D17" s="100"/>
      <c r="E17" s="101" t="s">
        <v>57</v>
      </c>
    </row>
    <row r="18" spans="1:5">
      <c r="A18" s="97">
        <v>2011</v>
      </c>
      <c r="B18" s="98">
        <v>9</v>
      </c>
      <c r="C18" s="139"/>
      <c r="D18" s="100"/>
      <c r="E18" s="101" t="s">
        <v>57</v>
      </c>
    </row>
    <row r="19" spans="1:5">
      <c r="A19" s="103">
        <v>2011</v>
      </c>
      <c r="B19" s="104">
        <v>10</v>
      </c>
      <c r="C19" s="140"/>
      <c r="D19" s="105"/>
      <c r="E19" s="106" t="s">
        <v>57</v>
      </c>
    </row>
    <row r="20" spans="1:5" ht="15">
      <c r="A20" s="327" t="str">
        <f>CONCATENATE("FY ",Settings!$C$1)</f>
        <v>FY 2013</v>
      </c>
      <c r="B20" s="328"/>
      <c r="C20" s="328"/>
      <c r="D20" s="328"/>
      <c r="E20" s="329"/>
    </row>
    <row r="21" spans="1:5">
      <c r="A21" s="93">
        <v>2012</v>
      </c>
      <c r="B21" s="94">
        <v>1</v>
      </c>
      <c r="C21" s="107"/>
      <c r="D21" s="131"/>
      <c r="E21" s="108" t="s">
        <v>76</v>
      </c>
    </row>
    <row r="22" spans="1:5">
      <c r="A22" s="97">
        <v>2012</v>
      </c>
      <c r="B22" s="98">
        <v>2</v>
      </c>
      <c r="C22" s="99"/>
      <c r="D22" s="132"/>
      <c r="E22" s="109" t="s">
        <v>76</v>
      </c>
    </row>
    <row r="23" spans="1:5">
      <c r="A23" s="97">
        <v>2012</v>
      </c>
      <c r="B23" s="98">
        <v>3</v>
      </c>
      <c r="C23" s="102"/>
      <c r="D23" s="132"/>
      <c r="E23" s="109" t="s">
        <v>76</v>
      </c>
    </row>
    <row r="24" spans="1:5">
      <c r="A24" s="97">
        <v>2012</v>
      </c>
      <c r="B24" s="98">
        <v>4</v>
      </c>
      <c r="C24" s="110"/>
      <c r="D24" s="132"/>
      <c r="E24" s="109" t="s">
        <v>76</v>
      </c>
    </row>
    <row r="25" spans="1:5">
      <c r="A25" s="97">
        <v>2012</v>
      </c>
      <c r="B25" s="98">
        <v>5</v>
      </c>
      <c r="C25" s="102"/>
      <c r="D25" s="132"/>
      <c r="E25" s="109" t="s">
        <v>76</v>
      </c>
    </row>
    <row r="26" spans="1:5">
      <c r="A26" s="97">
        <v>2012</v>
      </c>
      <c r="B26" s="98">
        <v>6</v>
      </c>
      <c r="C26" s="102"/>
      <c r="D26" s="132"/>
      <c r="E26" s="109" t="s">
        <v>76</v>
      </c>
    </row>
    <row r="27" spans="1:5">
      <c r="A27" s="97">
        <v>2012</v>
      </c>
      <c r="B27" s="98">
        <v>7</v>
      </c>
      <c r="C27" s="102"/>
      <c r="D27" s="132"/>
      <c r="E27" s="109" t="s">
        <v>76</v>
      </c>
    </row>
    <row r="28" spans="1:5">
      <c r="A28" s="97">
        <v>2012</v>
      </c>
      <c r="B28" s="98">
        <v>8</v>
      </c>
      <c r="C28" s="102"/>
      <c r="D28" s="132"/>
      <c r="E28" s="109" t="s">
        <v>76</v>
      </c>
    </row>
    <row r="29" spans="1:5">
      <c r="A29" s="97">
        <v>2012</v>
      </c>
      <c r="B29" s="98">
        <v>9</v>
      </c>
      <c r="C29" s="102"/>
      <c r="D29" s="132"/>
      <c r="E29" s="109" t="s">
        <v>76</v>
      </c>
    </row>
    <row r="30" spans="1:5">
      <c r="A30" s="97">
        <v>2012</v>
      </c>
      <c r="B30" s="98">
        <v>10</v>
      </c>
      <c r="C30" s="102"/>
      <c r="D30" s="132"/>
      <c r="E30" s="109" t="s">
        <v>76</v>
      </c>
    </row>
    <row r="31" spans="1:5">
      <c r="A31" s="97">
        <v>2012</v>
      </c>
      <c r="B31" s="98">
        <v>11</v>
      </c>
      <c r="C31" s="110"/>
      <c r="D31" s="132"/>
      <c r="E31" s="109" t="s">
        <v>76</v>
      </c>
    </row>
    <row r="32" spans="1:5">
      <c r="A32" s="97">
        <v>2012</v>
      </c>
      <c r="B32" s="98">
        <v>12</v>
      </c>
      <c r="C32" s="110"/>
      <c r="D32" s="132"/>
      <c r="E32" s="109" t="s">
        <v>76</v>
      </c>
    </row>
    <row r="33" spans="1:5">
      <c r="A33" s="97">
        <v>2012</v>
      </c>
      <c r="B33" s="98">
        <v>13</v>
      </c>
      <c r="C33" s="110"/>
      <c r="D33" s="132"/>
      <c r="E33" s="109" t="s">
        <v>76</v>
      </c>
    </row>
    <row r="34" spans="1:5">
      <c r="A34" s="97">
        <v>2012</v>
      </c>
      <c r="B34" s="98">
        <v>14</v>
      </c>
      <c r="C34" s="110"/>
      <c r="D34" s="132"/>
      <c r="E34" s="109" t="s">
        <v>76</v>
      </c>
    </row>
    <row r="35" spans="1:5" ht="13.5" thickBot="1">
      <c r="A35" s="111">
        <v>2012</v>
      </c>
      <c r="B35" s="112">
        <v>15</v>
      </c>
      <c r="C35" s="113"/>
      <c r="D35" s="133"/>
      <c r="E35" s="114" t="s">
        <v>76</v>
      </c>
    </row>
    <row r="36" spans="1:5" ht="14.25" thickTop="1" thickBot="1">
      <c r="A36" s="339" t="s">
        <v>39</v>
      </c>
      <c r="B36" s="339"/>
      <c r="C36" s="339"/>
      <c r="D36" s="154">
        <f>SUM(D21:D35)</f>
        <v>0</v>
      </c>
      <c r="E36" s="48"/>
    </row>
    <row r="37" spans="1:5" ht="15.75" customHeight="1" thickTop="1">
      <c r="A37" s="320" t="str">
        <f>CONCATENATE("FY ",Settings!$C$1+1, "+")</f>
        <v>FY 2014+</v>
      </c>
      <c r="B37" s="320"/>
      <c r="C37" s="320"/>
      <c r="D37" s="320"/>
      <c r="E37" s="320"/>
    </row>
    <row r="38" spans="1:5">
      <c r="A38" s="115">
        <v>2013</v>
      </c>
      <c r="B38" s="116">
        <v>1</v>
      </c>
      <c r="C38" s="117"/>
      <c r="D38" s="134"/>
      <c r="E38" s="108" t="s">
        <v>76</v>
      </c>
    </row>
    <row r="39" spans="1:5">
      <c r="A39" s="118">
        <v>2013</v>
      </c>
      <c r="B39" s="119">
        <v>2</v>
      </c>
      <c r="C39" s="110"/>
      <c r="D39" s="135"/>
      <c r="E39" s="109" t="s">
        <v>76</v>
      </c>
    </row>
    <row r="40" spans="1:5">
      <c r="A40" s="118">
        <v>2013</v>
      </c>
      <c r="B40" s="119">
        <v>3</v>
      </c>
      <c r="C40" s="102"/>
      <c r="D40" s="135"/>
      <c r="E40" s="109" t="s">
        <v>76</v>
      </c>
    </row>
    <row r="41" spans="1:5">
      <c r="A41" s="118">
        <v>2013</v>
      </c>
      <c r="B41" s="119">
        <v>4</v>
      </c>
      <c r="C41" s="110"/>
      <c r="D41" s="135"/>
      <c r="E41" s="109" t="s">
        <v>76</v>
      </c>
    </row>
    <row r="42" spans="1:5">
      <c r="A42" s="118">
        <v>2013</v>
      </c>
      <c r="B42" s="119">
        <v>5</v>
      </c>
      <c r="C42" s="99"/>
      <c r="D42" s="135"/>
      <c r="E42" s="109" t="s">
        <v>76</v>
      </c>
    </row>
    <row r="43" spans="1:5">
      <c r="A43" s="118">
        <v>2013</v>
      </c>
      <c r="B43" s="119">
        <v>6</v>
      </c>
      <c r="C43" s="102"/>
      <c r="D43" s="135"/>
      <c r="E43" s="109" t="s">
        <v>76</v>
      </c>
    </row>
    <row r="44" spans="1:5">
      <c r="A44" s="118">
        <v>2013</v>
      </c>
      <c r="B44" s="119">
        <v>7</v>
      </c>
      <c r="C44" s="120"/>
      <c r="D44" s="135"/>
      <c r="E44" s="109" t="s">
        <v>76</v>
      </c>
    </row>
    <row r="45" spans="1:5">
      <c r="A45" s="118">
        <v>2014</v>
      </c>
      <c r="B45" s="119">
        <v>1</v>
      </c>
      <c r="C45" s="120"/>
      <c r="D45" s="135"/>
      <c r="E45" s="109" t="s">
        <v>76</v>
      </c>
    </row>
    <row r="46" spans="1:5">
      <c r="A46" s="118">
        <v>2014</v>
      </c>
      <c r="B46" s="119">
        <v>2</v>
      </c>
      <c r="C46" s="120"/>
      <c r="D46" s="135"/>
      <c r="E46" s="109" t="s">
        <v>76</v>
      </c>
    </row>
    <row r="47" spans="1:5">
      <c r="A47" s="118">
        <v>2014</v>
      </c>
      <c r="B47" s="119">
        <v>3</v>
      </c>
      <c r="C47" s="120"/>
      <c r="D47" s="135"/>
      <c r="E47" s="109" t="s">
        <v>76</v>
      </c>
    </row>
    <row r="48" spans="1:5">
      <c r="A48" s="118">
        <v>2014</v>
      </c>
      <c r="B48" s="119">
        <v>4</v>
      </c>
      <c r="C48" s="120"/>
      <c r="D48" s="135"/>
      <c r="E48" s="109" t="s">
        <v>76</v>
      </c>
    </row>
    <row r="49" spans="1:5">
      <c r="A49" s="118">
        <v>2014</v>
      </c>
      <c r="B49" s="119">
        <v>5</v>
      </c>
      <c r="C49" s="120"/>
      <c r="D49" s="135"/>
      <c r="E49" s="109" t="s">
        <v>76</v>
      </c>
    </row>
    <row r="50" spans="1:5">
      <c r="A50" s="118">
        <v>2014</v>
      </c>
      <c r="B50" s="119">
        <v>6</v>
      </c>
      <c r="C50" s="120"/>
      <c r="D50" s="135"/>
      <c r="E50" s="109" t="s">
        <v>76</v>
      </c>
    </row>
    <row r="51" spans="1:5">
      <c r="A51" s="118">
        <v>2014</v>
      </c>
      <c r="B51" s="119">
        <v>7</v>
      </c>
      <c r="C51" s="120"/>
      <c r="D51" s="135"/>
      <c r="E51" s="109" t="s">
        <v>76</v>
      </c>
    </row>
    <row r="52" spans="1:5">
      <c r="A52" s="118">
        <v>2015</v>
      </c>
      <c r="B52" s="119">
        <v>1</v>
      </c>
      <c r="C52" s="120"/>
      <c r="D52" s="135"/>
      <c r="E52" s="109" t="s">
        <v>76</v>
      </c>
    </row>
    <row r="53" spans="1:5">
      <c r="A53" s="118">
        <v>2015</v>
      </c>
      <c r="B53" s="119">
        <v>2</v>
      </c>
      <c r="C53" s="120"/>
      <c r="D53" s="135"/>
      <c r="E53" s="109" t="s">
        <v>76</v>
      </c>
    </row>
    <row r="54" spans="1:5">
      <c r="A54" s="118">
        <v>2015</v>
      </c>
      <c r="B54" s="119">
        <v>3</v>
      </c>
      <c r="C54" s="120"/>
      <c r="D54" s="135"/>
      <c r="E54" s="109" t="s">
        <v>76</v>
      </c>
    </row>
    <row r="55" spans="1:5">
      <c r="A55" s="118">
        <v>2015</v>
      </c>
      <c r="B55" s="119">
        <v>4</v>
      </c>
      <c r="C55" s="120"/>
      <c r="D55" s="135"/>
      <c r="E55" s="109" t="s">
        <v>76</v>
      </c>
    </row>
    <row r="56" spans="1:5">
      <c r="A56" s="118">
        <v>2015</v>
      </c>
      <c r="B56" s="119">
        <v>5</v>
      </c>
      <c r="C56" s="120"/>
      <c r="D56" s="135"/>
      <c r="E56" s="109" t="s">
        <v>76</v>
      </c>
    </row>
    <row r="57" spans="1:5">
      <c r="A57" s="118">
        <v>2015</v>
      </c>
      <c r="B57" s="119">
        <v>6</v>
      </c>
      <c r="C57" s="120"/>
      <c r="D57" s="135"/>
      <c r="E57" s="109" t="s">
        <v>76</v>
      </c>
    </row>
    <row r="58" spans="1:5">
      <c r="A58" s="118">
        <v>2015</v>
      </c>
      <c r="B58" s="119">
        <v>7</v>
      </c>
      <c r="C58" s="120"/>
      <c r="D58" s="135"/>
      <c r="E58" s="109" t="s">
        <v>76</v>
      </c>
    </row>
    <row r="59" spans="1:5">
      <c r="A59" s="118">
        <v>2016</v>
      </c>
      <c r="B59" s="119">
        <v>1</v>
      </c>
      <c r="C59" s="120"/>
      <c r="D59" s="135"/>
      <c r="E59" s="109" t="s">
        <v>76</v>
      </c>
    </row>
    <row r="60" spans="1:5">
      <c r="A60" s="118">
        <v>2016</v>
      </c>
      <c r="B60" s="119">
        <v>2</v>
      </c>
      <c r="C60" s="120"/>
      <c r="D60" s="135"/>
      <c r="E60" s="109" t="s">
        <v>76</v>
      </c>
    </row>
    <row r="61" spans="1:5">
      <c r="A61" s="118">
        <v>2016</v>
      </c>
      <c r="B61" s="119">
        <v>3</v>
      </c>
      <c r="C61" s="120"/>
      <c r="D61" s="135"/>
      <c r="E61" s="109" t="s">
        <v>76</v>
      </c>
    </row>
    <row r="62" spans="1:5">
      <c r="A62" s="118">
        <v>2016</v>
      </c>
      <c r="B62" s="119">
        <v>4</v>
      </c>
      <c r="C62" s="120"/>
      <c r="D62" s="135"/>
      <c r="E62" s="109" t="s">
        <v>76</v>
      </c>
    </row>
    <row r="63" spans="1:5">
      <c r="A63" s="118">
        <v>2016</v>
      </c>
      <c r="B63" s="119">
        <v>5</v>
      </c>
      <c r="C63" s="120"/>
      <c r="D63" s="135"/>
      <c r="E63" s="109" t="s">
        <v>76</v>
      </c>
    </row>
    <row r="64" spans="1:5">
      <c r="A64" s="118">
        <v>2016</v>
      </c>
      <c r="B64" s="119">
        <v>6</v>
      </c>
      <c r="C64" s="120"/>
      <c r="D64" s="135"/>
      <c r="E64" s="109" t="s">
        <v>76</v>
      </c>
    </row>
    <row r="65" spans="1:5" ht="13.5" thickBot="1">
      <c r="A65" s="121">
        <v>2016</v>
      </c>
      <c r="B65" s="122">
        <v>7</v>
      </c>
      <c r="C65" s="123"/>
      <c r="D65" s="136"/>
      <c r="E65" s="114" t="s">
        <v>76</v>
      </c>
    </row>
    <row r="66" spans="1:5" ht="16.5" customHeight="1" thickTop="1" thickBot="1">
      <c r="A66" s="330" t="s">
        <v>39</v>
      </c>
      <c r="B66" s="331"/>
      <c r="C66" s="332"/>
      <c r="D66" s="154">
        <f>SUM(D38:D65)</f>
        <v>0</v>
      </c>
      <c r="E66" s="48"/>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31"/>
  <sheetViews>
    <sheetView showGridLines="0" topLeftCell="B3" zoomScale="80" zoomScaleNormal="80" workbookViewId="0">
      <selection activeCell="G18" sqref="G18"/>
    </sheetView>
  </sheetViews>
  <sheetFormatPr defaultRowHeight="12"/>
  <cols>
    <col min="1" max="1" width="10.140625" style="4" customWidth="1"/>
    <col min="2" max="2" width="5.7109375" style="4" customWidth="1"/>
    <col min="3" max="3" width="29.85546875" style="4" bestFit="1" customWidth="1"/>
    <col min="4" max="5" width="12.7109375" style="4" customWidth="1"/>
    <col min="6" max="6" width="13.140625" style="4" customWidth="1"/>
    <col min="7" max="10" width="12.7109375" style="4" customWidth="1"/>
    <col min="11" max="11" width="11.85546875" style="4" customWidth="1"/>
    <col min="12" max="12" width="1.140625" style="4" customWidth="1"/>
    <col min="13" max="15" width="12.7109375" style="4" customWidth="1"/>
    <col min="16" max="16384" width="9.140625" style="4"/>
  </cols>
  <sheetData>
    <row r="1" spans="1:15" ht="12" customHeight="1"/>
    <row r="2" spans="1:15" s="36" customFormat="1" ht="16.5" customHeight="1">
      <c r="A2" s="278" t="s">
        <v>25</v>
      </c>
      <c r="B2" s="346"/>
      <c r="C2" s="279"/>
      <c r="D2" s="284" t="str">
        <f>IF(ISBLANK('PROJECT ID|INSTRUCTIONS'!C3)," ",'PROJECT ID|INSTRUCTIONS'!C3)</f>
        <v xml:space="preserve"> </v>
      </c>
      <c r="E2" s="285"/>
      <c r="F2" s="285"/>
      <c r="G2" s="285"/>
      <c r="H2" s="285"/>
      <c r="I2" s="285"/>
      <c r="J2" s="285"/>
      <c r="K2" s="286"/>
    </row>
    <row r="3" spans="1:15" s="36" customFormat="1" ht="16.5" customHeight="1">
      <c r="A3" s="280" t="s">
        <v>22</v>
      </c>
      <c r="B3" s="307"/>
      <c r="C3" s="281"/>
      <c r="D3" s="287" t="str">
        <f>IF(ISBLANK('PROJECT ID|INSTRUCTIONS'!C4)," ",'PROJECT ID|INSTRUCTIONS'!C4)</f>
        <v xml:space="preserve">DEEP Enterprise Online Case Management System </v>
      </c>
      <c r="E3" s="288"/>
      <c r="F3" s="288"/>
      <c r="G3" s="288"/>
      <c r="H3" s="288"/>
      <c r="I3" s="288"/>
      <c r="J3" s="288"/>
      <c r="K3" s="289"/>
    </row>
    <row r="4" spans="1:15" s="36" customFormat="1" ht="16.5" customHeight="1">
      <c r="A4" s="282" t="s">
        <v>26</v>
      </c>
      <c r="B4" s="347"/>
      <c r="C4" s="283"/>
      <c r="D4" s="290">
        <f>IF(ISBLANK('PROJECT ID|INSTRUCTIONS'!C5)," ",'PROJECT ID|INSTRUCTIONS'!C5)</f>
        <v>41220</v>
      </c>
      <c r="E4" s="291"/>
      <c r="F4" s="291"/>
      <c r="G4" s="291"/>
      <c r="H4" s="291"/>
      <c r="I4" s="291"/>
      <c r="J4" s="291"/>
      <c r="K4" s="292"/>
    </row>
    <row r="5" spans="1:15" s="24" customFormat="1" ht="12" customHeight="1"/>
    <row r="6" spans="1:15" ht="16.5" customHeight="1">
      <c r="A6" s="351" t="s">
        <v>52</v>
      </c>
      <c r="B6" s="351"/>
      <c r="C6" s="351"/>
      <c r="D6" s="351"/>
      <c r="E6" s="351"/>
      <c r="F6" s="222">
        <v>2013</v>
      </c>
      <c r="G6" s="24"/>
      <c r="H6" s="49"/>
      <c r="I6" s="24"/>
      <c r="J6" s="24"/>
      <c r="K6" s="24"/>
    </row>
    <row r="7" spans="1:15" ht="16.5" customHeight="1">
      <c r="A7" s="351" t="s">
        <v>53</v>
      </c>
      <c r="B7" s="351"/>
      <c r="C7" s="351"/>
      <c r="D7" s="351"/>
      <c r="E7" s="351"/>
      <c r="F7" s="223">
        <v>2016</v>
      </c>
      <c r="G7" s="24"/>
      <c r="H7" s="24"/>
      <c r="I7" s="24"/>
      <c r="J7" s="24"/>
      <c r="K7" s="24"/>
    </row>
    <row r="8" spans="1:15" ht="12" customHeight="1">
      <c r="A8" s="24"/>
      <c r="B8" s="24"/>
      <c r="C8" s="24"/>
      <c r="D8" s="24"/>
      <c r="E8" s="24"/>
      <c r="F8" s="24"/>
      <c r="G8" s="24"/>
      <c r="H8" s="24"/>
      <c r="I8" s="24"/>
      <c r="J8" s="24"/>
      <c r="K8" s="24"/>
    </row>
    <row r="9" spans="1:15" ht="31.5" customHeight="1">
      <c r="A9" s="317" t="s">
        <v>28</v>
      </c>
      <c r="B9" s="318"/>
      <c r="C9" s="318"/>
      <c r="D9" s="318"/>
      <c r="E9" s="318"/>
      <c r="F9" s="318"/>
      <c r="G9" s="318"/>
      <c r="H9" s="318"/>
      <c r="I9" s="318"/>
      <c r="J9" s="318"/>
      <c r="K9" s="319"/>
      <c r="M9" s="348" t="s">
        <v>70</v>
      </c>
      <c r="N9" s="349"/>
      <c r="O9" s="350"/>
    </row>
    <row r="10" spans="1:15" ht="12.75">
      <c r="A10" s="50"/>
      <c r="B10" s="51"/>
      <c r="C10" s="52"/>
      <c r="D10" s="53" t="s">
        <v>18</v>
      </c>
      <c r="E10" s="53" t="s">
        <v>19</v>
      </c>
      <c r="F10" s="54" t="str">
        <f>IF(OR(ISBLANK($F$7),ISBLANK($F$6)),"(c)",IF($F$7-$F$6&gt;1,"(c)",""))</f>
        <v>(c)</v>
      </c>
      <c r="G10" s="54" t="str">
        <f>IF(OR(ISBLANK($F$7),ISBLANK($F$6)),"(d)",IF($F$7-$F$6&gt;2,"(d)",""))</f>
        <v>(d)</v>
      </c>
      <c r="H10" s="54" t="str">
        <f>IF(OR(ISBLANK($F$7),ISBLANK($F$6)),"(e)",IF($F$7-$F$6&gt;3,"(e)",""))</f>
        <v/>
      </c>
      <c r="I10" s="54" t="str">
        <f>IF(OR(ISBLANK($F$7),ISBLANK($F$6)),"(f)",IF($F$7-$F$6&gt;4,"(f)",""))</f>
        <v/>
      </c>
      <c r="J10" s="54" t="str">
        <f>IF(OR(ISBLANK($F$7),ISBLANK($F$6)),"(g)",IF($F$7-$F$6&gt;5,"(g)",""))</f>
        <v/>
      </c>
      <c r="K10" s="55" t="str">
        <f>IF(OR(ISBLANK($F$7),ISBLANK($F$6)),"(h)",IF($F$7-$F$6&gt;5,"(h)",IF($F$7-$F$6&lt;1,"(c)",CHOOSE($F$7-$F$6,"(c)","(d)","(e)","(f)","(g)"))))</f>
        <v>(e)</v>
      </c>
      <c r="M10" s="56" t="s">
        <v>63</v>
      </c>
      <c r="N10" s="53" t="s">
        <v>64</v>
      </c>
      <c r="O10" s="57" t="s">
        <v>65</v>
      </c>
    </row>
    <row r="11" spans="1:15" ht="37.5" customHeight="1">
      <c r="A11" s="58"/>
      <c r="B11" s="59" t="s">
        <v>14</v>
      </c>
      <c r="C11" s="59" t="s">
        <v>15</v>
      </c>
      <c r="D11" s="60" t="s">
        <v>58</v>
      </c>
      <c r="E11" s="60" t="str">
        <f>CONCATENATE("Transition FY"&amp;IF(ISBLANK($F$6),1,RIGHT($F$6,2))&amp;" Support Costs")</f>
        <v>Transition FY13 Support Costs</v>
      </c>
      <c r="F11" s="60" t="str">
        <f>IF(ISBLANK($F$7),CONCATENATE("Transition FY"&amp;IF(ISBLANK($F$6),2,RIGHT($F$6,2)+1)&amp;" Support Costs"),IF(ISBLANK($F$6),"Transition FY2 Support Costs",IF($F$7-$F$6&gt;1,CONCATENATE("Transition FY"&amp;RIGHT($F$6,2)+1&amp;" Support Costs"),"")))</f>
        <v>Transition FY14 Support Costs</v>
      </c>
      <c r="G11" s="60" t="str">
        <f>IF(ISBLANK($F$7),CONCATENATE("Transition FY"&amp;IF(ISBLANK($F$6),3,RIGHT($F$6,2)+2)&amp;" Support Costs"),IF(ISBLANK($F$6),"Transition FY3 Support Costs",IF($F$7-$F$6&gt;2,CONCATENATE("Transition FY"&amp;RIGHT($F$6,2)+2&amp;" Support Costs"),"")))</f>
        <v>Transition FY15 Support Costs</v>
      </c>
      <c r="H11" s="60" t="str">
        <f>IF(ISBLANK($F$7),CONCATENATE("Transition FY"&amp;IF(ISBLANK($F$6),4,RIGHT($F$6,2)+3)&amp;" Support Costs"),IF(ISBLANK($F$6),"Transition FY4 Support Costs",IF($F$7-$F$6&gt;3,CONCATENATE("Transition FY"&amp;RIGHT($F$6,2)+3&amp;" Support Costs"),"")))</f>
        <v/>
      </c>
      <c r="I11" s="60" t="str">
        <f>IF(ISBLANK($F$7),CONCATENATE("Transition FY"&amp;IF(ISBLANK($F$6),5,RIGHT($F$6,2)+4)&amp;" Support Costs"),IF(ISBLANK($F$6),"Transition FY5 Support Costs",IF($F$7-$F$6&gt;4,CONCATENATE("Transition FY"&amp;RIGHT($F$6,2)+4&amp;" Support Costs"),"")))</f>
        <v/>
      </c>
      <c r="J11" s="60" t="str">
        <f>IF(ISBLANK($F$7),CONCATENATE("Transition FY"&amp;IF(ISBLANK($F$6),6,RIGHT($F$6,2)+5)&amp;" Support Costs"),IF(ISBLANK($F$6),"Transition FY6 Support Costs",IF($F$7-$F$6&gt;5,CONCATENATE("Transition FY"&amp;RIGHT($F$6,2)+5&amp;" Support Costs"),"")))</f>
        <v/>
      </c>
      <c r="K11" s="61" t="str">
        <f>CONCATENATE("Steady State "&amp;IF(ISBLANK($F$7),"","FY" &amp; RIGHT($F$7,2))&amp;" Support Costs")</f>
        <v>Steady State FY16 Support Costs</v>
      </c>
      <c r="L11" s="62"/>
      <c r="M11" s="63" t="s">
        <v>61</v>
      </c>
      <c r="N11" s="54" t="s">
        <v>72</v>
      </c>
      <c r="O11" s="55" t="s">
        <v>62</v>
      </c>
    </row>
    <row r="12" spans="1:15" ht="16.5" customHeight="1">
      <c r="A12" s="299" t="s">
        <v>86</v>
      </c>
      <c r="B12" s="31">
        <v>50110</v>
      </c>
      <c r="C12" s="31" t="s">
        <v>87</v>
      </c>
      <c r="D12" s="212">
        <v>699431.75</v>
      </c>
      <c r="E12" s="212">
        <f>SUM(D12*1.05)</f>
        <v>734403.33750000002</v>
      </c>
      <c r="F12" s="212">
        <f>SUM(E12*1.05)</f>
        <v>771123.50437500002</v>
      </c>
      <c r="G12" s="212">
        <f>F12*1.05</f>
        <v>809679.67959375004</v>
      </c>
      <c r="H12" s="212"/>
      <c r="I12" s="212"/>
      <c r="J12" s="212"/>
      <c r="K12" s="224">
        <v>80000</v>
      </c>
      <c r="L12" s="64"/>
      <c r="M12" s="225"/>
      <c r="N12" s="226"/>
      <c r="O12" s="141">
        <f>M12*N12</f>
        <v>0</v>
      </c>
    </row>
    <row r="13" spans="1:15" ht="16.5" customHeight="1">
      <c r="A13" s="300"/>
      <c r="B13" s="31">
        <v>50130</v>
      </c>
      <c r="C13" s="31" t="s">
        <v>88</v>
      </c>
      <c r="D13" s="213"/>
      <c r="E13" s="213"/>
      <c r="F13" s="213"/>
      <c r="G13" s="213"/>
      <c r="H13" s="213"/>
      <c r="I13" s="213"/>
      <c r="J13" s="213"/>
      <c r="K13" s="227"/>
      <c r="M13" s="228"/>
      <c r="N13" s="229"/>
      <c r="O13" s="141">
        <f>M13*N13</f>
        <v>0</v>
      </c>
    </row>
    <row r="14" spans="1:15" ht="16.5" customHeight="1">
      <c r="A14" s="300"/>
      <c r="B14" s="31">
        <v>50170</v>
      </c>
      <c r="C14" s="31" t="s">
        <v>89</v>
      </c>
      <c r="D14" s="214">
        <v>25000</v>
      </c>
      <c r="E14" s="214">
        <v>35000</v>
      </c>
      <c r="F14" s="214">
        <v>35000</v>
      </c>
      <c r="G14" s="214">
        <v>35000</v>
      </c>
      <c r="H14" s="214"/>
      <c r="I14" s="214"/>
      <c r="J14" s="214"/>
      <c r="K14" s="230"/>
      <c r="M14" s="231"/>
      <c r="N14" s="232"/>
      <c r="O14" s="141">
        <f>M14*N14</f>
        <v>0</v>
      </c>
    </row>
    <row r="15" spans="1:15" ht="16.5" customHeight="1" thickBot="1">
      <c r="A15" s="301"/>
      <c r="B15" s="32" t="s">
        <v>16</v>
      </c>
      <c r="C15" s="32"/>
      <c r="D15" s="33">
        <f t="shared" ref="D15:K15" si="0">SUM(D12:D14)</f>
        <v>724431.75</v>
      </c>
      <c r="E15" s="33">
        <f t="shared" si="0"/>
        <v>769403.33750000002</v>
      </c>
      <c r="F15" s="33">
        <f t="shared" si="0"/>
        <v>806123.50437500002</v>
      </c>
      <c r="G15" s="33">
        <f t="shared" si="0"/>
        <v>844679.67959375004</v>
      </c>
      <c r="H15" s="33">
        <f t="shared" si="0"/>
        <v>0</v>
      </c>
      <c r="I15" s="33">
        <f t="shared" si="0"/>
        <v>0</v>
      </c>
      <c r="J15" s="33">
        <f t="shared" si="0"/>
        <v>0</v>
      </c>
      <c r="K15" s="34">
        <f t="shared" si="0"/>
        <v>80000</v>
      </c>
      <c r="M15" s="65">
        <f>SUM(M12:M14)</f>
        <v>0</v>
      </c>
      <c r="N15" s="143" t="s">
        <v>60</v>
      </c>
      <c r="O15" s="34">
        <f>SUM(O12:O14)</f>
        <v>0</v>
      </c>
    </row>
    <row r="16" spans="1:15" ht="16.5" customHeight="1" thickTop="1">
      <c r="A16" s="302" t="s">
        <v>85</v>
      </c>
      <c r="B16" s="31">
        <v>53715</v>
      </c>
      <c r="C16" s="31" t="s">
        <v>90</v>
      </c>
      <c r="D16" s="212"/>
      <c r="E16" s="212">
        <v>80000</v>
      </c>
      <c r="F16" s="212">
        <v>80000</v>
      </c>
      <c r="G16" s="212">
        <v>80000</v>
      </c>
      <c r="H16" s="212"/>
      <c r="I16" s="212"/>
      <c r="J16" s="212"/>
      <c r="K16" s="224"/>
      <c r="M16" s="225"/>
      <c r="N16" s="226"/>
      <c r="O16" s="141">
        <f t="shared" ref="O16:O21" si="1">M16*N16</f>
        <v>0</v>
      </c>
    </row>
    <row r="17" spans="1:15" ht="16.5" customHeight="1">
      <c r="A17" s="300"/>
      <c r="B17" s="31">
        <v>53720</v>
      </c>
      <c r="C17" s="31" t="s">
        <v>91</v>
      </c>
      <c r="D17" s="213"/>
      <c r="E17" s="213"/>
      <c r="F17" s="213"/>
      <c r="G17" s="213"/>
      <c r="H17" s="213"/>
      <c r="I17" s="213"/>
      <c r="J17" s="213"/>
      <c r="K17" s="227"/>
      <c r="M17" s="228"/>
      <c r="N17" s="229"/>
      <c r="O17" s="141">
        <f t="shared" si="1"/>
        <v>0</v>
      </c>
    </row>
    <row r="18" spans="1:15" ht="16.5" customHeight="1">
      <c r="A18" s="300"/>
      <c r="B18" s="31">
        <v>53735</v>
      </c>
      <c r="C18" s="31" t="s">
        <v>92</v>
      </c>
      <c r="D18" s="213"/>
      <c r="E18" s="213"/>
      <c r="F18" s="213"/>
      <c r="G18" s="213"/>
      <c r="H18" s="213"/>
      <c r="I18" s="213"/>
      <c r="J18" s="213"/>
      <c r="K18" s="227"/>
      <c r="M18" s="228"/>
      <c r="N18" s="229"/>
      <c r="O18" s="141">
        <f t="shared" si="1"/>
        <v>0</v>
      </c>
    </row>
    <row r="19" spans="1:15" ht="16.5" customHeight="1">
      <c r="A19" s="300"/>
      <c r="B19" s="31">
        <v>53740</v>
      </c>
      <c r="C19" s="31" t="s">
        <v>93</v>
      </c>
      <c r="D19" s="213"/>
      <c r="E19" s="213"/>
      <c r="F19" s="213"/>
      <c r="G19" s="213"/>
      <c r="H19" s="213"/>
      <c r="I19" s="213"/>
      <c r="J19" s="213"/>
      <c r="K19" s="227"/>
      <c r="M19" s="228"/>
      <c r="N19" s="229"/>
      <c r="O19" s="141">
        <f t="shared" si="1"/>
        <v>0</v>
      </c>
    </row>
    <row r="20" spans="1:15" ht="16.5" customHeight="1">
      <c r="A20" s="300"/>
      <c r="B20" s="31">
        <v>53755</v>
      </c>
      <c r="C20" s="31" t="s">
        <v>94</v>
      </c>
      <c r="D20" s="213"/>
      <c r="E20" s="213"/>
      <c r="F20" s="213"/>
      <c r="G20" s="213"/>
      <c r="H20" s="213"/>
      <c r="I20" s="213"/>
      <c r="J20" s="213"/>
      <c r="K20" s="227"/>
      <c r="M20" s="228"/>
      <c r="N20" s="229"/>
      <c r="O20" s="141">
        <f t="shared" si="1"/>
        <v>0</v>
      </c>
    </row>
    <row r="21" spans="1:15" ht="16.5" customHeight="1">
      <c r="A21" s="300"/>
      <c r="B21" s="31">
        <v>53760</v>
      </c>
      <c r="C21" s="31" t="s">
        <v>95</v>
      </c>
      <c r="D21" s="213"/>
      <c r="E21" s="213"/>
      <c r="F21" s="213"/>
      <c r="G21" s="213"/>
      <c r="H21" s="213"/>
      <c r="I21" s="213"/>
      <c r="J21" s="213"/>
      <c r="K21" s="227"/>
      <c r="M21" s="228"/>
      <c r="N21" s="229"/>
      <c r="O21" s="141">
        <f t="shared" si="1"/>
        <v>0</v>
      </c>
    </row>
    <row r="22" spans="1:15" ht="16.5" customHeight="1" thickBot="1">
      <c r="A22" s="301"/>
      <c r="B22" s="32" t="s">
        <v>16</v>
      </c>
      <c r="C22" s="32"/>
      <c r="D22" s="33">
        <f t="shared" ref="D22:K22" si="2">SUM(D16:D21)</f>
        <v>0</v>
      </c>
      <c r="E22" s="33">
        <f t="shared" si="2"/>
        <v>80000</v>
      </c>
      <c r="F22" s="33">
        <f t="shared" si="2"/>
        <v>80000</v>
      </c>
      <c r="G22" s="33">
        <f t="shared" si="2"/>
        <v>80000</v>
      </c>
      <c r="H22" s="33">
        <f t="shared" si="2"/>
        <v>0</v>
      </c>
      <c r="I22" s="33">
        <f t="shared" si="2"/>
        <v>0</v>
      </c>
      <c r="J22" s="33">
        <f t="shared" si="2"/>
        <v>0</v>
      </c>
      <c r="K22" s="34">
        <f t="shared" si="2"/>
        <v>0</v>
      </c>
      <c r="M22" s="65">
        <f>SUM(M16:M21)</f>
        <v>0</v>
      </c>
      <c r="N22" s="143" t="s">
        <v>60</v>
      </c>
      <c r="O22" s="34">
        <f>SUM(O16:O21)</f>
        <v>0</v>
      </c>
    </row>
    <row r="23" spans="1:15" ht="16.5" customHeight="1" thickTop="1">
      <c r="A23" s="302" t="s">
        <v>96</v>
      </c>
      <c r="B23" s="31">
        <v>55700</v>
      </c>
      <c r="C23" s="31" t="s">
        <v>97</v>
      </c>
      <c r="D23" s="213"/>
      <c r="E23" s="213"/>
      <c r="F23" s="213"/>
      <c r="G23" s="213"/>
      <c r="H23" s="213"/>
      <c r="I23" s="213"/>
      <c r="J23" s="213"/>
      <c r="K23" s="227"/>
      <c r="M23" s="228"/>
      <c r="N23" s="229"/>
      <c r="O23" s="141">
        <f>M23*N23</f>
        <v>0</v>
      </c>
    </row>
    <row r="24" spans="1:15" ht="16.5" customHeight="1">
      <c r="A24" s="299"/>
      <c r="B24" s="31">
        <v>55710</v>
      </c>
      <c r="C24" s="31" t="s">
        <v>98</v>
      </c>
      <c r="D24" s="213"/>
      <c r="E24" s="213"/>
      <c r="F24" s="213"/>
      <c r="G24" s="213"/>
      <c r="H24" s="213"/>
      <c r="I24" s="213"/>
      <c r="J24" s="213"/>
      <c r="K24" s="227"/>
      <c r="M24" s="228"/>
      <c r="N24" s="229"/>
      <c r="O24" s="141"/>
    </row>
    <row r="25" spans="1:15" ht="16.5" customHeight="1">
      <c r="A25" s="299"/>
      <c r="B25" s="31">
        <v>55730</v>
      </c>
      <c r="C25" s="31" t="s">
        <v>99</v>
      </c>
      <c r="D25" s="213"/>
      <c r="E25" s="213"/>
      <c r="F25" s="213"/>
      <c r="G25" s="213"/>
      <c r="H25" s="213"/>
      <c r="I25" s="213"/>
      <c r="J25" s="213"/>
      <c r="K25" s="227"/>
      <c r="M25" s="228"/>
      <c r="N25" s="229"/>
      <c r="O25" s="141">
        <f>M25*N25</f>
        <v>0</v>
      </c>
    </row>
    <row r="26" spans="1:15" ht="16.5" customHeight="1" thickBot="1">
      <c r="A26" s="301"/>
      <c r="B26" s="32" t="s">
        <v>16</v>
      </c>
      <c r="C26" s="32"/>
      <c r="D26" s="33">
        <f t="shared" ref="D26:K26" si="3">SUM(D23:D25)</f>
        <v>0</v>
      </c>
      <c r="E26" s="33">
        <f t="shared" si="3"/>
        <v>0</v>
      </c>
      <c r="F26" s="33">
        <f t="shared" si="3"/>
        <v>0</v>
      </c>
      <c r="G26" s="33">
        <f t="shared" si="3"/>
        <v>0</v>
      </c>
      <c r="H26" s="33">
        <f t="shared" si="3"/>
        <v>0</v>
      </c>
      <c r="I26" s="33">
        <f t="shared" si="3"/>
        <v>0</v>
      </c>
      <c r="J26" s="33">
        <f t="shared" si="3"/>
        <v>0</v>
      </c>
      <c r="K26" s="34">
        <f t="shared" si="3"/>
        <v>0</v>
      </c>
      <c r="M26" s="65">
        <f>SUM(M23:M25)</f>
        <v>0</v>
      </c>
      <c r="N26" s="143" t="s">
        <v>60</v>
      </c>
      <c r="O26" s="34">
        <f>SUM(O23:O25)</f>
        <v>0</v>
      </c>
    </row>
    <row r="27" spans="1:15" ht="16.5" customHeight="1" thickTop="1" thickBot="1">
      <c r="A27" s="44" t="s">
        <v>17</v>
      </c>
      <c r="B27" s="44"/>
      <c r="C27" s="44"/>
      <c r="D27" s="15">
        <f t="shared" ref="D27:K27" si="4">D15+D22+D26</f>
        <v>724431.75</v>
      </c>
      <c r="E27" s="15">
        <f t="shared" si="4"/>
        <v>849403.33750000002</v>
      </c>
      <c r="F27" s="15">
        <f t="shared" si="4"/>
        <v>886123.50437500002</v>
      </c>
      <c r="G27" s="15">
        <f t="shared" si="4"/>
        <v>924679.67959375004</v>
      </c>
      <c r="H27" s="15">
        <f t="shared" si="4"/>
        <v>0</v>
      </c>
      <c r="I27" s="15">
        <f t="shared" si="4"/>
        <v>0</v>
      </c>
      <c r="J27" s="15">
        <f t="shared" si="4"/>
        <v>0</v>
      </c>
      <c r="K27" s="15">
        <f t="shared" si="4"/>
        <v>80000</v>
      </c>
      <c r="M27" s="15">
        <f>M15+M22+M26</f>
        <v>0</v>
      </c>
      <c r="N27" s="142"/>
      <c r="O27" s="15">
        <f>O15+O22+O26</f>
        <v>0</v>
      </c>
    </row>
    <row r="28" spans="1:15" ht="3.95" customHeight="1" thickTop="1">
      <c r="A28" s="6"/>
      <c r="B28" s="6"/>
      <c r="C28" s="6"/>
      <c r="D28" s="45"/>
      <c r="E28" s="45"/>
      <c r="F28" s="45"/>
      <c r="G28" s="45"/>
      <c r="H28" s="45"/>
      <c r="I28" s="45"/>
      <c r="J28" s="45"/>
      <c r="K28" s="45"/>
    </row>
    <row r="31" spans="1:15">
      <c r="F31" s="162"/>
    </row>
  </sheetData>
  <sheetProtection password="CAD5" sheet="1" objects="1" scenario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71"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80" zoomScaleNormal="80" workbookViewId="0">
      <selection sqref="A1:XFD1048576"/>
    </sheetView>
  </sheetViews>
  <sheetFormatPr defaultRowHeight="12.75"/>
  <cols>
    <col min="1" max="1" width="1.5703125" style="5" customWidth="1"/>
    <col min="2" max="2" width="27.42578125" style="5" customWidth="1"/>
    <col min="3" max="9" width="12.7109375" style="5" customWidth="1"/>
    <col min="10" max="10" width="14.140625" style="5" customWidth="1"/>
    <col min="11" max="11" width="14" style="5" customWidth="1"/>
    <col min="12" max="12" width="14.140625" style="5" customWidth="1"/>
    <col min="13" max="16384" width="9.140625" style="5"/>
  </cols>
  <sheetData>
    <row r="1" spans="1:12" ht="12" customHeight="1"/>
    <row r="2" spans="1:12" s="36" customFormat="1" ht="16.5" customHeight="1">
      <c r="A2" s="340" t="s">
        <v>25</v>
      </c>
      <c r="B2" s="341"/>
      <c r="C2" s="352" t="str">
        <f>IF(ISBLANK('PROJECT ID|INSTRUCTIONS'!C3)," ",'PROJECT ID|INSTRUCTIONS'!C3)</f>
        <v xml:space="preserve"> </v>
      </c>
      <c r="D2" s="352"/>
      <c r="E2" s="352"/>
      <c r="F2" s="352"/>
      <c r="G2" s="352"/>
      <c r="H2" s="352"/>
      <c r="I2" s="353"/>
    </row>
    <row r="3" spans="1:12" s="36" customFormat="1" ht="16.5" customHeight="1">
      <c r="A3" s="342" t="s">
        <v>22</v>
      </c>
      <c r="B3" s="343"/>
      <c r="C3" s="354" t="str">
        <f>IF(ISBLANK('PROJECT ID|INSTRUCTIONS'!C4)," ",'PROJECT ID|INSTRUCTIONS'!C4)</f>
        <v xml:space="preserve">DEEP Enterprise Online Case Management System </v>
      </c>
      <c r="D3" s="354"/>
      <c r="E3" s="354"/>
      <c r="F3" s="354"/>
      <c r="G3" s="354"/>
      <c r="H3" s="354"/>
      <c r="I3" s="355"/>
    </row>
    <row r="4" spans="1:12" s="36" customFormat="1" ht="16.5" customHeight="1">
      <c r="A4" s="344" t="s">
        <v>26</v>
      </c>
      <c r="B4" s="345"/>
      <c r="C4" s="291">
        <f>IF(ISBLANK('PROJECT ID|INSTRUCTIONS'!C5)," ",'PROJECT ID|INSTRUCTIONS'!C5)</f>
        <v>41220</v>
      </c>
      <c r="D4" s="291"/>
      <c r="E4" s="291"/>
      <c r="F4" s="291"/>
      <c r="G4" s="291"/>
      <c r="H4" s="291"/>
      <c r="I4" s="292"/>
    </row>
    <row r="5" spans="1:12" s="75" customFormat="1" ht="12" customHeight="1">
      <c r="A5" s="71"/>
      <c r="B5" s="71"/>
      <c r="C5" s="356"/>
      <c r="D5" s="356"/>
      <c r="E5" s="356"/>
      <c r="F5" s="356"/>
      <c r="G5" s="356"/>
      <c r="H5" s="356"/>
      <c r="I5" s="72"/>
      <c r="J5" s="73"/>
      <c r="K5" s="74"/>
    </row>
    <row r="6" spans="1:12" s="75" customFormat="1" ht="15" customHeight="1">
      <c r="A6" s="357" t="s">
        <v>21</v>
      </c>
      <c r="B6" s="358"/>
      <c r="C6" s="358"/>
      <c r="D6" s="358"/>
      <c r="E6" s="358"/>
      <c r="F6" s="358"/>
      <c r="G6" s="358"/>
      <c r="H6" s="358"/>
      <c r="I6" s="358"/>
      <c r="J6" s="358"/>
      <c r="K6" s="358"/>
      <c r="L6" s="359"/>
    </row>
    <row r="7" spans="1:12" ht="39" customHeight="1">
      <c r="A7" s="126"/>
      <c r="B7" s="127" t="s">
        <v>21</v>
      </c>
      <c r="C7" s="128" t="s">
        <v>30</v>
      </c>
      <c r="D7" s="129" t="str">
        <f>CONCATENATE("FY ",Settings!$C$1)</f>
        <v>FY 2013</v>
      </c>
      <c r="E7" s="129" t="str">
        <f>CONCATENATE("FY ",Settings!$C$1+1)</f>
        <v>FY 2014</v>
      </c>
      <c r="F7" s="129" t="str">
        <f>CONCATENATE("FY ",Settings!$C$1+2)</f>
        <v>FY 2015</v>
      </c>
      <c r="G7" s="129" t="str">
        <f>CONCATENATE("FY ",Settings!$C$1+3)</f>
        <v>FY 2016</v>
      </c>
      <c r="H7" s="129" t="str">
        <f>CONCATENATE("FY ",Settings!$C$1+4)</f>
        <v>FY 2017</v>
      </c>
      <c r="I7" s="129" t="str">
        <f>CONCATENATE("Out Years after FY",Settings!$C$1+4)</f>
        <v>Out Years after FY2017</v>
      </c>
      <c r="J7" s="129" t="str">
        <f>CONCATENATE("Total FY",Settings!$C$1," - FY",Settings!$C$1+4)</f>
        <v>Total FY2013 - FY2017</v>
      </c>
      <c r="K7" s="129" t="str">
        <f>CONCATENATE("Total FY",Settings!$C$1," - Out Years")</f>
        <v>Total FY2013 - Out Years</v>
      </c>
      <c r="L7" s="130" t="s">
        <v>29</v>
      </c>
    </row>
    <row r="8" spans="1:12" ht="16.5" customHeight="1">
      <c r="A8" s="190"/>
      <c r="B8" s="191" t="s">
        <v>116</v>
      </c>
      <c r="C8" s="233"/>
      <c r="D8" s="233"/>
      <c r="E8" s="233"/>
      <c r="F8" s="233"/>
      <c r="G8" s="233"/>
      <c r="H8" s="233"/>
      <c r="I8" s="234"/>
      <c r="J8" s="88">
        <f>SUM(D8:H8)</f>
        <v>0</v>
      </c>
      <c r="K8" s="82">
        <f>SUM(D8:I8)</f>
        <v>0</v>
      </c>
      <c r="L8" s="83">
        <f>SUM(C8:I8)</f>
        <v>0</v>
      </c>
    </row>
    <row r="9" spans="1:12" ht="16.5" customHeight="1">
      <c r="A9" s="190"/>
      <c r="B9" s="191" t="s">
        <v>117</v>
      </c>
      <c r="C9" s="235">
        <v>3000000</v>
      </c>
      <c r="D9" s="235">
        <v>200000</v>
      </c>
      <c r="E9" s="235">
        <v>0</v>
      </c>
      <c r="F9" s="235">
        <v>0</v>
      </c>
      <c r="G9" s="235">
        <v>0</v>
      </c>
      <c r="H9" s="235">
        <v>0</v>
      </c>
      <c r="I9" s="235"/>
      <c r="J9" s="89">
        <f t="shared" ref="J9:J17" si="0">SUM(D9:H9)</f>
        <v>200000</v>
      </c>
      <c r="K9" s="84">
        <f t="shared" ref="K9:K17" si="1">SUM(D9:I9)</f>
        <v>200000</v>
      </c>
      <c r="L9" s="85">
        <f t="shared" ref="L9:L18" si="2">SUM(C9:I9)</f>
        <v>3200000</v>
      </c>
    </row>
    <row r="10" spans="1:12" ht="16.5" customHeight="1">
      <c r="A10" s="190"/>
      <c r="B10" s="191" t="s">
        <v>118</v>
      </c>
      <c r="C10" s="235">
        <f>88500+175000</f>
        <v>263500</v>
      </c>
      <c r="D10" s="235">
        <v>0</v>
      </c>
      <c r="E10" s="235">
        <v>0</v>
      </c>
      <c r="F10" s="235">
        <v>0</v>
      </c>
      <c r="G10" s="235"/>
      <c r="H10" s="235"/>
      <c r="I10" s="235"/>
      <c r="J10" s="89">
        <f t="shared" si="0"/>
        <v>0</v>
      </c>
      <c r="K10" s="84">
        <f t="shared" si="1"/>
        <v>0</v>
      </c>
      <c r="L10" s="85">
        <f t="shared" si="2"/>
        <v>263500</v>
      </c>
    </row>
    <row r="11" spans="1:12" ht="16.5" customHeight="1">
      <c r="A11" s="190"/>
      <c r="B11" s="191" t="s">
        <v>7</v>
      </c>
      <c r="C11" s="235">
        <v>1250000</v>
      </c>
      <c r="D11" s="235">
        <v>310000</v>
      </c>
      <c r="E11" s="235">
        <v>420000</v>
      </c>
      <c r="F11" s="235">
        <v>170000</v>
      </c>
      <c r="G11" s="235">
        <v>130000</v>
      </c>
      <c r="H11" s="235">
        <v>130000</v>
      </c>
      <c r="I11" s="235"/>
      <c r="J11" s="89">
        <f t="shared" si="0"/>
        <v>1160000</v>
      </c>
      <c r="K11" s="84">
        <f t="shared" si="1"/>
        <v>1160000</v>
      </c>
      <c r="L11" s="85">
        <f t="shared" si="2"/>
        <v>2410000</v>
      </c>
    </row>
    <row r="12" spans="1:12" ht="16.5" customHeight="1">
      <c r="A12" s="190"/>
      <c r="B12" s="191" t="s">
        <v>8</v>
      </c>
      <c r="C12" s="236"/>
      <c r="D12" s="236">
        <v>0</v>
      </c>
      <c r="E12" s="236">
        <v>0</v>
      </c>
      <c r="F12" s="236">
        <v>0</v>
      </c>
      <c r="G12" s="236"/>
      <c r="H12" s="236"/>
      <c r="I12" s="236"/>
      <c r="J12" s="89">
        <f t="shared" si="0"/>
        <v>0</v>
      </c>
      <c r="K12" s="84">
        <f t="shared" si="1"/>
        <v>0</v>
      </c>
      <c r="L12" s="85">
        <f t="shared" si="2"/>
        <v>0</v>
      </c>
    </row>
    <row r="13" spans="1:12" ht="16.5" customHeight="1">
      <c r="A13" s="76"/>
      <c r="B13" s="91" t="s">
        <v>9</v>
      </c>
      <c r="C13" s="92">
        <f>'CAPITAL DEV. COSTS-THIS REQUEST'!D23</f>
        <v>0</v>
      </c>
      <c r="D13" s="92">
        <v>1150000</v>
      </c>
      <c r="E13" s="92">
        <v>3750000</v>
      </c>
      <c r="F13" s="92">
        <v>3050000</v>
      </c>
      <c r="G13" s="92">
        <v>0</v>
      </c>
      <c r="H13" s="92">
        <v>0</v>
      </c>
      <c r="I13" s="92">
        <f>'CAPITAL DEV. COSTS-THIS REQUEST'!J23</f>
        <v>0</v>
      </c>
      <c r="J13" s="89">
        <f t="shared" si="0"/>
        <v>7950000</v>
      </c>
      <c r="K13" s="84">
        <f t="shared" si="1"/>
        <v>7950000</v>
      </c>
      <c r="L13" s="85">
        <f t="shared" si="2"/>
        <v>7950000</v>
      </c>
    </row>
    <row r="14" spans="1:12" ht="16.5" customHeight="1">
      <c r="A14" s="368" t="s">
        <v>77</v>
      </c>
      <c r="B14" s="369"/>
      <c r="C14" s="233"/>
      <c r="D14" s="233"/>
      <c r="E14" s="233"/>
      <c r="F14" s="233"/>
      <c r="G14" s="233"/>
      <c r="H14" s="233"/>
      <c r="I14" s="233"/>
      <c r="J14" s="89">
        <f t="shared" si="0"/>
        <v>0</v>
      </c>
      <c r="K14" s="84">
        <f t="shared" si="1"/>
        <v>0</v>
      </c>
      <c r="L14" s="85">
        <f t="shared" si="2"/>
        <v>0</v>
      </c>
    </row>
    <row r="15" spans="1:12" ht="16.5" customHeight="1">
      <c r="A15" s="190"/>
      <c r="B15" s="237"/>
      <c r="C15" s="235"/>
      <c r="D15" s="235"/>
      <c r="E15" s="235"/>
      <c r="F15" s="235"/>
      <c r="G15" s="235"/>
      <c r="H15" s="235"/>
      <c r="I15" s="235"/>
      <c r="J15" s="89">
        <f t="shared" si="0"/>
        <v>0</v>
      </c>
      <c r="K15" s="84">
        <f t="shared" si="1"/>
        <v>0</v>
      </c>
      <c r="L15" s="85">
        <f t="shared" si="2"/>
        <v>0</v>
      </c>
    </row>
    <row r="16" spans="1:12" ht="16.5" customHeight="1">
      <c r="A16" s="190"/>
      <c r="B16" s="237"/>
      <c r="C16" s="235"/>
      <c r="D16" s="235"/>
      <c r="E16" s="235"/>
      <c r="F16" s="235"/>
      <c r="G16" s="235"/>
      <c r="H16" s="235"/>
      <c r="I16" s="235"/>
      <c r="J16" s="89">
        <f>SUM(D16:H16)</f>
        <v>0</v>
      </c>
      <c r="K16" s="84">
        <f>SUM(D16:I16)</f>
        <v>0</v>
      </c>
      <c r="L16" s="85">
        <f>SUM(C16:I16)</f>
        <v>0</v>
      </c>
    </row>
    <row r="17" spans="1:12" ht="16.5" customHeight="1">
      <c r="A17" s="190"/>
      <c r="B17" s="237"/>
      <c r="C17" s="235"/>
      <c r="D17" s="235"/>
      <c r="E17" s="235"/>
      <c r="F17" s="235"/>
      <c r="G17" s="235"/>
      <c r="H17" s="235"/>
      <c r="I17" s="235"/>
      <c r="J17" s="89">
        <f t="shared" si="0"/>
        <v>0</v>
      </c>
      <c r="K17" s="84">
        <f t="shared" si="1"/>
        <v>0</v>
      </c>
      <c r="L17" s="85">
        <f t="shared" si="2"/>
        <v>0</v>
      </c>
    </row>
    <row r="18" spans="1:12" ht="16.5" customHeight="1" thickBot="1">
      <c r="A18" s="190"/>
      <c r="B18" s="238"/>
      <c r="C18" s="236"/>
      <c r="D18" s="236"/>
      <c r="E18" s="236"/>
      <c r="F18" s="236"/>
      <c r="G18" s="236"/>
      <c r="H18" s="236"/>
      <c r="I18" s="239"/>
      <c r="J18" s="90">
        <f>SUM(D18:H18)</f>
        <v>0</v>
      </c>
      <c r="K18" s="86">
        <f>SUM(D18:I18)</f>
        <v>0</v>
      </c>
      <c r="L18" s="87">
        <f t="shared" si="2"/>
        <v>0</v>
      </c>
    </row>
    <row r="19" spans="1:12" ht="16.5" customHeight="1" thickTop="1" thickBot="1">
      <c r="A19" s="367" t="s">
        <v>41</v>
      </c>
      <c r="B19" s="367"/>
      <c r="C19" s="3">
        <f t="shared" ref="C19:L19" si="3">SUM(C8:C18)</f>
        <v>4513500</v>
      </c>
      <c r="D19" s="3">
        <f t="shared" si="3"/>
        <v>1660000</v>
      </c>
      <c r="E19" s="3">
        <f t="shared" si="3"/>
        <v>4170000</v>
      </c>
      <c r="F19" s="3">
        <f t="shared" si="3"/>
        <v>3220000</v>
      </c>
      <c r="G19" s="3">
        <f t="shared" si="3"/>
        <v>130000</v>
      </c>
      <c r="H19" s="3">
        <f t="shared" si="3"/>
        <v>130000</v>
      </c>
      <c r="I19" s="3">
        <f t="shared" si="3"/>
        <v>0</v>
      </c>
      <c r="J19" s="3">
        <f>SUM(J8:J18)</f>
        <v>9310000</v>
      </c>
      <c r="K19" s="3">
        <f t="shared" si="3"/>
        <v>9310000</v>
      </c>
      <c r="L19" s="3">
        <f t="shared" si="3"/>
        <v>13823500</v>
      </c>
    </row>
    <row r="20" spans="1:12" ht="12.6" customHeight="1" thickTop="1">
      <c r="A20" s="77"/>
      <c r="B20" s="78"/>
      <c r="C20" s="79"/>
      <c r="D20" s="79"/>
      <c r="E20" s="79"/>
      <c r="F20" s="79"/>
      <c r="G20" s="79"/>
      <c r="H20" s="79"/>
      <c r="I20" s="79"/>
    </row>
    <row r="21" spans="1:12" ht="26.25" customHeight="1">
      <c r="A21" s="360" t="s">
        <v>40</v>
      </c>
      <c r="B21" s="361"/>
      <c r="C21" s="1">
        <f>'TOTAL DEVELOPMENT COSTS'!D23</f>
        <v>4513500</v>
      </c>
      <c r="D21" s="1">
        <f>'TOTAL DEVELOPMENT COSTS'!E23</f>
        <v>1660000</v>
      </c>
      <c r="E21" s="1">
        <f>'TOTAL DEVELOPMENT COSTS'!F23</f>
        <v>4170000</v>
      </c>
      <c r="F21" s="1">
        <f>'TOTAL DEVELOPMENT COSTS'!G23</f>
        <v>3220000</v>
      </c>
      <c r="G21" s="1">
        <f>'TOTAL DEVELOPMENT COSTS'!H23</f>
        <v>130000</v>
      </c>
      <c r="H21" s="1">
        <f>'TOTAL DEVELOPMENT COSTS'!I23</f>
        <v>130000</v>
      </c>
      <c r="I21" s="1">
        <f>'TOTAL DEVELOPMENT COSTS'!J23</f>
        <v>0</v>
      </c>
    </row>
    <row r="22" spans="1:12" s="80" customFormat="1" ht="8.25" customHeight="1">
      <c r="A22" s="77"/>
      <c r="B22" s="78"/>
      <c r="C22" s="79"/>
      <c r="D22" s="79"/>
      <c r="E22" s="79"/>
      <c r="F22" s="79"/>
      <c r="G22" s="79"/>
      <c r="H22" s="79"/>
      <c r="I22" s="79"/>
      <c r="L22" s="81"/>
    </row>
    <row r="23" spans="1:12" ht="37.5" customHeight="1" thickBot="1">
      <c r="A23" s="362" t="s">
        <v>78</v>
      </c>
      <c r="B23" s="363"/>
      <c r="C23" s="143"/>
      <c r="D23" s="1">
        <f t="shared" ref="D23:I23" si="4">D21-D19</f>
        <v>0</v>
      </c>
      <c r="E23" s="1">
        <f t="shared" si="4"/>
        <v>0</v>
      </c>
      <c r="F23" s="1">
        <f t="shared" si="4"/>
        <v>0</v>
      </c>
      <c r="G23" s="1">
        <f t="shared" si="4"/>
        <v>0</v>
      </c>
      <c r="H23" s="1">
        <f t="shared" si="4"/>
        <v>0</v>
      </c>
      <c r="I23" s="1">
        <f t="shared" si="4"/>
        <v>0</v>
      </c>
    </row>
    <row r="24" spans="1:12" ht="14.25" thickTop="1" thickBot="1"/>
    <row r="25" spans="1:12" ht="13.5" thickBot="1">
      <c r="C25" s="364" t="str">
        <f>IF(AND(D23=0,E23=0,F23=0,G23=0,H23=0,I23=0),"","Total Funding Source Must Equal Total Development Cost")</f>
        <v/>
      </c>
      <c r="D25" s="365"/>
      <c r="E25" s="365"/>
      <c r="F25" s="365"/>
      <c r="G25" s="365"/>
      <c r="H25" s="365"/>
      <c r="I25" s="366"/>
    </row>
  </sheetData>
  <sheetProtection password="CAD5" sheet="1" objects="1" scenario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dimension ref="A1:AW25"/>
  <sheetViews>
    <sheetView tabSelected="1" zoomScale="90" zoomScaleNormal="90" workbookViewId="0">
      <selection sqref="A1:C1"/>
    </sheetView>
  </sheetViews>
  <sheetFormatPr defaultRowHeight="12.75"/>
  <cols>
    <col min="1" max="2" width="10.7109375" style="163" customWidth="1"/>
    <col min="3" max="3" width="31" style="163" customWidth="1"/>
    <col min="4" max="34" width="12.7109375" style="163" customWidth="1"/>
    <col min="35" max="35" width="12" style="163" bestFit="1" customWidth="1"/>
    <col min="36" max="36" width="14.7109375" style="163" customWidth="1"/>
    <col min="37" max="38" width="15.5703125" style="163" customWidth="1"/>
    <col min="39" max="39" width="12" style="163" bestFit="1" customWidth="1"/>
    <col min="40" max="40" width="14.7109375" style="163" customWidth="1"/>
    <col min="41" max="41" width="15.5703125" style="163" customWidth="1"/>
    <col min="42" max="16384" width="9.140625" style="163"/>
  </cols>
  <sheetData>
    <row r="1" spans="1:49" ht="16.5" customHeight="1">
      <c r="A1" s="386" t="s">
        <v>25</v>
      </c>
      <c r="B1" s="387"/>
      <c r="C1" s="388"/>
      <c r="D1" s="389" t="s">
        <v>150</v>
      </c>
      <c r="E1" s="390"/>
      <c r="F1" s="390"/>
      <c r="G1" s="390"/>
      <c r="H1" s="390"/>
      <c r="I1" s="391"/>
      <c r="J1" s="185"/>
    </row>
    <row r="2" spans="1:49" ht="16.5" customHeight="1">
      <c r="A2" s="392" t="s">
        <v>22</v>
      </c>
      <c r="B2" s="393"/>
      <c r="C2" s="394"/>
      <c r="D2" s="395" t="str">
        <f>'PROJECT ID|INSTRUCTIONS'!C4</f>
        <v xml:space="preserve">DEEP Enterprise Online Case Management System </v>
      </c>
      <c r="E2" s="396"/>
      <c r="F2" s="396"/>
      <c r="G2" s="396"/>
      <c r="H2" s="396"/>
      <c r="I2" s="397"/>
      <c r="J2" s="185"/>
    </row>
    <row r="3" spans="1:49" ht="16.5" customHeight="1">
      <c r="A3" s="398" t="s">
        <v>26</v>
      </c>
      <c r="B3" s="399"/>
      <c r="C3" s="400"/>
      <c r="D3" s="401"/>
      <c r="E3" s="402"/>
      <c r="F3" s="402"/>
      <c r="G3" s="402"/>
      <c r="H3" s="402"/>
      <c r="I3" s="403"/>
      <c r="J3" s="186"/>
    </row>
    <row r="4" spans="1:49" s="165" customFormat="1" ht="12" customHeight="1">
      <c r="A4" s="164" t="s">
        <v>121</v>
      </c>
      <c r="B4" s="164"/>
      <c r="C4" s="164"/>
      <c r="D4" s="164"/>
      <c r="E4" s="164"/>
      <c r="F4" s="164"/>
      <c r="G4" s="164"/>
      <c r="H4" s="164"/>
      <c r="I4" s="164"/>
      <c r="J4" s="164"/>
      <c r="K4" s="164"/>
      <c r="L4" s="164"/>
      <c r="M4" s="164"/>
      <c r="N4" s="164"/>
      <c r="O4" s="164"/>
      <c r="Q4" s="163"/>
      <c r="R4" s="163"/>
      <c r="S4" s="163"/>
      <c r="T4" s="163"/>
      <c r="U4" s="163"/>
      <c r="V4" s="163"/>
      <c r="W4" s="163"/>
      <c r="X4" s="163"/>
      <c r="Y4" s="163"/>
      <c r="Z4" s="163"/>
      <c r="AA4" s="163"/>
      <c r="AB4" s="163"/>
      <c r="AC4" s="163"/>
      <c r="AD4" s="163"/>
      <c r="AE4" s="163"/>
      <c r="AF4" s="163"/>
      <c r="AG4" s="163"/>
      <c r="AH4" s="163"/>
    </row>
    <row r="5" spans="1:49" s="168" customFormat="1" ht="18" customHeight="1">
      <c r="A5" s="377" t="s">
        <v>122</v>
      </c>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9"/>
      <c r="AD5" s="379"/>
      <c r="AE5" s="379"/>
      <c r="AF5" s="379"/>
      <c r="AG5" s="379"/>
      <c r="AH5" s="379"/>
      <c r="AI5" s="379"/>
      <c r="AJ5" s="379"/>
      <c r="AK5" s="379"/>
      <c r="AL5" s="379"/>
      <c r="AM5" s="378"/>
      <c r="AN5" s="166"/>
      <c r="AO5" s="167"/>
      <c r="AP5" s="163"/>
      <c r="AQ5" s="163"/>
      <c r="AR5" s="163"/>
      <c r="AS5" s="163"/>
      <c r="AT5" s="163"/>
      <c r="AU5" s="163"/>
      <c r="AV5" s="163"/>
      <c r="AW5" s="163"/>
    </row>
    <row r="6" spans="1:49" s="168" customFormat="1" ht="18" customHeight="1">
      <c r="A6" s="169"/>
      <c r="B6" s="170"/>
      <c r="C6" s="171"/>
      <c r="D6" s="187"/>
      <c r="E6" s="380" t="s">
        <v>123</v>
      </c>
      <c r="F6" s="381"/>
      <c r="G6" s="381"/>
      <c r="H6" s="381"/>
      <c r="I6" s="381"/>
      <c r="J6" s="382"/>
      <c r="K6" s="380" t="s">
        <v>124</v>
      </c>
      <c r="L6" s="381"/>
      <c r="M6" s="381"/>
      <c r="N6" s="381"/>
      <c r="O6" s="383"/>
      <c r="P6" s="382"/>
      <c r="Q6" s="380" t="s">
        <v>125</v>
      </c>
      <c r="R6" s="381"/>
      <c r="S6" s="381"/>
      <c r="T6" s="381"/>
      <c r="U6" s="383"/>
      <c r="V6" s="382"/>
      <c r="W6" s="380" t="s">
        <v>126</v>
      </c>
      <c r="X6" s="381"/>
      <c r="Y6" s="381"/>
      <c r="Z6" s="381"/>
      <c r="AA6" s="383"/>
      <c r="AB6" s="382"/>
      <c r="AC6" s="380" t="s">
        <v>127</v>
      </c>
      <c r="AD6" s="381"/>
      <c r="AE6" s="381"/>
      <c r="AF6" s="381"/>
      <c r="AG6" s="383"/>
      <c r="AH6" s="382"/>
      <c r="AI6" s="380" t="s">
        <v>128</v>
      </c>
      <c r="AJ6" s="384"/>
      <c r="AK6" s="384"/>
      <c r="AL6" s="385"/>
      <c r="AM6" s="381" t="s">
        <v>129</v>
      </c>
      <c r="AN6" s="384"/>
      <c r="AO6" s="385"/>
    </row>
    <row r="7" spans="1:49" s="168" customFormat="1" ht="63.75" customHeight="1" thickBot="1">
      <c r="A7" s="169"/>
      <c r="B7" s="170" t="s">
        <v>14</v>
      </c>
      <c r="C7" s="171" t="s">
        <v>15</v>
      </c>
      <c r="D7" s="172" t="s">
        <v>148</v>
      </c>
      <c r="E7" s="172" t="s">
        <v>130</v>
      </c>
      <c r="F7" s="172" t="s">
        <v>131</v>
      </c>
      <c r="G7" s="172" t="s">
        <v>132</v>
      </c>
      <c r="H7" s="172" t="s">
        <v>133</v>
      </c>
      <c r="I7" s="172" t="s">
        <v>134</v>
      </c>
      <c r="J7" s="172" t="s">
        <v>135</v>
      </c>
      <c r="K7" s="172" t="s">
        <v>136</v>
      </c>
      <c r="L7" s="172" t="s">
        <v>137</v>
      </c>
      <c r="M7" s="172" t="s">
        <v>138</v>
      </c>
      <c r="N7" s="172" t="s">
        <v>133</v>
      </c>
      <c r="O7" s="172" t="s">
        <v>134</v>
      </c>
      <c r="P7" s="172" t="s">
        <v>135</v>
      </c>
      <c r="Q7" s="172" t="s">
        <v>139</v>
      </c>
      <c r="R7" s="172" t="s">
        <v>137</v>
      </c>
      <c r="S7" s="172" t="s">
        <v>138</v>
      </c>
      <c r="T7" s="172" t="s">
        <v>133</v>
      </c>
      <c r="U7" s="172" t="s">
        <v>134</v>
      </c>
      <c r="V7" s="172" t="s">
        <v>135</v>
      </c>
      <c r="W7" s="173" t="s">
        <v>140</v>
      </c>
      <c r="X7" s="173" t="s">
        <v>137</v>
      </c>
      <c r="Y7" s="173" t="s">
        <v>138</v>
      </c>
      <c r="Z7" s="173" t="s">
        <v>133</v>
      </c>
      <c r="AA7" s="173" t="s">
        <v>134</v>
      </c>
      <c r="AB7" s="173" t="s">
        <v>135</v>
      </c>
      <c r="AC7" s="173" t="s">
        <v>141</v>
      </c>
      <c r="AD7" s="173" t="s">
        <v>137</v>
      </c>
      <c r="AE7" s="173" t="s">
        <v>138</v>
      </c>
      <c r="AF7" s="173" t="s">
        <v>133</v>
      </c>
      <c r="AG7" s="173" t="s">
        <v>134</v>
      </c>
      <c r="AH7" s="173" t="s">
        <v>135</v>
      </c>
      <c r="AI7" s="173" t="s">
        <v>142</v>
      </c>
      <c r="AJ7" s="173" t="s">
        <v>143</v>
      </c>
      <c r="AK7" s="174" t="s">
        <v>144</v>
      </c>
      <c r="AL7" s="175" t="s">
        <v>145</v>
      </c>
      <c r="AM7" s="172" t="s">
        <v>149</v>
      </c>
      <c r="AN7" s="172" t="s">
        <v>146</v>
      </c>
      <c r="AO7" s="176" t="s">
        <v>147</v>
      </c>
    </row>
    <row r="8" spans="1:49" ht="16.5" customHeight="1" thickTop="1">
      <c r="A8" s="370" t="s">
        <v>86</v>
      </c>
      <c r="B8" s="177">
        <v>50110</v>
      </c>
      <c r="C8" s="177" t="s">
        <v>87</v>
      </c>
      <c r="D8" s="178">
        <f>'TOTAL DEVELOPMENT COSTS'!D8</f>
        <v>0</v>
      </c>
      <c r="E8" s="178">
        <f>'TOTAL DEVELOPMENT COSTS'!E8</f>
        <v>0</v>
      </c>
      <c r="F8" s="178">
        <f>E8-G8</f>
        <v>0</v>
      </c>
      <c r="G8" s="178">
        <f>'CAPITAL DEV. COSTS-THIS REQUEST'!E8</f>
        <v>0</v>
      </c>
      <c r="H8" s="178">
        <f t="shared" ref="H8:H17" si="0">G8</f>
        <v>0</v>
      </c>
      <c r="I8" s="179"/>
      <c r="J8" s="179"/>
      <c r="K8" s="178">
        <f>'TOTAL DEVELOPMENT COSTS'!F8</f>
        <v>0</v>
      </c>
      <c r="L8" s="178">
        <f>K8-M8</f>
        <v>0</v>
      </c>
      <c r="M8" s="178">
        <f>'CAPITAL DEV. COSTS-THIS REQUEST'!F8</f>
        <v>0</v>
      </c>
      <c r="N8" s="178">
        <v>0</v>
      </c>
      <c r="O8" s="180"/>
      <c r="P8" s="180"/>
      <c r="Q8" s="178">
        <f>'TOTAL DEVELOPMENT COSTS'!G8</f>
        <v>0</v>
      </c>
      <c r="R8" s="178">
        <f>Q8-S8</f>
        <v>0</v>
      </c>
      <c r="S8" s="178">
        <f>'CAPITAL DEV. COSTS-THIS REQUEST'!G8</f>
        <v>0</v>
      </c>
      <c r="T8" s="178">
        <v>0</v>
      </c>
      <c r="U8" s="180"/>
      <c r="V8" s="180"/>
      <c r="W8" s="178">
        <f>'TOTAL DEVELOPMENT COSTS'!H8</f>
        <v>0</v>
      </c>
      <c r="X8" s="178">
        <f>W8-Y8</f>
        <v>0</v>
      </c>
      <c r="Y8" s="178">
        <f>'CAPITAL DEV. COSTS-THIS REQUEST'!H8</f>
        <v>0</v>
      </c>
      <c r="Z8" s="178">
        <v>0</v>
      </c>
      <c r="AA8" s="180"/>
      <c r="AB8" s="180"/>
      <c r="AC8" s="178">
        <f>'TOTAL DEVELOPMENT COSTS'!I8</f>
        <v>0</v>
      </c>
      <c r="AD8" s="178">
        <f>AC8-AE8</f>
        <v>0</v>
      </c>
      <c r="AE8" s="178">
        <f>'CAPITAL DEV. COSTS-THIS REQUEST'!I8</f>
        <v>0</v>
      </c>
      <c r="AF8" s="178">
        <v>0</v>
      </c>
      <c r="AG8" s="180"/>
      <c r="AH8" s="180"/>
      <c r="AI8" s="178">
        <f>G8+M8+S8+Y8+AE8</f>
        <v>0</v>
      </c>
      <c r="AJ8" s="178">
        <f>H8+N8+T8+Z8+AF8</f>
        <v>0</v>
      </c>
      <c r="AK8" s="178">
        <f>J8+P8+V8+AB8+AH8</f>
        <v>0</v>
      </c>
      <c r="AL8" s="178">
        <f t="shared" ref="AL8:AL23" si="1">AJ8-AK8</f>
        <v>0</v>
      </c>
      <c r="AM8" s="178">
        <f>SUM(D8,I8,J8,O8,P8,U8,V8,AA8,AB8,AG8,AH8)</f>
        <v>0</v>
      </c>
      <c r="AN8" s="178">
        <f>SUM(D8,E8,K8,Q8,W8,AC8)</f>
        <v>0</v>
      </c>
      <c r="AO8" s="178">
        <f>SUM(AN8-AM8)</f>
        <v>0</v>
      </c>
    </row>
    <row r="9" spans="1:49" ht="16.5" customHeight="1">
      <c r="A9" s="371"/>
      <c r="B9" s="177">
        <v>50130</v>
      </c>
      <c r="C9" s="177" t="s">
        <v>88</v>
      </c>
      <c r="D9" s="178">
        <f>'TOTAL DEVELOPMENT COSTS'!D9</f>
        <v>0</v>
      </c>
      <c r="E9" s="178">
        <f>'TOTAL DEVELOPMENT COSTS'!E9</f>
        <v>0</v>
      </c>
      <c r="F9" s="178">
        <f>E9-G9</f>
        <v>0</v>
      </c>
      <c r="G9" s="178">
        <f>'CAPITAL DEV. COSTS-THIS REQUEST'!E9</f>
        <v>0</v>
      </c>
      <c r="H9" s="178">
        <f t="shared" si="0"/>
        <v>0</v>
      </c>
      <c r="I9" s="179"/>
      <c r="J9" s="179"/>
      <c r="K9" s="178">
        <f>'TOTAL DEVELOPMENT COSTS'!F9</f>
        <v>0</v>
      </c>
      <c r="L9" s="178">
        <f>K9-M9</f>
        <v>0</v>
      </c>
      <c r="M9" s="178">
        <f>'CAPITAL DEV. COSTS-THIS REQUEST'!F9</f>
        <v>0</v>
      </c>
      <c r="N9" s="178">
        <v>0</v>
      </c>
      <c r="O9" s="180"/>
      <c r="P9" s="180"/>
      <c r="Q9" s="178">
        <f>'TOTAL DEVELOPMENT COSTS'!G9</f>
        <v>0</v>
      </c>
      <c r="R9" s="178">
        <f t="shared" ref="R9:R10" si="2">Q9-S9</f>
        <v>0</v>
      </c>
      <c r="S9" s="178">
        <f>'CAPITAL DEV. COSTS-THIS REQUEST'!G9</f>
        <v>0</v>
      </c>
      <c r="T9" s="178">
        <v>0</v>
      </c>
      <c r="U9" s="180"/>
      <c r="V9" s="180"/>
      <c r="W9" s="178">
        <f>'TOTAL DEVELOPMENT COSTS'!H9</f>
        <v>0</v>
      </c>
      <c r="X9" s="178">
        <f t="shared" ref="X9:X21" si="3">W9-Y9</f>
        <v>0</v>
      </c>
      <c r="Y9" s="178">
        <f>'CAPITAL DEV. COSTS-THIS REQUEST'!H9</f>
        <v>0</v>
      </c>
      <c r="Z9" s="178">
        <v>0</v>
      </c>
      <c r="AA9" s="180"/>
      <c r="AB9" s="180"/>
      <c r="AC9" s="178">
        <f>'TOTAL DEVELOPMENT COSTS'!I9</f>
        <v>0</v>
      </c>
      <c r="AD9" s="178">
        <f t="shared" ref="AD9:AD21" si="4">AC9-AE9</f>
        <v>0</v>
      </c>
      <c r="AE9" s="178">
        <f>'CAPITAL DEV. COSTS-THIS REQUEST'!I9</f>
        <v>0</v>
      </c>
      <c r="AF9" s="178">
        <v>0</v>
      </c>
      <c r="AG9" s="180"/>
      <c r="AH9" s="180"/>
      <c r="AI9" s="178">
        <f t="shared" ref="AI9:AJ21" si="5">G9+M9+S9+Y9+AE9</f>
        <v>0</v>
      </c>
      <c r="AJ9" s="178">
        <f t="shared" si="5"/>
        <v>0</v>
      </c>
      <c r="AK9" s="178">
        <f>J9+P9+V9+AB9+AH9</f>
        <v>0</v>
      </c>
      <c r="AL9" s="178">
        <f t="shared" si="1"/>
        <v>0</v>
      </c>
      <c r="AM9" s="178">
        <f t="shared" ref="AM9:AM21" si="6">SUM(D9,I9,J9,O9,P9,U9,V9,AA9,AB9,AG9,AH9)</f>
        <v>0</v>
      </c>
      <c r="AN9" s="178">
        <f t="shared" ref="AN9:AN21" si="7">SUM(D9,E9,K9,Q9,W9,AC9)</f>
        <v>0</v>
      </c>
      <c r="AO9" s="178">
        <f>SUM(AN9-AM9)</f>
        <v>0</v>
      </c>
    </row>
    <row r="10" spans="1:49" ht="16.5" customHeight="1" thickBot="1">
      <c r="A10" s="371"/>
      <c r="B10" s="177">
        <v>50170</v>
      </c>
      <c r="C10" s="177" t="s">
        <v>89</v>
      </c>
      <c r="D10" s="178">
        <f>'TOTAL DEVELOPMENT COSTS'!D10</f>
        <v>50000</v>
      </c>
      <c r="E10" s="178">
        <f>'TOTAL DEVELOPMENT COSTS'!E10</f>
        <v>50000</v>
      </c>
      <c r="F10" s="178">
        <f>E10-G10</f>
        <v>50000</v>
      </c>
      <c r="G10" s="178">
        <f>'CAPITAL DEV. COSTS-THIS REQUEST'!E10</f>
        <v>0</v>
      </c>
      <c r="H10" s="178">
        <f t="shared" si="0"/>
        <v>0</v>
      </c>
      <c r="I10" s="179"/>
      <c r="J10" s="179"/>
      <c r="K10" s="178">
        <f>'TOTAL DEVELOPMENT COSTS'!F10</f>
        <v>50000</v>
      </c>
      <c r="L10" s="178">
        <f>K10-M10</f>
        <v>50000</v>
      </c>
      <c r="M10" s="178">
        <f>'CAPITAL DEV. COSTS-THIS REQUEST'!F10</f>
        <v>0</v>
      </c>
      <c r="N10" s="178">
        <v>0</v>
      </c>
      <c r="O10" s="180"/>
      <c r="P10" s="180"/>
      <c r="Q10" s="178">
        <f>'TOTAL DEVELOPMENT COSTS'!G10</f>
        <v>50000</v>
      </c>
      <c r="R10" s="178">
        <f t="shared" si="2"/>
        <v>50000</v>
      </c>
      <c r="S10" s="178">
        <f>'CAPITAL DEV. COSTS-THIS REQUEST'!G10</f>
        <v>0</v>
      </c>
      <c r="T10" s="178">
        <v>0</v>
      </c>
      <c r="U10" s="180"/>
      <c r="V10" s="180"/>
      <c r="W10" s="178">
        <f>'TOTAL DEVELOPMENT COSTS'!H10</f>
        <v>0</v>
      </c>
      <c r="X10" s="178">
        <f t="shared" si="3"/>
        <v>0</v>
      </c>
      <c r="Y10" s="178">
        <f>'CAPITAL DEV. COSTS-THIS REQUEST'!H10</f>
        <v>0</v>
      </c>
      <c r="Z10" s="178">
        <v>0</v>
      </c>
      <c r="AA10" s="180"/>
      <c r="AB10" s="180"/>
      <c r="AC10" s="178">
        <f>'TOTAL DEVELOPMENT COSTS'!I10</f>
        <v>0</v>
      </c>
      <c r="AD10" s="178">
        <f t="shared" si="4"/>
        <v>0</v>
      </c>
      <c r="AE10" s="178">
        <f>'CAPITAL DEV. COSTS-THIS REQUEST'!I10</f>
        <v>0</v>
      </c>
      <c r="AF10" s="178">
        <v>0</v>
      </c>
      <c r="AG10" s="180"/>
      <c r="AH10" s="180"/>
      <c r="AI10" s="178">
        <f t="shared" si="5"/>
        <v>0</v>
      </c>
      <c r="AJ10" s="178">
        <f t="shared" si="5"/>
        <v>0</v>
      </c>
      <c r="AK10" s="178">
        <f>J10+P10+V10+AB10+AH10</f>
        <v>0</v>
      </c>
      <c r="AL10" s="178">
        <f t="shared" si="1"/>
        <v>0</v>
      </c>
      <c r="AM10" s="178">
        <f t="shared" si="6"/>
        <v>50000</v>
      </c>
      <c r="AN10" s="178">
        <f t="shared" si="7"/>
        <v>200000</v>
      </c>
      <c r="AO10" s="178">
        <f t="shared" ref="AO10:AO23" si="8">SUM(AN10-AM10)</f>
        <v>150000</v>
      </c>
    </row>
    <row r="11" spans="1:49" ht="16.5" customHeight="1" thickTop="1" thickBot="1">
      <c r="A11" s="372"/>
      <c r="B11" s="181" t="s">
        <v>16</v>
      </c>
      <c r="C11" s="181"/>
      <c r="D11" s="182">
        <f t="shared" ref="D11:J11" si="9">SUM(D8:D10)</f>
        <v>50000</v>
      </c>
      <c r="E11" s="182">
        <f t="shared" si="9"/>
        <v>50000</v>
      </c>
      <c r="F11" s="182">
        <f t="shared" si="9"/>
        <v>50000</v>
      </c>
      <c r="G11" s="182">
        <f t="shared" si="9"/>
        <v>0</v>
      </c>
      <c r="H11" s="182">
        <f t="shared" si="9"/>
        <v>0</v>
      </c>
      <c r="I11" s="183">
        <f t="shared" si="9"/>
        <v>0</v>
      </c>
      <c r="J11" s="183">
        <f t="shared" si="9"/>
        <v>0</v>
      </c>
      <c r="K11" s="182">
        <f t="shared" ref="K11:Q11" si="10">SUM(K8:K10)</f>
        <v>50000</v>
      </c>
      <c r="L11" s="182">
        <f>SUM(L8:L10)</f>
        <v>50000</v>
      </c>
      <c r="M11" s="182">
        <f>SUM(M8:M10)</f>
        <v>0</v>
      </c>
      <c r="N11" s="182">
        <f>SUM(N8:N10)</f>
        <v>0</v>
      </c>
      <c r="O11" s="183">
        <f t="shared" si="10"/>
        <v>0</v>
      </c>
      <c r="P11" s="183">
        <f t="shared" si="10"/>
        <v>0</v>
      </c>
      <c r="Q11" s="182">
        <f t="shared" si="10"/>
        <v>50000</v>
      </c>
      <c r="R11" s="182">
        <f>SUM(R8:R10)</f>
        <v>50000</v>
      </c>
      <c r="S11" s="182">
        <f>SUM(S8:S10)</f>
        <v>0</v>
      </c>
      <c r="T11" s="182">
        <f>SUM(T8:T10)</f>
        <v>0</v>
      </c>
      <c r="U11" s="183">
        <f t="shared" ref="U11:W11" si="11">SUM(U8:U10)</f>
        <v>0</v>
      </c>
      <c r="V11" s="183">
        <f t="shared" si="11"/>
        <v>0</v>
      </c>
      <c r="W11" s="182">
        <f t="shared" si="11"/>
        <v>0</v>
      </c>
      <c r="X11" s="182">
        <f>SUM(X8:X10)</f>
        <v>0</v>
      </c>
      <c r="Y11" s="182">
        <f>SUM(Y8:Y10)</f>
        <v>0</v>
      </c>
      <c r="Z11" s="182">
        <f>SUM(Z8:Z10)</f>
        <v>0</v>
      </c>
      <c r="AA11" s="183">
        <f t="shared" ref="AA11:AC11" si="12">SUM(AA8:AA10)</f>
        <v>0</v>
      </c>
      <c r="AB11" s="183">
        <f t="shared" si="12"/>
        <v>0</v>
      </c>
      <c r="AC11" s="182">
        <f t="shared" si="12"/>
        <v>0</v>
      </c>
      <c r="AD11" s="182">
        <f>SUM(AD8:AD10)</f>
        <v>0</v>
      </c>
      <c r="AE11" s="182">
        <f>SUM(AE8:AE10)</f>
        <v>0</v>
      </c>
      <c r="AF11" s="182">
        <f>SUM(AF8:AF10)</f>
        <v>0</v>
      </c>
      <c r="AG11" s="183">
        <f t="shared" ref="AG11:AN11" si="13">SUM(AG8:AG10)</f>
        <v>0</v>
      </c>
      <c r="AH11" s="183">
        <f t="shared" si="13"/>
        <v>0</v>
      </c>
      <c r="AI11" s="182">
        <f t="shared" si="13"/>
        <v>0</v>
      </c>
      <c r="AJ11" s="182">
        <f t="shared" si="13"/>
        <v>0</v>
      </c>
      <c r="AK11" s="182">
        <f t="shared" si="13"/>
        <v>0</v>
      </c>
      <c r="AL11" s="182">
        <f t="shared" si="13"/>
        <v>0</v>
      </c>
      <c r="AM11" s="182">
        <f t="shared" si="13"/>
        <v>50000</v>
      </c>
      <c r="AN11" s="182">
        <f t="shared" si="13"/>
        <v>200000</v>
      </c>
      <c r="AO11" s="182">
        <f t="shared" si="8"/>
        <v>150000</v>
      </c>
    </row>
    <row r="12" spans="1:49" ht="16.5" customHeight="1" thickTop="1">
      <c r="A12" s="373" t="s">
        <v>85</v>
      </c>
      <c r="B12" s="240" t="s">
        <v>151</v>
      </c>
      <c r="C12" s="177" t="s">
        <v>90</v>
      </c>
      <c r="D12" s="178">
        <f>'TOTAL DEVELOPMENT COSTS'!D12</f>
        <v>4200000</v>
      </c>
      <c r="E12" s="178">
        <f>'TOTAL DEVELOPMENT COSTS'!E12</f>
        <v>1570000</v>
      </c>
      <c r="F12" s="178">
        <f t="shared" ref="F12:F17" si="14">E12-G12</f>
        <v>420000</v>
      </c>
      <c r="G12" s="178">
        <f>'CAPITAL DEV. COSTS-THIS REQUEST'!E12</f>
        <v>1150000</v>
      </c>
      <c r="H12" s="178">
        <f t="shared" si="0"/>
        <v>1150000</v>
      </c>
      <c r="I12" s="179">
        <f>41573+130000+402525</f>
        <v>574098</v>
      </c>
      <c r="J12" s="179">
        <f>11100+72000</f>
        <v>83100</v>
      </c>
      <c r="K12" s="178">
        <f>'TOTAL DEVELOPMENT COSTS'!F12</f>
        <v>4080000</v>
      </c>
      <c r="L12" s="178">
        <f t="shared" ref="L12:L17" si="15">K12-M12</f>
        <v>330000</v>
      </c>
      <c r="M12" s="178">
        <f>'CAPITAL DEV. COSTS-THIS REQUEST'!F12</f>
        <v>3750000</v>
      </c>
      <c r="N12" s="178">
        <v>0</v>
      </c>
      <c r="O12" s="180"/>
      <c r="P12" s="180"/>
      <c r="Q12" s="178">
        <f>'TOTAL DEVELOPMENT COSTS'!G12</f>
        <v>3130000</v>
      </c>
      <c r="R12" s="178">
        <f t="shared" ref="R12:R17" si="16">Q12-S12</f>
        <v>80000</v>
      </c>
      <c r="S12" s="178">
        <f>'CAPITAL DEV. COSTS-THIS REQUEST'!G12</f>
        <v>3050000</v>
      </c>
      <c r="T12" s="178">
        <v>0</v>
      </c>
      <c r="U12" s="180"/>
      <c r="V12" s="180"/>
      <c r="W12" s="178">
        <f>'TOTAL DEVELOPMENT COSTS'!H12</f>
        <v>130000</v>
      </c>
      <c r="X12" s="178">
        <f t="shared" si="3"/>
        <v>130000</v>
      </c>
      <c r="Y12" s="178">
        <f>'CAPITAL DEV. COSTS-THIS REQUEST'!H12</f>
        <v>0</v>
      </c>
      <c r="Z12" s="178">
        <v>0</v>
      </c>
      <c r="AA12" s="180"/>
      <c r="AB12" s="180"/>
      <c r="AC12" s="178">
        <f>'TOTAL DEVELOPMENT COSTS'!I12</f>
        <v>130000</v>
      </c>
      <c r="AD12" s="178">
        <f t="shared" si="4"/>
        <v>130000</v>
      </c>
      <c r="AE12" s="178">
        <f>'CAPITAL DEV. COSTS-THIS REQUEST'!I12</f>
        <v>0</v>
      </c>
      <c r="AF12" s="178">
        <v>0</v>
      </c>
      <c r="AG12" s="180"/>
      <c r="AH12" s="180"/>
      <c r="AI12" s="178">
        <f t="shared" si="5"/>
        <v>7950000</v>
      </c>
      <c r="AJ12" s="178">
        <f t="shared" si="5"/>
        <v>1150000</v>
      </c>
      <c r="AK12" s="178">
        <f>J12+P12+V12+AB12+AH12</f>
        <v>83100</v>
      </c>
      <c r="AL12" s="178">
        <f t="shared" si="1"/>
        <v>1066900</v>
      </c>
      <c r="AM12" s="178">
        <f t="shared" si="6"/>
        <v>4857198</v>
      </c>
      <c r="AN12" s="178">
        <f t="shared" si="7"/>
        <v>13240000</v>
      </c>
      <c r="AO12" s="178">
        <f t="shared" si="8"/>
        <v>8382802</v>
      </c>
    </row>
    <row r="13" spans="1:49" ht="16.5" customHeight="1">
      <c r="A13" s="371"/>
      <c r="B13" s="177">
        <v>53720</v>
      </c>
      <c r="C13" s="177" t="s">
        <v>91</v>
      </c>
      <c r="D13" s="178">
        <f>'TOTAL DEVELOPMENT COSTS'!D13</f>
        <v>0</v>
      </c>
      <c r="E13" s="178">
        <f>'TOTAL DEVELOPMENT COSTS'!E13</f>
        <v>0</v>
      </c>
      <c r="F13" s="178">
        <f t="shared" si="14"/>
        <v>0</v>
      </c>
      <c r="G13" s="178">
        <f>'CAPITAL DEV. COSTS-THIS REQUEST'!E13</f>
        <v>0</v>
      </c>
      <c r="H13" s="178">
        <f t="shared" si="0"/>
        <v>0</v>
      </c>
      <c r="I13" s="179"/>
      <c r="J13" s="179"/>
      <c r="K13" s="178">
        <f>'TOTAL DEVELOPMENT COSTS'!F13</f>
        <v>0</v>
      </c>
      <c r="L13" s="178">
        <f t="shared" si="15"/>
        <v>0</v>
      </c>
      <c r="M13" s="178">
        <f>'CAPITAL DEV. COSTS-THIS REQUEST'!F13</f>
        <v>0</v>
      </c>
      <c r="N13" s="178">
        <v>0</v>
      </c>
      <c r="O13" s="180"/>
      <c r="P13" s="180"/>
      <c r="Q13" s="178">
        <f>'TOTAL DEVELOPMENT COSTS'!G13</f>
        <v>0</v>
      </c>
      <c r="R13" s="178">
        <f t="shared" si="16"/>
        <v>0</v>
      </c>
      <c r="S13" s="178">
        <f>'CAPITAL DEV. COSTS-THIS REQUEST'!G13</f>
        <v>0</v>
      </c>
      <c r="T13" s="178">
        <v>0</v>
      </c>
      <c r="U13" s="180"/>
      <c r="V13" s="180"/>
      <c r="W13" s="178">
        <f>'TOTAL DEVELOPMENT COSTS'!H13</f>
        <v>0</v>
      </c>
      <c r="X13" s="178">
        <f t="shared" si="3"/>
        <v>0</v>
      </c>
      <c r="Y13" s="178">
        <f>'CAPITAL DEV. COSTS-THIS REQUEST'!H13</f>
        <v>0</v>
      </c>
      <c r="Z13" s="178">
        <v>0</v>
      </c>
      <c r="AA13" s="180"/>
      <c r="AB13" s="180"/>
      <c r="AC13" s="178">
        <f>'TOTAL DEVELOPMENT COSTS'!I13</f>
        <v>0</v>
      </c>
      <c r="AD13" s="178">
        <f t="shared" si="4"/>
        <v>0</v>
      </c>
      <c r="AE13" s="178">
        <f>'CAPITAL DEV. COSTS-THIS REQUEST'!I13</f>
        <v>0</v>
      </c>
      <c r="AF13" s="178">
        <v>0</v>
      </c>
      <c r="AG13" s="180"/>
      <c r="AH13" s="180"/>
      <c r="AI13" s="178">
        <f t="shared" si="5"/>
        <v>0</v>
      </c>
      <c r="AJ13" s="178">
        <f t="shared" si="5"/>
        <v>0</v>
      </c>
      <c r="AK13" s="178">
        <f t="shared" ref="AK13:AK21" si="17">J13+P13+V13+AB13+AH13</f>
        <v>0</v>
      </c>
      <c r="AL13" s="178">
        <f t="shared" si="1"/>
        <v>0</v>
      </c>
      <c r="AM13" s="178">
        <f t="shared" si="6"/>
        <v>0</v>
      </c>
      <c r="AN13" s="178">
        <f t="shared" si="7"/>
        <v>0</v>
      </c>
      <c r="AO13" s="178">
        <f t="shared" si="8"/>
        <v>0</v>
      </c>
    </row>
    <row r="14" spans="1:49" ht="16.5" customHeight="1">
      <c r="A14" s="371"/>
      <c r="B14" s="177">
        <v>53735</v>
      </c>
      <c r="C14" s="177" t="s">
        <v>92</v>
      </c>
      <c r="D14" s="178">
        <f>'TOTAL DEVELOPMENT COSTS'!D14</f>
        <v>0</v>
      </c>
      <c r="E14" s="178">
        <f>'TOTAL DEVELOPMENT COSTS'!E14</f>
        <v>0</v>
      </c>
      <c r="F14" s="178">
        <f t="shared" si="14"/>
        <v>0</v>
      </c>
      <c r="G14" s="178">
        <f>'CAPITAL DEV. COSTS-THIS REQUEST'!E14</f>
        <v>0</v>
      </c>
      <c r="H14" s="178">
        <f t="shared" si="0"/>
        <v>0</v>
      </c>
      <c r="I14" s="179"/>
      <c r="J14" s="179"/>
      <c r="K14" s="178">
        <f>'TOTAL DEVELOPMENT COSTS'!F14</f>
        <v>0</v>
      </c>
      <c r="L14" s="178">
        <f t="shared" si="15"/>
        <v>0</v>
      </c>
      <c r="M14" s="178">
        <f>'CAPITAL DEV. COSTS-THIS REQUEST'!F14</f>
        <v>0</v>
      </c>
      <c r="N14" s="178">
        <v>0</v>
      </c>
      <c r="O14" s="180"/>
      <c r="P14" s="180"/>
      <c r="Q14" s="178">
        <f>'TOTAL DEVELOPMENT COSTS'!G14</f>
        <v>0</v>
      </c>
      <c r="R14" s="178">
        <f t="shared" si="16"/>
        <v>0</v>
      </c>
      <c r="S14" s="178">
        <f>'CAPITAL DEV. COSTS-THIS REQUEST'!G14</f>
        <v>0</v>
      </c>
      <c r="T14" s="178">
        <v>0</v>
      </c>
      <c r="U14" s="180"/>
      <c r="V14" s="180"/>
      <c r="W14" s="178"/>
      <c r="X14" s="178">
        <f t="shared" si="3"/>
        <v>0</v>
      </c>
      <c r="Y14" s="178">
        <v>0</v>
      </c>
      <c r="Z14" s="178">
        <v>0</v>
      </c>
      <c r="AA14" s="180"/>
      <c r="AB14" s="180"/>
      <c r="AC14" s="178">
        <f>'TOTAL DEVELOPMENT COSTS'!I14</f>
        <v>0</v>
      </c>
      <c r="AD14" s="178">
        <f t="shared" si="4"/>
        <v>0</v>
      </c>
      <c r="AE14" s="178">
        <f>'CAPITAL DEV. COSTS-THIS REQUEST'!I14</f>
        <v>0</v>
      </c>
      <c r="AF14" s="178">
        <v>0</v>
      </c>
      <c r="AG14" s="180"/>
      <c r="AH14" s="180"/>
      <c r="AI14" s="178">
        <f t="shared" si="5"/>
        <v>0</v>
      </c>
      <c r="AJ14" s="178">
        <f t="shared" si="5"/>
        <v>0</v>
      </c>
      <c r="AK14" s="178">
        <f t="shared" si="17"/>
        <v>0</v>
      </c>
      <c r="AL14" s="178">
        <f t="shared" si="1"/>
        <v>0</v>
      </c>
      <c r="AM14" s="178">
        <f t="shared" si="6"/>
        <v>0</v>
      </c>
      <c r="AN14" s="178">
        <f t="shared" si="7"/>
        <v>0</v>
      </c>
      <c r="AO14" s="178">
        <f t="shared" si="8"/>
        <v>0</v>
      </c>
    </row>
    <row r="15" spans="1:49" ht="16.5" customHeight="1">
      <c r="A15" s="371"/>
      <c r="B15" s="177">
        <v>53740</v>
      </c>
      <c r="C15" s="177" t="s">
        <v>93</v>
      </c>
      <c r="D15" s="178">
        <f>'TOTAL DEVELOPMENT COSTS'!D15</f>
        <v>100000</v>
      </c>
      <c r="E15" s="178">
        <f>'TOTAL DEVELOPMENT COSTS'!E15</f>
        <v>10000</v>
      </c>
      <c r="F15" s="178">
        <f t="shared" si="14"/>
        <v>10000</v>
      </c>
      <c r="G15" s="178">
        <f>'CAPITAL DEV. COSTS-THIS REQUEST'!E15</f>
        <v>0</v>
      </c>
      <c r="H15" s="178">
        <f t="shared" si="0"/>
        <v>0</v>
      </c>
      <c r="I15" s="179"/>
      <c r="J15" s="179"/>
      <c r="K15" s="178">
        <f>'TOTAL DEVELOPMENT COSTS'!F15</f>
        <v>10000</v>
      </c>
      <c r="L15" s="178">
        <f t="shared" si="15"/>
        <v>10000</v>
      </c>
      <c r="M15" s="178">
        <f>'CAPITAL DEV. COSTS-THIS REQUEST'!F15</f>
        <v>0</v>
      </c>
      <c r="N15" s="178">
        <v>0</v>
      </c>
      <c r="O15" s="180"/>
      <c r="P15" s="180"/>
      <c r="Q15" s="178">
        <f>'TOTAL DEVELOPMENT COSTS'!G15</f>
        <v>10000</v>
      </c>
      <c r="R15" s="178">
        <f t="shared" si="16"/>
        <v>10000</v>
      </c>
      <c r="S15" s="178">
        <f>'CAPITAL DEV. COSTS-THIS REQUEST'!G15</f>
        <v>0</v>
      </c>
      <c r="T15" s="178">
        <v>0</v>
      </c>
      <c r="U15" s="180"/>
      <c r="V15" s="180"/>
      <c r="W15" s="178">
        <f>'TOTAL DEVELOPMENT COSTS'!H15</f>
        <v>0</v>
      </c>
      <c r="X15" s="178">
        <f t="shared" si="3"/>
        <v>0</v>
      </c>
      <c r="Y15" s="178">
        <f>'CAPITAL DEV. COSTS-THIS REQUEST'!H15</f>
        <v>0</v>
      </c>
      <c r="Z15" s="178">
        <v>0</v>
      </c>
      <c r="AA15" s="180"/>
      <c r="AB15" s="180"/>
      <c r="AC15" s="178">
        <f>'TOTAL DEVELOPMENT COSTS'!I15</f>
        <v>0</v>
      </c>
      <c r="AD15" s="178">
        <f t="shared" si="4"/>
        <v>0</v>
      </c>
      <c r="AE15" s="178">
        <f>'CAPITAL DEV. COSTS-THIS REQUEST'!I15</f>
        <v>0</v>
      </c>
      <c r="AF15" s="178">
        <v>0</v>
      </c>
      <c r="AG15" s="180"/>
      <c r="AH15" s="180"/>
      <c r="AI15" s="178">
        <f t="shared" si="5"/>
        <v>0</v>
      </c>
      <c r="AJ15" s="178">
        <f t="shared" si="5"/>
        <v>0</v>
      </c>
      <c r="AK15" s="178">
        <f t="shared" si="17"/>
        <v>0</v>
      </c>
      <c r="AL15" s="178">
        <f t="shared" si="1"/>
        <v>0</v>
      </c>
      <c r="AM15" s="178">
        <f t="shared" si="6"/>
        <v>100000</v>
      </c>
      <c r="AN15" s="178">
        <f t="shared" si="7"/>
        <v>130000</v>
      </c>
      <c r="AO15" s="178">
        <f t="shared" si="8"/>
        <v>30000</v>
      </c>
    </row>
    <row r="16" spans="1:49" ht="16.5" customHeight="1">
      <c r="A16" s="371"/>
      <c r="B16" s="177">
        <v>53755</v>
      </c>
      <c r="C16" s="177" t="s">
        <v>94</v>
      </c>
      <c r="D16" s="178">
        <f>'TOTAL DEVELOPMENT COSTS'!D16</f>
        <v>163500</v>
      </c>
      <c r="E16" s="178">
        <f>'TOTAL DEVELOPMENT COSTS'!E16</f>
        <v>20000</v>
      </c>
      <c r="F16" s="178">
        <f t="shared" si="14"/>
        <v>20000</v>
      </c>
      <c r="G16" s="178">
        <f>'CAPITAL DEV. COSTS-THIS REQUEST'!E16</f>
        <v>0</v>
      </c>
      <c r="H16" s="178">
        <f t="shared" si="0"/>
        <v>0</v>
      </c>
      <c r="I16" s="179"/>
      <c r="J16" s="179"/>
      <c r="K16" s="178">
        <f>'TOTAL DEVELOPMENT COSTS'!F16</f>
        <v>20000</v>
      </c>
      <c r="L16" s="178">
        <f t="shared" si="15"/>
        <v>20000</v>
      </c>
      <c r="M16" s="178">
        <f>'CAPITAL DEV. COSTS-THIS REQUEST'!F16</f>
        <v>0</v>
      </c>
      <c r="N16" s="178">
        <v>0</v>
      </c>
      <c r="O16" s="180"/>
      <c r="P16" s="180"/>
      <c r="Q16" s="178">
        <f>'TOTAL DEVELOPMENT COSTS'!G16</f>
        <v>20000</v>
      </c>
      <c r="R16" s="178">
        <f t="shared" si="16"/>
        <v>20000</v>
      </c>
      <c r="S16" s="178">
        <f>'CAPITAL DEV. COSTS-THIS REQUEST'!G16</f>
        <v>0</v>
      </c>
      <c r="T16" s="178">
        <v>0</v>
      </c>
      <c r="U16" s="180"/>
      <c r="V16" s="180"/>
      <c r="W16" s="178">
        <f>'TOTAL DEVELOPMENT COSTS'!H16</f>
        <v>0</v>
      </c>
      <c r="X16" s="178">
        <f t="shared" si="3"/>
        <v>0</v>
      </c>
      <c r="Y16" s="178">
        <f>'CAPITAL DEV. COSTS-THIS REQUEST'!H16</f>
        <v>0</v>
      </c>
      <c r="Z16" s="178">
        <v>0</v>
      </c>
      <c r="AA16" s="180"/>
      <c r="AB16" s="180"/>
      <c r="AC16" s="178">
        <f>'TOTAL DEVELOPMENT COSTS'!I16</f>
        <v>0</v>
      </c>
      <c r="AD16" s="178">
        <f t="shared" si="4"/>
        <v>0</v>
      </c>
      <c r="AE16" s="178">
        <f>'CAPITAL DEV. COSTS-THIS REQUEST'!I16</f>
        <v>0</v>
      </c>
      <c r="AF16" s="178">
        <v>0</v>
      </c>
      <c r="AG16" s="180"/>
      <c r="AH16" s="180"/>
      <c r="AI16" s="178">
        <f t="shared" si="5"/>
        <v>0</v>
      </c>
      <c r="AJ16" s="178">
        <f t="shared" si="5"/>
        <v>0</v>
      </c>
      <c r="AK16" s="178">
        <f t="shared" si="17"/>
        <v>0</v>
      </c>
      <c r="AL16" s="178">
        <f t="shared" si="1"/>
        <v>0</v>
      </c>
      <c r="AM16" s="178">
        <f t="shared" si="6"/>
        <v>163500</v>
      </c>
      <c r="AN16" s="178">
        <f t="shared" si="7"/>
        <v>223500</v>
      </c>
      <c r="AO16" s="178">
        <f t="shared" si="8"/>
        <v>60000</v>
      </c>
    </row>
    <row r="17" spans="1:41" ht="16.5" customHeight="1" thickBot="1">
      <c r="A17" s="371"/>
      <c r="B17" s="177">
        <v>53760</v>
      </c>
      <c r="C17" s="177" t="s">
        <v>95</v>
      </c>
      <c r="D17" s="178">
        <f>'TOTAL DEVELOPMENT COSTS'!D17</f>
        <v>0</v>
      </c>
      <c r="E17" s="178">
        <f>'TOTAL DEVELOPMENT COSTS'!E17</f>
        <v>10000</v>
      </c>
      <c r="F17" s="178">
        <f t="shared" si="14"/>
        <v>10000</v>
      </c>
      <c r="G17" s="178">
        <f>'CAPITAL DEV. COSTS-THIS REQUEST'!E17</f>
        <v>0</v>
      </c>
      <c r="H17" s="178">
        <f t="shared" si="0"/>
        <v>0</v>
      </c>
      <c r="I17" s="179"/>
      <c r="J17" s="179"/>
      <c r="K17" s="178">
        <f>'TOTAL DEVELOPMENT COSTS'!F17</f>
        <v>10000</v>
      </c>
      <c r="L17" s="178">
        <f t="shared" si="15"/>
        <v>10000</v>
      </c>
      <c r="M17" s="178">
        <f>'CAPITAL DEV. COSTS-THIS REQUEST'!F17</f>
        <v>0</v>
      </c>
      <c r="N17" s="178">
        <v>0</v>
      </c>
      <c r="O17" s="180"/>
      <c r="P17" s="180"/>
      <c r="Q17" s="178">
        <f>'TOTAL DEVELOPMENT COSTS'!G17</f>
        <v>10000</v>
      </c>
      <c r="R17" s="178">
        <f t="shared" si="16"/>
        <v>10000</v>
      </c>
      <c r="S17" s="178">
        <f>'CAPITAL DEV. COSTS-THIS REQUEST'!G17</f>
        <v>0</v>
      </c>
      <c r="T17" s="178">
        <v>0</v>
      </c>
      <c r="U17" s="180"/>
      <c r="V17" s="180"/>
      <c r="W17" s="178">
        <f>'TOTAL DEVELOPMENT COSTS'!H17</f>
        <v>0</v>
      </c>
      <c r="X17" s="178">
        <f t="shared" si="3"/>
        <v>0</v>
      </c>
      <c r="Y17" s="178">
        <f>'CAPITAL DEV. COSTS-THIS REQUEST'!H17</f>
        <v>0</v>
      </c>
      <c r="Z17" s="178">
        <v>0</v>
      </c>
      <c r="AA17" s="180"/>
      <c r="AB17" s="180"/>
      <c r="AC17" s="178">
        <f>'TOTAL DEVELOPMENT COSTS'!I17</f>
        <v>0</v>
      </c>
      <c r="AD17" s="178">
        <f t="shared" si="4"/>
        <v>0</v>
      </c>
      <c r="AE17" s="178">
        <f>'CAPITAL DEV. COSTS-THIS REQUEST'!I17</f>
        <v>0</v>
      </c>
      <c r="AF17" s="178">
        <v>0</v>
      </c>
      <c r="AG17" s="180"/>
      <c r="AH17" s="180"/>
      <c r="AI17" s="178">
        <f t="shared" si="5"/>
        <v>0</v>
      </c>
      <c r="AJ17" s="178">
        <f t="shared" si="5"/>
        <v>0</v>
      </c>
      <c r="AK17" s="178">
        <f t="shared" si="17"/>
        <v>0</v>
      </c>
      <c r="AL17" s="178">
        <f t="shared" si="1"/>
        <v>0</v>
      </c>
      <c r="AM17" s="178">
        <f t="shared" si="6"/>
        <v>0</v>
      </c>
      <c r="AN17" s="178">
        <f t="shared" si="7"/>
        <v>30000</v>
      </c>
      <c r="AO17" s="178">
        <f t="shared" si="8"/>
        <v>30000</v>
      </c>
    </row>
    <row r="18" spans="1:41" ht="16.5" customHeight="1" thickTop="1" thickBot="1">
      <c r="A18" s="372"/>
      <c r="B18" s="181" t="s">
        <v>16</v>
      </c>
      <c r="C18" s="181"/>
      <c r="D18" s="182">
        <f t="shared" ref="D18:Q18" si="18">SUM(D12:D17)</f>
        <v>4463500</v>
      </c>
      <c r="E18" s="182">
        <f t="shared" si="18"/>
        <v>1610000</v>
      </c>
      <c r="F18" s="182">
        <f t="shared" si="18"/>
        <v>460000</v>
      </c>
      <c r="G18" s="182">
        <f t="shared" si="18"/>
        <v>1150000</v>
      </c>
      <c r="H18" s="182">
        <f t="shared" si="18"/>
        <v>1150000</v>
      </c>
      <c r="I18" s="183">
        <f t="shared" si="18"/>
        <v>574098</v>
      </c>
      <c r="J18" s="183">
        <f t="shared" si="18"/>
        <v>83100</v>
      </c>
      <c r="K18" s="182">
        <f t="shared" si="18"/>
        <v>4120000</v>
      </c>
      <c r="L18" s="182">
        <f>SUM(L12:L17)</f>
        <v>370000</v>
      </c>
      <c r="M18" s="182">
        <f>SUM(M12:M17)</f>
        <v>3750000</v>
      </c>
      <c r="N18" s="182">
        <f>SUM(N12:N17)</f>
        <v>0</v>
      </c>
      <c r="O18" s="183">
        <f t="shared" si="18"/>
        <v>0</v>
      </c>
      <c r="P18" s="183">
        <f t="shared" si="18"/>
        <v>0</v>
      </c>
      <c r="Q18" s="182">
        <f t="shared" si="18"/>
        <v>3170000</v>
      </c>
      <c r="R18" s="182">
        <f>SUM(R12:R17)</f>
        <v>120000</v>
      </c>
      <c r="S18" s="182">
        <f>SUM(S12:S17)</f>
        <v>3050000</v>
      </c>
      <c r="T18" s="182">
        <f>SUM(T12:T17)</f>
        <v>0</v>
      </c>
      <c r="U18" s="183">
        <f t="shared" ref="U18:W18" si="19">SUM(U12:U17)</f>
        <v>0</v>
      </c>
      <c r="V18" s="183">
        <f t="shared" si="19"/>
        <v>0</v>
      </c>
      <c r="W18" s="182">
        <f t="shared" si="19"/>
        <v>130000</v>
      </c>
      <c r="X18" s="182">
        <f>SUM(X12:X17)</f>
        <v>130000</v>
      </c>
      <c r="Y18" s="182">
        <f>SUM(Y12:Y17)</f>
        <v>0</v>
      </c>
      <c r="Z18" s="182">
        <f>SUM(Z12:Z17)</f>
        <v>0</v>
      </c>
      <c r="AA18" s="183">
        <f t="shared" ref="AA18:AC18" si="20">SUM(AA12:AA17)</f>
        <v>0</v>
      </c>
      <c r="AB18" s="183">
        <f t="shared" si="20"/>
        <v>0</v>
      </c>
      <c r="AC18" s="182">
        <f t="shared" si="20"/>
        <v>130000</v>
      </c>
      <c r="AD18" s="182">
        <f>SUM(AD12:AD17)</f>
        <v>130000</v>
      </c>
      <c r="AE18" s="182">
        <f>SUM(AE12:AE17)</f>
        <v>0</v>
      </c>
      <c r="AF18" s="182">
        <f>SUM(AF12:AF17)</f>
        <v>0</v>
      </c>
      <c r="AG18" s="183">
        <f t="shared" ref="AG18:AH18" si="21">SUM(AG12:AG17)</f>
        <v>0</v>
      </c>
      <c r="AH18" s="183">
        <f t="shared" si="21"/>
        <v>0</v>
      </c>
      <c r="AI18" s="182">
        <f>SUM(AI12:AI17)</f>
        <v>7950000</v>
      </c>
      <c r="AJ18" s="182">
        <f>SUM(AJ12:AJ17)</f>
        <v>1150000</v>
      </c>
      <c r="AK18" s="182">
        <f>SUM(AK12:AK17)</f>
        <v>83100</v>
      </c>
      <c r="AL18" s="182">
        <f t="shared" si="1"/>
        <v>1066900</v>
      </c>
      <c r="AM18" s="182">
        <f>SUM(AM12:AM17)</f>
        <v>5120698</v>
      </c>
      <c r="AN18" s="182">
        <f>SUM(AN12:AN17)</f>
        <v>13623500</v>
      </c>
      <c r="AO18" s="182">
        <f t="shared" si="8"/>
        <v>8502802</v>
      </c>
    </row>
    <row r="19" spans="1:41" ht="16.5" customHeight="1" thickTop="1">
      <c r="A19" s="373" t="s">
        <v>96</v>
      </c>
      <c r="B19" s="177">
        <v>55700</v>
      </c>
      <c r="C19" s="177" t="s">
        <v>97</v>
      </c>
      <c r="D19" s="178">
        <f>'TOTAL DEVELOPMENT COSTS'!D19</f>
        <v>0</v>
      </c>
      <c r="E19" s="178">
        <f>'TOTAL DEVELOPMENT COSTS'!E19</f>
        <v>0</v>
      </c>
      <c r="F19" s="178">
        <f>E19-G19</f>
        <v>0</v>
      </c>
      <c r="G19" s="178">
        <f>'CAPITAL DEV. COSTS-THIS REQUEST'!E19</f>
        <v>0</v>
      </c>
      <c r="H19" s="178">
        <f>G19</f>
        <v>0</v>
      </c>
      <c r="I19" s="179"/>
      <c r="J19" s="179"/>
      <c r="K19" s="178">
        <f>'TOTAL DEVELOPMENT COSTS'!F19</f>
        <v>0</v>
      </c>
      <c r="L19" s="178">
        <f>K19-M19</f>
        <v>0</v>
      </c>
      <c r="M19" s="178">
        <f>'CAPITAL DEV. COSTS-THIS REQUEST'!F19</f>
        <v>0</v>
      </c>
      <c r="N19" s="178">
        <v>0</v>
      </c>
      <c r="O19" s="180"/>
      <c r="P19" s="180"/>
      <c r="Q19" s="178">
        <f>'TOTAL DEVELOPMENT COSTS'!G19</f>
        <v>0</v>
      </c>
      <c r="R19" s="178">
        <f>Q19-S19</f>
        <v>0</v>
      </c>
      <c r="S19" s="178">
        <f>'CAPITAL DEV. COSTS-THIS REQUEST'!G19</f>
        <v>0</v>
      </c>
      <c r="T19" s="178">
        <v>0</v>
      </c>
      <c r="U19" s="180"/>
      <c r="V19" s="180"/>
      <c r="W19" s="178">
        <f>'TOTAL DEVELOPMENT COSTS'!H19</f>
        <v>0</v>
      </c>
      <c r="X19" s="178">
        <f t="shared" si="3"/>
        <v>0</v>
      </c>
      <c r="Y19" s="178">
        <f>'CAPITAL DEV. COSTS-THIS REQUEST'!H19</f>
        <v>0</v>
      </c>
      <c r="Z19" s="178">
        <v>0</v>
      </c>
      <c r="AA19" s="180"/>
      <c r="AB19" s="180"/>
      <c r="AC19" s="178">
        <f>'TOTAL DEVELOPMENT COSTS'!I19</f>
        <v>0</v>
      </c>
      <c r="AD19" s="178">
        <f t="shared" si="4"/>
        <v>0</v>
      </c>
      <c r="AE19" s="178">
        <f>'CAPITAL DEV. COSTS-THIS REQUEST'!I19</f>
        <v>0</v>
      </c>
      <c r="AF19" s="178">
        <v>0</v>
      </c>
      <c r="AG19" s="180"/>
      <c r="AH19" s="180"/>
      <c r="AI19" s="178">
        <f t="shared" si="5"/>
        <v>0</v>
      </c>
      <c r="AJ19" s="178">
        <f t="shared" si="5"/>
        <v>0</v>
      </c>
      <c r="AK19" s="178">
        <f t="shared" si="17"/>
        <v>0</v>
      </c>
      <c r="AL19" s="178">
        <f t="shared" si="1"/>
        <v>0</v>
      </c>
      <c r="AM19" s="178">
        <f t="shared" si="6"/>
        <v>0</v>
      </c>
      <c r="AN19" s="178">
        <f t="shared" si="7"/>
        <v>0</v>
      </c>
      <c r="AO19" s="178">
        <f t="shared" si="8"/>
        <v>0</v>
      </c>
    </row>
    <row r="20" spans="1:41" ht="16.5" customHeight="1">
      <c r="A20" s="370"/>
      <c r="B20" s="177">
        <v>55710</v>
      </c>
      <c r="C20" s="177" t="s">
        <v>98</v>
      </c>
      <c r="D20" s="178">
        <f>'TOTAL DEVELOPMENT COSTS'!D20</f>
        <v>0</v>
      </c>
      <c r="E20" s="178">
        <f>'TOTAL DEVELOPMENT COSTS'!E20</f>
        <v>0</v>
      </c>
      <c r="F20" s="178">
        <f>E20-G20</f>
        <v>0</v>
      </c>
      <c r="G20" s="178">
        <f>'CAPITAL DEV. COSTS-THIS REQUEST'!E20</f>
        <v>0</v>
      </c>
      <c r="H20" s="178">
        <f>G20</f>
        <v>0</v>
      </c>
      <c r="I20" s="179"/>
      <c r="J20" s="179"/>
      <c r="K20" s="178">
        <f>'TOTAL DEVELOPMENT COSTS'!F20</f>
        <v>0</v>
      </c>
      <c r="L20" s="178">
        <f>K20-M20</f>
        <v>0</v>
      </c>
      <c r="M20" s="178">
        <f>'CAPITAL DEV. COSTS-THIS REQUEST'!F20</f>
        <v>0</v>
      </c>
      <c r="N20" s="178">
        <v>0</v>
      </c>
      <c r="O20" s="180"/>
      <c r="P20" s="180"/>
      <c r="Q20" s="178">
        <f>'TOTAL DEVELOPMENT COSTS'!G20</f>
        <v>0</v>
      </c>
      <c r="R20" s="178">
        <f>Q20-S20</f>
        <v>0</v>
      </c>
      <c r="S20" s="178">
        <f>'CAPITAL DEV. COSTS-THIS REQUEST'!G20</f>
        <v>0</v>
      </c>
      <c r="T20" s="178">
        <v>0</v>
      </c>
      <c r="U20" s="180"/>
      <c r="V20" s="180"/>
      <c r="W20" s="178">
        <f>'TOTAL DEVELOPMENT COSTS'!H20</f>
        <v>0</v>
      </c>
      <c r="X20" s="178">
        <f t="shared" si="3"/>
        <v>0</v>
      </c>
      <c r="Y20" s="178">
        <f>'CAPITAL DEV. COSTS-THIS REQUEST'!H20</f>
        <v>0</v>
      </c>
      <c r="Z20" s="178">
        <v>0</v>
      </c>
      <c r="AA20" s="180"/>
      <c r="AB20" s="180"/>
      <c r="AC20" s="178">
        <f>'TOTAL DEVELOPMENT COSTS'!I20</f>
        <v>0</v>
      </c>
      <c r="AD20" s="178">
        <f t="shared" si="4"/>
        <v>0</v>
      </c>
      <c r="AE20" s="178">
        <f>'CAPITAL DEV. COSTS-THIS REQUEST'!I20</f>
        <v>0</v>
      </c>
      <c r="AF20" s="178">
        <v>0</v>
      </c>
      <c r="AG20" s="180"/>
      <c r="AH20" s="180"/>
      <c r="AI20" s="178">
        <f t="shared" si="5"/>
        <v>0</v>
      </c>
      <c r="AJ20" s="178">
        <f t="shared" si="5"/>
        <v>0</v>
      </c>
      <c r="AK20" s="178">
        <f t="shared" si="17"/>
        <v>0</v>
      </c>
      <c r="AL20" s="178">
        <f t="shared" si="1"/>
        <v>0</v>
      </c>
      <c r="AM20" s="178">
        <f t="shared" si="6"/>
        <v>0</v>
      </c>
      <c r="AN20" s="178">
        <f t="shared" si="7"/>
        <v>0</v>
      </c>
      <c r="AO20" s="178">
        <f t="shared" si="8"/>
        <v>0</v>
      </c>
    </row>
    <row r="21" spans="1:41" ht="16.5" customHeight="1" thickBot="1">
      <c r="A21" s="370"/>
      <c r="B21" s="177">
        <v>55730</v>
      </c>
      <c r="C21" s="177" t="s">
        <v>99</v>
      </c>
      <c r="D21" s="178">
        <f>'TOTAL DEVELOPMENT COSTS'!D21</f>
        <v>0</v>
      </c>
      <c r="E21" s="178">
        <f>'TOTAL DEVELOPMENT COSTS'!E21</f>
        <v>0</v>
      </c>
      <c r="F21" s="178">
        <f>E21-G21</f>
        <v>0</v>
      </c>
      <c r="G21" s="178">
        <f>'CAPITAL DEV. COSTS-THIS REQUEST'!E21</f>
        <v>0</v>
      </c>
      <c r="H21" s="178">
        <f>G21</f>
        <v>0</v>
      </c>
      <c r="I21" s="179"/>
      <c r="J21" s="179"/>
      <c r="K21" s="178">
        <f>'TOTAL DEVELOPMENT COSTS'!F21</f>
        <v>0</v>
      </c>
      <c r="L21" s="178">
        <f>K21-M21</f>
        <v>0</v>
      </c>
      <c r="M21" s="178">
        <f>'CAPITAL DEV. COSTS-THIS REQUEST'!F21</f>
        <v>0</v>
      </c>
      <c r="N21" s="178">
        <v>0</v>
      </c>
      <c r="O21" s="180"/>
      <c r="P21" s="180"/>
      <c r="Q21" s="178">
        <f>'TOTAL DEVELOPMENT COSTS'!G21</f>
        <v>0</v>
      </c>
      <c r="R21" s="178">
        <f>Q21-S21</f>
        <v>0</v>
      </c>
      <c r="S21" s="178">
        <f>'CAPITAL DEV. COSTS-THIS REQUEST'!G21</f>
        <v>0</v>
      </c>
      <c r="T21" s="178">
        <v>0</v>
      </c>
      <c r="U21" s="180"/>
      <c r="V21" s="180"/>
      <c r="W21" s="178">
        <f>'TOTAL DEVELOPMENT COSTS'!H21</f>
        <v>0</v>
      </c>
      <c r="X21" s="178">
        <f t="shared" si="3"/>
        <v>0</v>
      </c>
      <c r="Y21" s="178">
        <f>'CAPITAL DEV. COSTS-THIS REQUEST'!H21</f>
        <v>0</v>
      </c>
      <c r="Z21" s="178">
        <v>0</v>
      </c>
      <c r="AA21" s="180"/>
      <c r="AB21" s="180"/>
      <c r="AC21" s="178">
        <f>'TOTAL DEVELOPMENT COSTS'!I21</f>
        <v>0</v>
      </c>
      <c r="AD21" s="178">
        <f t="shared" si="4"/>
        <v>0</v>
      </c>
      <c r="AE21" s="178">
        <f>'CAPITAL DEV. COSTS-THIS REQUEST'!I21</f>
        <v>0</v>
      </c>
      <c r="AF21" s="178">
        <v>0</v>
      </c>
      <c r="AG21" s="180"/>
      <c r="AH21" s="180"/>
      <c r="AI21" s="178">
        <f t="shared" si="5"/>
        <v>0</v>
      </c>
      <c r="AJ21" s="178">
        <f t="shared" si="5"/>
        <v>0</v>
      </c>
      <c r="AK21" s="178">
        <f t="shared" si="17"/>
        <v>0</v>
      </c>
      <c r="AL21" s="178">
        <f t="shared" si="1"/>
        <v>0</v>
      </c>
      <c r="AM21" s="178">
        <f t="shared" si="6"/>
        <v>0</v>
      </c>
      <c r="AN21" s="178">
        <f t="shared" si="7"/>
        <v>0</v>
      </c>
      <c r="AO21" s="178">
        <f t="shared" si="8"/>
        <v>0</v>
      </c>
    </row>
    <row r="22" spans="1:41" ht="16.5" customHeight="1" thickTop="1" thickBot="1">
      <c r="A22" s="372"/>
      <c r="B22" s="181" t="s">
        <v>16</v>
      </c>
      <c r="C22" s="181"/>
      <c r="D22" s="182">
        <f t="shared" ref="D22:AH22" si="22">SUM(D19:D21)</f>
        <v>0</v>
      </c>
      <c r="E22" s="182">
        <f t="shared" si="22"/>
        <v>0</v>
      </c>
      <c r="F22" s="182">
        <f t="shared" si="22"/>
        <v>0</v>
      </c>
      <c r="G22" s="182">
        <f>SUM(G19:G21)</f>
        <v>0</v>
      </c>
      <c r="H22" s="182">
        <f>SUM(H19:H21)</f>
        <v>0</v>
      </c>
      <c r="I22" s="182">
        <f t="shared" si="22"/>
        <v>0</v>
      </c>
      <c r="J22" s="182">
        <f t="shared" si="22"/>
        <v>0</v>
      </c>
      <c r="K22" s="182">
        <f t="shared" si="22"/>
        <v>0</v>
      </c>
      <c r="L22" s="182">
        <f t="shared" si="22"/>
        <v>0</v>
      </c>
      <c r="M22" s="182">
        <f t="shared" si="22"/>
        <v>0</v>
      </c>
      <c r="N22" s="182">
        <f t="shared" si="22"/>
        <v>0</v>
      </c>
      <c r="O22" s="182">
        <f t="shared" si="22"/>
        <v>0</v>
      </c>
      <c r="P22" s="182">
        <f t="shared" si="22"/>
        <v>0</v>
      </c>
      <c r="Q22" s="182">
        <f t="shared" si="22"/>
        <v>0</v>
      </c>
      <c r="R22" s="182">
        <f t="shared" si="22"/>
        <v>0</v>
      </c>
      <c r="S22" s="182">
        <f t="shared" si="22"/>
        <v>0</v>
      </c>
      <c r="T22" s="182">
        <f t="shared" si="22"/>
        <v>0</v>
      </c>
      <c r="U22" s="182">
        <f t="shared" si="22"/>
        <v>0</v>
      </c>
      <c r="V22" s="182">
        <f t="shared" si="22"/>
        <v>0</v>
      </c>
      <c r="W22" s="182">
        <f t="shared" si="22"/>
        <v>0</v>
      </c>
      <c r="X22" s="182">
        <f t="shared" si="22"/>
        <v>0</v>
      </c>
      <c r="Y22" s="182">
        <f t="shared" si="22"/>
        <v>0</v>
      </c>
      <c r="Z22" s="182">
        <f t="shared" si="22"/>
        <v>0</v>
      </c>
      <c r="AA22" s="182">
        <f t="shared" si="22"/>
        <v>0</v>
      </c>
      <c r="AB22" s="182">
        <f t="shared" si="22"/>
        <v>0</v>
      </c>
      <c r="AC22" s="182">
        <f t="shared" si="22"/>
        <v>0</v>
      </c>
      <c r="AD22" s="182">
        <f t="shared" si="22"/>
        <v>0</v>
      </c>
      <c r="AE22" s="182">
        <f t="shared" si="22"/>
        <v>0</v>
      </c>
      <c r="AF22" s="182">
        <f t="shared" si="22"/>
        <v>0</v>
      </c>
      <c r="AG22" s="182">
        <f t="shared" si="22"/>
        <v>0</v>
      </c>
      <c r="AH22" s="182">
        <f t="shared" si="22"/>
        <v>0</v>
      </c>
      <c r="AI22" s="182">
        <f>SUM(AI19:AI21)</f>
        <v>0</v>
      </c>
      <c r="AJ22" s="182">
        <f>SUM(AJ19:AJ21)</f>
        <v>0</v>
      </c>
      <c r="AK22" s="182">
        <f>SUM(AK19:AK21)</f>
        <v>0</v>
      </c>
      <c r="AL22" s="182">
        <f t="shared" si="1"/>
        <v>0</v>
      </c>
      <c r="AM22" s="182">
        <f>SUM(AM19:AM21)</f>
        <v>0</v>
      </c>
      <c r="AN22" s="182">
        <f>SUM(AN19:AN21)</f>
        <v>0</v>
      </c>
      <c r="AO22" s="182">
        <f t="shared" si="8"/>
        <v>0</v>
      </c>
    </row>
    <row r="23" spans="1:41" ht="16.5" customHeight="1" thickTop="1" thickBot="1">
      <c r="A23" s="374" t="s">
        <v>17</v>
      </c>
      <c r="B23" s="375"/>
      <c r="C23" s="376"/>
      <c r="D23" s="182">
        <f t="shared" ref="D23:AH23" si="23">D11+D18+D22</f>
        <v>4513500</v>
      </c>
      <c r="E23" s="182">
        <f t="shared" si="23"/>
        <v>1660000</v>
      </c>
      <c r="F23" s="182">
        <f t="shared" si="23"/>
        <v>510000</v>
      </c>
      <c r="G23" s="182">
        <f t="shared" si="23"/>
        <v>1150000</v>
      </c>
      <c r="H23" s="182">
        <f t="shared" si="23"/>
        <v>1150000</v>
      </c>
      <c r="I23" s="182">
        <f t="shared" si="23"/>
        <v>574098</v>
      </c>
      <c r="J23" s="182">
        <f t="shared" si="23"/>
        <v>83100</v>
      </c>
      <c r="K23" s="182">
        <f t="shared" si="23"/>
        <v>4170000</v>
      </c>
      <c r="L23" s="182">
        <f t="shared" si="23"/>
        <v>420000</v>
      </c>
      <c r="M23" s="182">
        <f t="shared" si="23"/>
        <v>3750000</v>
      </c>
      <c r="N23" s="182">
        <f t="shared" si="23"/>
        <v>0</v>
      </c>
      <c r="O23" s="182">
        <f t="shared" si="23"/>
        <v>0</v>
      </c>
      <c r="P23" s="182">
        <f t="shared" si="23"/>
        <v>0</v>
      </c>
      <c r="Q23" s="182">
        <f t="shared" si="23"/>
        <v>3220000</v>
      </c>
      <c r="R23" s="182">
        <f t="shared" si="23"/>
        <v>170000</v>
      </c>
      <c r="S23" s="182">
        <f t="shared" si="23"/>
        <v>3050000</v>
      </c>
      <c r="T23" s="182">
        <f t="shared" si="23"/>
        <v>0</v>
      </c>
      <c r="U23" s="182">
        <f t="shared" si="23"/>
        <v>0</v>
      </c>
      <c r="V23" s="182">
        <f t="shared" si="23"/>
        <v>0</v>
      </c>
      <c r="W23" s="182">
        <f t="shared" si="23"/>
        <v>130000</v>
      </c>
      <c r="X23" s="182">
        <f t="shared" si="23"/>
        <v>130000</v>
      </c>
      <c r="Y23" s="182">
        <f t="shared" si="23"/>
        <v>0</v>
      </c>
      <c r="Z23" s="182">
        <f t="shared" si="23"/>
        <v>0</v>
      </c>
      <c r="AA23" s="182">
        <f t="shared" si="23"/>
        <v>0</v>
      </c>
      <c r="AB23" s="182">
        <f t="shared" si="23"/>
        <v>0</v>
      </c>
      <c r="AC23" s="182">
        <f t="shared" si="23"/>
        <v>130000</v>
      </c>
      <c r="AD23" s="182">
        <f t="shared" si="23"/>
        <v>130000</v>
      </c>
      <c r="AE23" s="182">
        <f t="shared" si="23"/>
        <v>0</v>
      </c>
      <c r="AF23" s="182">
        <f t="shared" si="23"/>
        <v>0</v>
      </c>
      <c r="AG23" s="182">
        <f t="shared" si="23"/>
        <v>0</v>
      </c>
      <c r="AH23" s="182">
        <f t="shared" si="23"/>
        <v>0</v>
      </c>
      <c r="AI23" s="182">
        <f>SUM(AI11,AI18,AI22)</f>
        <v>7950000</v>
      </c>
      <c r="AJ23" s="182">
        <f>SUM(AJ11,AJ18,AJ22)</f>
        <v>1150000</v>
      </c>
      <c r="AK23" s="182">
        <f>SUM(AK11,AK18,AK22)</f>
        <v>83100</v>
      </c>
      <c r="AL23" s="182">
        <f t="shared" si="1"/>
        <v>1066900</v>
      </c>
      <c r="AM23" s="182">
        <f>SUM(AM11,AM18,AM22)</f>
        <v>5170698</v>
      </c>
      <c r="AN23" s="182">
        <f>SUM(AN11,AN18,AN22)</f>
        <v>13823500</v>
      </c>
      <c r="AO23" s="182">
        <f t="shared" si="8"/>
        <v>8652802</v>
      </c>
    </row>
    <row r="24" spans="1:41" ht="13.5" thickTop="1"/>
    <row r="25" spans="1:41" ht="14.25">
      <c r="A25" s="163" t="s">
        <v>152</v>
      </c>
      <c r="G25" s="184"/>
      <c r="H25" s="184"/>
    </row>
  </sheetData>
  <sheetProtection password="CAD5" sheet="1" objects="1" scenarios="1"/>
  <mergeCells count="18">
    <mergeCell ref="A1:C1"/>
    <mergeCell ref="D1:I1"/>
    <mergeCell ref="A2:C2"/>
    <mergeCell ref="D2:I2"/>
    <mergeCell ref="A3:C3"/>
    <mergeCell ref="D3:I3"/>
    <mergeCell ref="A8:A11"/>
    <mergeCell ref="A12:A18"/>
    <mergeCell ref="A19:A22"/>
    <mergeCell ref="A23:C23"/>
    <mergeCell ref="A5:AM5"/>
    <mergeCell ref="E6:J6"/>
    <mergeCell ref="K6:P6"/>
    <mergeCell ref="Q6:V6"/>
    <mergeCell ref="W6:AB6"/>
    <mergeCell ref="AC6:AH6"/>
    <mergeCell ref="AI6:AL6"/>
    <mergeCell ref="AM6:AO6"/>
  </mergeCells>
  <pageMargins left="0.25" right="0.25" top="0.25" bottom="0.25" header="0.3" footer="0.3"/>
  <pageSetup paperSize="5" orientation="landscape" r:id="rId1"/>
</worksheet>
</file>

<file path=xl/worksheets/sheet9.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9892B157AF44FBC24DBA951C0C009" ma:contentTypeVersion="0" ma:contentTypeDescription="Create a new document." ma:contentTypeScope="" ma:versionID="20ffc4a6d9176b01a14976bc8d8e60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2D56B8-9AF4-4DFF-B540-87D2D8AFE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A7F7F61-5487-4ACF-9C4B-16A68886D09D}">
  <ds:schemaRefs>
    <ds:schemaRef ds:uri="http://schemas.microsoft.com/sharepoint/v3/contenttype/forms"/>
  </ds:schemaRefs>
</ds:datastoreItem>
</file>

<file path=customXml/itemProps3.xml><?xml version="1.0" encoding="utf-8"?>
<ds:datastoreItem xmlns:ds="http://schemas.openxmlformats.org/officeDocument/2006/customXml" ds:itemID="{B53AA1BE-54F6-4119-9C07-6E198BD16D32}">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Actuals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David Johnson</cp:lastModifiedBy>
  <cp:lastPrinted>2013-08-08T20:23:40Z</cp:lastPrinted>
  <dcterms:created xsi:type="dcterms:W3CDTF">2009-11-16T15:45:40Z</dcterms:created>
  <dcterms:modified xsi:type="dcterms:W3CDTF">2013-08-13T14:02:33Z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0x010100C6A9892B157AF44FBC24DBA951C0C009</vt:lpwstr>
  </property>
</Properties>
</file>