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5480" windowHeight="11640" tabRatio="862"/>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externalReferences>
    <externalReference r:id="rId9"/>
    <externalReference r:id="rId10"/>
  </externalReference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K18" i="5"/>
  <c r="K17"/>
  <c r="K16"/>
  <c r="K15"/>
  <c r="K14"/>
  <c r="K12"/>
  <c r="K11"/>
  <c r="K10"/>
  <c r="K9"/>
  <c r="K8"/>
  <c r="J22" i="6" l="1"/>
  <c r="J18"/>
  <c r="J23" s="1"/>
  <c r="I13" i="5" s="1"/>
  <c r="I19" s="1"/>
  <c r="J11" i="6"/>
  <c r="J11" i="1"/>
  <c r="J18"/>
  <c r="J22"/>
  <c r="J23"/>
  <c r="I21" i="5"/>
  <c r="I7"/>
  <c r="J7"/>
  <c r="K7" i="6"/>
  <c r="J7"/>
  <c r="I7"/>
  <c r="K7" i="1"/>
  <c r="J7"/>
  <c r="I7"/>
  <c r="H7"/>
  <c r="G7"/>
  <c r="F7"/>
  <c r="E7"/>
  <c r="I23" i="5" l="1"/>
  <c r="D22" i="2" l="1"/>
  <c r="D15"/>
  <c r="E15"/>
  <c r="F15"/>
  <c r="N12"/>
  <c r="N14"/>
  <c r="N13"/>
  <c r="N16"/>
  <c r="N17"/>
  <c r="N18"/>
  <c r="N19"/>
  <c r="N20"/>
  <c r="N21"/>
  <c r="N23"/>
  <c r="N25"/>
  <c r="N26" s="1"/>
  <c r="L15"/>
  <c r="L27" s="1"/>
  <c r="L22"/>
  <c r="L26"/>
  <c r="J11"/>
  <c r="I11"/>
  <c r="H11"/>
  <c r="G11"/>
  <c r="F11"/>
  <c r="E11"/>
  <c r="D36" i="10"/>
  <c r="J10" i="2"/>
  <c r="I10"/>
  <c r="H10"/>
  <c r="G10"/>
  <c r="F10"/>
  <c r="H15"/>
  <c r="I26"/>
  <c r="H26"/>
  <c r="I22"/>
  <c r="H22"/>
  <c r="I15"/>
  <c r="I27" s="1"/>
  <c r="D66" i="10"/>
  <c r="C4" i="5"/>
  <c r="C3"/>
  <c r="C2"/>
  <c r="D4" i="2"/>
  <c r="D3"/>
  <c r="D2"/>
  <c r="C2" i="10"/>
  <c r="C4"/>
  <c r="C3"/>
  <c r="D4" i="6"/>
  <c r="D3"/>
  <c r="D2"/>
  <c r="D2" i="1"/>
  <c r="D4"/>
  <c r="D3"/>
  <c r="C2" i="4"/>
  <c r="C3"/>
  <c r="A37" i="10"/>
  <c r="D7" i="5"/>
  <c r="E7"/>
  <c r="F7"/>
  <c r="G7"/>
  <c r="H7"/>
  <c r="K7"/>
  <c r="L7"/>
  <c r="L8"/>
  <c r="M8"/>
  <c r="L9"/>
  <c r="M9"/>
  <c r="L10"/>
  <c r="M10"/>
  <c r="L11"/>
  <c r="M11"/>
  <c r="L12"/>
  <c r="M12"/>
  <c r="D11" i="6"/>
  <c r="D18"/>
  <c r="E18"/>
  <c r="D22"/>
  <c r="E11"/>
  <c r="E22"/>
  <c r="F11"/>
  <c r="F18"/>
  <c r="F22"/>
  <c r="G11"/>
  <c r="G18"/>
  <c r="G22"/>
  <c r="H11"/>
  <c r="H18"/>
  <c r="H22"/>
  <c r="I11"/>
  <c r="I18"/>
  <c r="I22"/>
  <c r="K11"/>
  <c r="K18"/>
  <c r="K22"/>
  <c r="L14" i="5"/>
  <c r="M14"/>
  <c r="L15"/>
  <c r="M15"/>
  <c r="L16"/>
  <c r="M16"/>
  <c r="L17"/>
  <c r="M17"/>
  <c r="L18"/>
  <c r="M18"/>
  <c r="G15" i="2"/>
  <c r="J15"/>
  <c r="E22"/>
  <c r="F22"/>
  <c r="G22"/>
  <c r="J22"/>
  <c r="D26"/>
  <c r="E26"/>
  <c r="F26"/>
  <c r="G26"/>
  <c r="J26"/>
  <c r="A20" i="10"/>
  <c r="A9"/>
  <c r="E7" i="6"/>
  <c r="F7"/>
  <c r="G7"/>
  <c r="H7"/>
  <c r="L8"/>
  <c r="L9"/>
  <c r="L10"/>
  <c r="L12"/>
  <c r="L13"/>
  <c r="L14"/>
  <c r="L15"/>
  <c r="L16"/>
  <c r="L17"/>
  <c r="L19"/>
  <c r="L21"/>
  <c r="L8" i="1"/>
  <c r="L9"/>
  <c r="L10"/>
  <c r="D11"/>
  <c r="E11"/>
  <c r="E18"/>
  <c r="F11"/>
  <c r="G11"/>
  <c r="H11"/>
  <c r="I11"/>
  <c r="K11"/>
  <c r="K18"/>
  <c r="L12"/>
  <c r="L13"/>
  <c r="L14"/>
  <c r="L15"/>
  <c r="L16"/>
  <c r="L17"/>
  <c r="D18"/>
  <c r="F18"/>
  <c r="G18"/>
  <c r="H18"/>
  <c r="I18"/>
  <c r="L19"/>
  <c r="D22"/>
  <c r="E22"/>
  <c r="F22"/>
  <c r="G22"/>
  <c r="H22"/>
  <c r="I22"/>
  <c r="K22"/>
  <c r="D28" i="4"/>
  <c r="F28"/>
  <c r="L11" i="1"/>
  <c r="L11" i="6"/>
  <c r="L22" i="1"/>
  <c r="L18"/>
  <c r="D27" i="2" l="1"/>
  <c r="G27"/>
  <c r="H27"/>
  <c r="F27"/>
  <c r="E27"/>
  <c r="D23" i="6"/>
  <c r="C13" i="5" s="1"/>
  <c r="K23" i="6"/>
  <c r="I23"/>
  <c r="H23"/>
  <c r="G23"/>
  <c r="J27" i="2"/>
  <c r="E23" i="6"/>
  <c r="D13" i="5" s="1"/>
  <c r="F23" i="6"/>
  <c r="N22" i="2"/>
  <c r="N15"/>
  <c r="N27" s="1"/>
  <c r="J13" i="5"/>
  <c r="J19" s="1"/>
  <c r="G13"/>
  <c r="G19" s="1"/>
  <c r="H13"/>
  <c r="H19" s="1"/>
  <c r="F13"/>
  <c r="F19" s="1"/>
  <c r="L18" i="6"/>
  <c r="L22"/>
  <c r="K23" i="1"/>
  <c r="J21" i="5" s="1"/>
  <c r="H23" i="1"/>
  <c r="G21" i="5" s="1"/>
  <c r="G23" s="1"/>
  <c r="F23" i="1"/>
  <c r="E21" i="5" s="1"/>
  <c r="E23" i="1"/>
  <c r="D21" i="5" s="1"/>
  <c r="I23" i="1"/>
  <c r="G23"/>
  <c r="D23"/>
  <c r="C21" i="5" s="1"/>
  <c r="H21"/>
  <c r="L23" i="1"/>
  <c r="C19" i="5"/>
  <c r="E13"/>
  <c r="L23" i="6"/>
  <c r="D19" i="5" l="1"/>
  <c r="K13"/>
  <c r="D23"/>
  <c r="J23"/>
  <c r="H23"/>
  <c r="F21"/>
  <c r="F23" s="1"/>
  <c r="L13"/>
  <c r="L19" s="1"/>
  <c r="K19"/>
  <c r="E19"/>
  <c r="E23" s="1"/>
  <c r="M13"/>
  <c r="M19" s="1"/>
  <c r="C25" l="1"/>
</calcChain>
</file>

<file path=xl/sharedStrings.xml><?xml version="1.0" encoding="utf-8"?>
<sst xmlns="http://schemas.openxmlformats.org/spreadsheetml/2006/main" count="287" uniqueCount="143">
  <si>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</si>
  <si>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</si>
  <si>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</si>
  <si>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</si>
  <si>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</si>
  <si>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</si>
  <si>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</si>
  <si>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</si>
  <si>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</si>
  <si>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</si>
  <si>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</si>
  <si>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</si>
  <si>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</si>
  <si>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</si>
  <si>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</si>
  <si>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</si>
  <si>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</si>
  <si>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</si>
  <si>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</si>
  <si>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</si>
  <si>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</si>
  <si>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</si>
  <si>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</si>
  <si>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</si>
  <si>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</si>
  <si>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</si>
  <si>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</si>
  <si>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</si>
  <si>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</si>
  <si>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</si>
  <si>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</si>
  <si>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</si>
  <si>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</si>
  <si>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</si>
  <si>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</si>
  <si>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</si>
  <si>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</si>
  <si>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</si>
  <si>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</si>
  <si>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</si>
  <si>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</si>
  <si>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</si>
  <si>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</si>
  <si>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</si>
  <si>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</si>
  <si>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</si>
  <si>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</si>
  <si>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</si>
  <si>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</si>
  <si>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</si>
  <si>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</si>
  <si>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</si>
  <si>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</si>
  <si>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</si>
  <si>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</si>
  <si>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</si>
  <si>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</si>
  <si>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</si>
  <si>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</si>
  <si>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</si>
  <si>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</si>
  <si>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</si>
  <si>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</si>
  <si>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</si>
  <si>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</si>
  <si>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</si>
  <si>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</si>
  <si>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</si>
  <si>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</si>
  <si>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</si>
  <si>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</si>
  <si>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</si>
  <si>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</si>
  <si>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</si>
  <si>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</si>
  <si>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</si>
  <si>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</si>
  <si>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</si>
  <si>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</si>
  <si>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</si>
  <si>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</si>
  <si>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</si>
  <si>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</si>
  <si>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</si>
  <si>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</si>
  <si>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</si>
  <si>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</si>
  <si>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</si>
  <si>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</si>
  <si>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</si>
  <si>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</si>
  <si>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</si>
  <si>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</si>
  <si>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</si>
  <si>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</si>
  <si>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</si>
  <si>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</si>
  <si>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</si>
  <si>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</si>
  <si>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</si>
  <si>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</si>
  <si>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</si>
  <si>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</si>
  <si>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</si>
  <si>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</si>
  <si>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</si>
  <si>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</si>
  <si>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</si>
  <si>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DOC Health Portal</t>
  </si>
  <si>
    <t>Medication Savings</t>
  </si>
  <si>
    <t>Printed Forms/Tabs Savings</t>
  </si>
  <si>
    <t>Reduction in Duplicate Procedures Savings</t>
  </si>
  <si>
    <t>Reduction in Pharmacists Savings (Salary &amp; Fringe) Savings</t>
  </si>
  <si>
    <t>Assumptions</t>
  </si>
  <si>
    <t>Reduction of 18 medical records staff over two years 6 in Year 1 of implementation; the remainder in Year 2</t>
  </si>
  <si>
    <t>Timing of staff reductions could be impacted by no layoff provisions unless other state opportunities are identified.</t>
  </si>
  <si>
    <t>Fringe is estimated at 50% of salaries</t>
  </si>
  <si>
    <t>Printed tabs and forms for current paper charts eliminated</t>
  </si>
  <si>
    <t>Reduction in medication waste due to incorrect and duplicate orders .6% of total pharmaceutical costs</t>
  </si>
  <si>
    <t xml:space="preserve">Reduction in duplicate orders for labs/radiology </t>
  </si>
  <si>
    <t>Reduction in pharmacy FTEs because of streamline order entry -estimated 3 FTEs could be reduced out of 11 current FTEs</t>
  </si>
  <si>
    <t>53755: Vendor costs from proposals received in March 2010, adjusted to reflect portal component - include software license fees, implementation cost, customization, hardware, travel expense</t>
  </si>
  <si>
    <t>53760: Average vendor software maintenance fees</t>
  </si>
  <si>
    <t>Streamlining/Efficiency Gains</t>
  </si>
  <si>
    <t>Cost Avoidance</t>
  </si>
  <si>
    <t>Estimated avoided legal costs</t>
  </si>
  <si>
    <t>Reduction in X-Ray processing</t>
  </si>
  <si>
    <t>55700: Network and local hardware including digital radiology equipment - at DOC and UCHC/CMHC</t>
  </si>
  <si>
    <t>Medical Records Personnel (Salary &amp; Fringe) Savings</t>
  </si>
  <si>
    <t xml:space="preserve">Not quanitifed are the savings that will accrue from not having to physically transport paper records or the physical storage and maintainance costs. Also not quantified are the savings that will accrue from having higher cost staff (nurses in particular) spend less time maintaining and handling paper recorrds and more time providing patient care. </t>
  </si>
  <si>
    <t>53760: Assumes $300,000 for DOC software costs</t>
  </si>
  <si>
    <t>General: Assumes all other "regular" annual operating costs are to be borne by UCHC/CMHC</t>
  </si>
  <si>
    <t>Hard data is not available due to confidentiality issues, however it is estimated that this new system could allow DOC to avoid legal costs associated w/ medical related legal actions in excess of $1,000,000 annually</t>
  </si>
  <si>
    <t>Michael Regan</t>
  </si>
  <si>
    <t>michael.regan@po.state.ct.us</t>
  </si>
  <si>
    <t xml:space="preserve">53715: Project Management and integration assistance. </t>
  </si>
  <si>
    <t xml:space="preserve">53715: Assumes $600,000 per year for years 1 and 2 of the transition in project management and integration assistance costs. Assumes $300,000 per year for years 3 and 4 of the transition in project management and integration assistance costs. Assumes $200,000 for project management and integration assistance costs for year 5 of the transition and assumes steady state costs of $200,000 per year. </t>
  </si>
  <si>
    <t>50110: Assumes DOC IT staff costs for IT support and maintenance and informatics staff in DOC Healthcare. It is assumed that all or part of this cost will be offset through efficiency savings gained in other areas</t>
  </si>
  <si>
    <t>50110: Assumes DOC IT staff costs for IT support and maintenance and informatics staff in DOC Healthcare following implementation - "Out Years". It is assumed that all or part of this cost will be offset through efficiency savings gained in other areas</t>
  </si>
  <si>
    <t>REVISED 3/27/13</t>
  </si>
  <si>
    <t>Benefits have not been netted out of cost figures</t>
  </si>
  <si>
    <t>FY16</t>
  </si>
  <si>
    <t xml:space="preserve">2013 DOCM1 685 </t>
  </si>
</sst>
</file>

<file path=xl/styles.xml><?xml version="1.0" encoding="utf-8"?>
<styleSheet xmlns="http://schemas.openxmlformats.org/spreadsheetml/2006/main">
  <numFmts count="2">
    <numFmt numFmtId="164" formatCode="&quot;$&quot;#,##0"/>
    <numFmt numFmtId="165" formatCode="[$-409]mmmm\ d\,\ yyyy;@"/>
  </numFmts>
  <fonts count="5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b/>
      <sz val="8"/>
      <name val="Verdana"/>
      <family val="2"/>
    </font>
    <font>
      <sz val="8"/>
      <name val="Verdana"/>
      <family val="2"/>
    </font>
    <font>
      <b/>
      <sz val="8"/>
      <name val="Arial"/>
      <family val="2"/>
    </font>
    <font>
      <sz val="8"/>
      <name val="Arial"/>
      <family val="2"/>
    </font>
    <font>
      <b/>
      <sz val="1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6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5" fillId="0" borderId="0" xfId="0" applyFont="1" applyProtection="1"/>
    <xf numFmtId="0" fontId="47" fillId="0" borderId="0" xfId="0" applyFont="1" applyProtection="1"/>
    <xf numFmtId="49" fontId="4" fillId="24" borderId="0" xfId="0" applyNumberFormat="1" applyFont="1" applyFill="1" applyBorder="1" applyAlignment="1" applyProtection="1">
      <alignment horizontal="left" vertical="center" wrapText="1"/>
      <protection locked="0"/>
    </xf>
    <xf numFmtId="0" fontId="46" fillId="0" borderId="0" xfId="0" applyFont="1" applyAlignment="1">
      <alignment vertical="top"/>
    </xf>
    <xf numFmtId="0" fontId="4" fillId="0" borderId="0" xfId="0" applyFont="1" applyAlignment="1" applyProtection="1">
      <alignment vertical="top"/>
    </xf>
    <xf numFmtId="0" fontId="8" fillId="0" borderId="0" xfId="0" applyFont="1" applyAlignment="1" applyProtection="1">
      <alignment vertical="top"/>
    </xf>
    <xf numFmtId="0" fontId="47" fillId="0" borderId="0" xfId="0" applyFont="1" applyAlignment="1" applyProtection="1">
      <alignment vertical="top"/>
    </xf>
    <xf numFmtId="0" fontId="48" fillId="0" borderId="0" xfId="0" applyFont="1" applyProtection="1"/>
    <xf numFmtId="0" fontId="49" fillId="0" borderId="0" xfId="0" applyFont="1" applyProtection="1"/>
    <xf numFmtId="0" fontId="48" fillId="0" borderId="0" xfId="0" applyFont="1"/>
    <xf numFmtId="3" fontId="5" fillId="0" borderId="10" xfId="0" applyNumberFormat="1" applyFont="1" applyFill="1" applyBorder="1" applyAlignment="1" applyProtection="1">
      <alignment horizontal="right" vertical="center" indent="1"/>
      <protection locked="0"/>
    </xf>
    <xf numFmtId="3" fontId="5" fillId="0" borderId="12" xfId="0" applyNumberFormat="1" applyFont="1" applyFill="1" applyBorder="1" applyAlignment="1" applyProtection="1">
      <alignment horizontal="right" vertical="center" indent="1"/>
      <protection locked="0"/>
    </xf>
    <xf numFmtId="3" fontId="5" fillId="0" borderId="31" xfId="0" applyNumberFormat="1" applyFont="1" applyFill="1" applyBorder="1" applyAlignment="1" applyProtection="1">
      <alignment horizontal="right" vertical="center" indent="1"/>
      <protection locked="0"/>
    </xf>
    <xf numFmtId="0" fontId="1" fillId="0" borderId="0" xfId="0" applyFont="1" applyAlignment="1">
      <alignment vertical="top"/>
    </xf>
    <xf numFmtId="0" fontId="7" fillId="24" borderId="0" xfId="0" applyNumberFormat="1" applyFont="1" applyFill="1" applyBorder="1" applyAlignment="1" applyProtection="1">
      <alignment vertical="center" wrapText="1"/>
    </xf>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9" fillId="0" borderId="0" xfId="0" applyFont="1" applyAlignment="1" applyProtection="1">
      <alignment horizontal="left" vertical="top" wrapText="1"/>
    </xf>
    <xf numFmtId="0" fontId="49" fillId="0" borderId="0" xfId="0" applyFont="1" applyAlignment="1">
      <alignment horizontal="left"/>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49" fillId="0" borderId="0" xfId="0" applyFont="1" applyAlignment="1">
      <alignment horizontal="left" vertical="top" wrapText="1"/>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4" fillId="0" borderId="0" xfId="0" applyFont="1" applyAlignment="1" applyProtection="1">
      <alignment horizontal="left" vertical="top" wrapText="1"/>
    </xf>
    <xf numFmtId="0" fontId="47" fillId="0" borderId="0" xfId="0" applyFont="1" applyAlignment="1">
      <alignment horizontal="left" vertical="top"/>
    </xf>
    <xf numFmtId="0" fontId="47" fillId="0" borderId="0" xfId="0" applyFont="1" applyAlignment="1">
      <alignment horizontal="left" vertical="top" wrapText="1"/>
    </xf>
    <xf numFmtId="0" fontId="1" fillId="0" borderId="0" xfId="0" applyFont="1" applyAlignment="1">
      <alignment horizontal="left" vertical="top"/>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0" xfId="0" applyNumberFormat="1" applyFont="1" applyFill="1" applyBorder="1" applyAlignment="1" applyProtection="1">
      <alignment vertical="center" wrapText="1"/>
    </xf>
    <xf numFmtId="165" fontId="9" fillId="25" borderId="0" xfId="0" applyNumberFormat="1" applyFont="1" applyFill="1" applyBorder="1" applyAlignment="1" applyProtection="1">
      <alignment horizontal="left" vertical="center" wrapText="1"/>
    </xf>
    <xf numFmtId="0" fontId="0" fillId="25" borderId="0" xfId="0" applyNumberFormat="1" applyFill="1" applyBorder="1" applyAlignment="1" applyProtection="1">
      <alignment vertical="center" wrapText="1"/>
    </xf>
    <xf numFmtId="165" fontId="0" fillId="25" borderId="0" xfId="0" applyNumberFormat="1" applyFill="1" applyBorder="1" applyAlignment="1" applyProtection="1">
      <alignment horizontal="left" vertical="center" wrapText="1"/>
    </xf>
    <xf numFmtId="0" fontId="50" fillId="0" borderId="0" xfId="0" applyFont="1" applyProtection="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3">
    <dxf>
      <fill>
        <patternFill>
          <bgColor indexed="10"/>
        </patternFill>
      </fill>
    </dxf>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IT%20Captial%20Projects/OMIS/investment_brief_financial_spreadsheets_fy13%20-%20DOCM1-416%20-DOC%20OMIS%20-%20Revised%204-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t.gov/opm/lib/opm/finance/itim/investment_brief_financial_spreadsheets_fy13_v4_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JECT ID|INSTRUCTIONS"/>
      <sheetName val="FINANCIAL BENEFITS"/>
      <sheetName val="TOTAL DEVELOPMENT COSTS"/>
      <sheetName val="CAPITAL DEV. COSTS-THIS REQUEST"/>
      <sheetName val=" OBJECTIVES"/>
      <sheetName val="SUPPORT COSTS"/>
      <sheetName val="FUNDING SOURCES"/>
      <sheetName val="Settings"/>
    </sheetNames>
    <sheetDataSet>
      <sheetData sheetId="0"/>
      <sheetData sheetId="1"/>
      <sheetData sheetId="2"/>
      <sheetData sheetId="3"/>
      <sheetData sheetId="4"/>
      <sheetData sheetId="5"/>
      <sheetData sheetId="6"/>
      <sheetData sheetId="7">
        <row r="1">
          <cell r="C1">
            <v>2013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ID|INSTRUCTIONS"/>
      <sheetName val="FINANCIAL BENEFITS"/>
      <sheetName val="TOTAL DEVELOPMENT COSTS"/>
      <sheetName val="CAPITAL DEV. COSTS-THIS REQUEST"/>
      <sheetName val=" OBJECTIVES"/>
      <sheetName val="SUPPORT COSTS"/>
      <sheetName val="FUNDING SOURCES"/>
      <sheetName val="Settings"/>
    </sheetNames>
    <sheetDataSet>
      <sheetData sheetId="0"/>
      <sheetData sheetId="1"/>
      <sheetData sheetId="2"/>
      <sheetData sheetId="3"/>
      <sheetData sheetId="4"/>
      <sheetData sheetId="5"/>
      <sheetData sheetId="6"/>
      <sheetData sheetId="7">
        <row r="1">
          <cell r="C1">
            <v>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ichael.regan@po.state.ct.us"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abSelected="1" zoomScale="120" zoomScaleNormal="120" zoomScaleSheetLayoutView="100" workbookViewId="0">
      <selection activeCell="A10" sqref="A10:C10"/>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31" t="s">
        <v>73</v>
      </c>
      <c r="B2" s="231"/>
      <c r="C2" s="232"/>
    </row>
    <row r="3" spans="1:7" s="161" customFormat="1" ht="16.5" customHeight="1">
      <c r="A3" s="236" t="s">
        <v>25</v>
      </c>
      <c r="B3" s="237"/>
      <c r="C3" s="192" t="s">
        <v>142</v>
      </c>
    </row>
    <row r="4" spans="1:7" s="161" customFormat="1" ht="16.5" customHeight="1">
      <c r="A4" s="236" t="s">
        <v>22</v>
      </c>
      <c r="B4" s="237"/>
      <c r="C4" s="193" t="s">
        <v>108</v>
      </c>
    </row>
    <row r="5" spans="1:7" s="161" customFormat="1" ht="16.5" customHeight="1">
      <c r="A5" s="236" t="s">
        <v>26</v>
      </c>
      <c r="B5" s="237"/>
      <c r="C5" s="48">
        <v>41298</v>
      </c>
    </row>
    <row r="6" spans="1:7" s="161" customFormat="1" ht="16.5" customHeight="1">
      <c r="A6" s="236" t="s">
        <v>27</v>
      </c>
      <c r="B6" s="237"/>
      <c r="C6" s="193" t="s">
        <v>133</v>
      </c>
      <c r="E6" s="252" t="s">
        <v>80</v>
      </c>
      <c r="F6" s="252"/>
      <c r="G6" s="252"/>
    </row>
    <row r="7" spans="1:7" s="161" customFormat="1" ht="16.5" customHeight="1">
      <c r="A7" s="236" t="s">
        <v>23</v>
      </c>
      <c r="B7" s="237"/>
      <c r="C7" s="193">
        <v>8606927666</v>
      </c>
      <c r="E7" s="252"/>
      <c r="F7" s="252"/>
      <c r="G7" s="252"/>
    </row>
    <row r="8" spans="1:7" s="162" customFormat="1" ht="16.5" customHeight="1">
      <c r="A8" s="239" t="s">
        <v>24</v>
      </c>
      <c r="B8" s="240"/>
      <c r="C8" s="205" t="s">
        <v>134</v>
      </c>
      <c r="E8" s="252"/>
      <c r="F8" s="252"/>
      <c r="G8" s="252"/>
    </row>
    <row r="9" spans="1:7" ht="15.75" customHeight="1">
      <c r="A9" s="241" t="s">
        <v>74</v>
      </c>
      <c r="B9" s="242"/>
      <c r="C9" s="243"/>
    </row>
    <row r="10" spans="1:7" ht="26.25" customHeight="1">
      <c r="A10" s="253" t="s">
        <v>104</v>
      </c>
      <c r="B10" s="254"/>
      <c r="C10" s="255"/>
    </row>
    <row r="11" spans="1:7" ht="16.5" customHeight="1">
      <c r="A11" s="203">
        <v>1</v>
      </c>
      <c r="B11" s="238" t="s">
        <v>68</v>
      </c>
      <c r="C11" s="238"/>
      <c r="D11" s="202"/>
      <c r="E11" s="202"/>
    </row>
    <row r="12" spans="1:7" ht="16.5" customHeight="1">
      <c r="A12" s="201">
        <v>2</v>
      </c>
      <c r="B12" s="238" t="s">
        <v>31</v>
      </c>
      <c r="C12" s="238"/>
      <c r="D12" s="202"/>
      <c r="E12" s="202"/>
    </row>
    <row r="13" spans="1:7" ht="16.5" customHeight="1">
      <c r="A13" s="201">
        <v>3</v>
      </c>
      <c r="B13" s="238" t="s">
        <v>32</v>
      </c>
      <c r="C13" s="238"/>
      <c r="D13" s="202"/>
      <c r="E13" s="202"/>
    </row>
    <row r="14" spans="1:7" ht="16.5" customHeight="1">
      <c r="A14" s="201">
        <v>4</v>
      </c>
      <c r="B14" s="238" t="s">
        <v>66</v>
      </c>
      <c r="C14" s="238"/>
      <c r="D14" s="202"/>
      <c r="E14" s="202"/>
    </row>
    <row r="15" spans="1:7" ht="16.5" customHeight="1">
      <c r="A15" s="201">
        <v>6</v>
      </c>
      <c r="B15" s="238" t="s">
        <v>67</v>
      </c>
      <c r="C15" s="238"/>
      <c r="D15" s="202"/>
      <c r="E15" s="202"/>
    </row>
    <row r="16" spans="1:7" ht="18" customHeight="1">
      <c r="A16" s="201">
        <v>7</v>
      </c>
      <c r="B16" s="238" t="s">
        <v>33</v>
      </c>
      <c r="C16" s="238"/>
      <c r="D16" s="202"/>
      <c r="E16" s="202"/>
    </row>
    <row r="17" spans="1:3" ht="15.75" customHeight="1">
      <c r="A17" s="233" t="s">
        <v>46</v>
      </c>
      <c r="B17" s="234"/>
      <c r="C17" s="235"/>
    </row>
    <row r="18" spans="1:3" ht="14.25" customHeight="1">
      <c r="A18" s="198">
        <v>3</v>
      </c>
      <c r="B18" s="256" t="s">
        <v>84</v>
      </c>
      <c r="C18" s="257"/>
    </row>
    <row r="19" spans="1:3" ht="14.25" customHeight="1">
      <c r="A19" s="226" t="s">
        <v>20</v>
      </c>
      <c r="B19" s="227"/>
      <c r="C19" s="228"/>
    </row>
    <row r="20" spans="1:3" ht="12.75">
      <c r="A20" s="197">
        <v>1</v>
      </c>
      <c r="B20" s="224" t="s">
        <v>34</v>
      </c>
      <c r="C20" s="224"/>
    </row>
    <row r="21" spans="1:3" ht="93" customHeight="1">
      <c r="A21" s="198">
        <v>2</v>
      </c>
      <c r="B21" s="225" t="s">
        <v>47</v>
      </c>
      <c r="C21" s="225"/>
    </row>
    <row r="22" spans="1:3" ht="12.75">
      <c r="A22" s="198">
        <v>3</v>
      </c>
      <c r="B22" s="225" t="s">
        <v>101</v>
      </c>
      <c r="C22" s="225"/>
    </row>
    <row r="23" spans="1:3" ht="12.75">
      <c r="A23" s="198">
        <v>4</v>
      </c>
      <c r="B23" s="225" t="s">
        <v>102</v>
      </c>
      <c r="C23" s="225"/>
    </row>
    <row r="24" spans="1:3" ht="15.75" customHeight="1">
      <c r="A24" s="248" t="s">
        <v>45</v>
      </c>
      <c r="B24" s="248"/>
      <c r="C24" s="248"/>
    </row>
    <row r="25" spans="1:3" ht="12.75" customHeight="1">
      <c r="A25" s="197">
        <v>1</v>
      </c>
      <c r="B25" s="230" t="s">
        <v>35</v>
      </c>
      <c r="C25" s="230"/>
    </row>
    <row r="26" spans="1:3" ht="12.75">
      <c r="A26" s="198">
        <v>2</v>
      </c>
      <c r="B26" s="229" t="s">
        <v>36</v>
      </c>
      <c r="C26" s="229"/>
    </row>
    <row r="27" spans="1:3" ht="12.75" customHeight="1">
      <c r="A27" s="198">
        <v>3</v>
      </c>
      <c r="B27" s="225" t="s">
        <v>101</v>
      </c>
      <c r="C27" s="225"/>
    </row>
    <row r="28" spans="1:3" ht="13.5" customHeight="1">
      <c r="A28" s="245" t="s">
        <v>50</v>
      </c>
      <c r="B28" s="246"/>
      <c r="C28" s="247"/>
    </row>
    <row r="29" spans="1:3" ht="12.75">
      <c r="A29" s="197">
        <v>1</v>
      </c>
      <c r="B29" s="230" t="s">
        <v>35</v>
      </c>
      <c r="C29" s="230"/>
    </row>
    <row r="30" spans="1:3" ht="12.75">
      <c r="A30" s="198">
        <v>2</v>
      </c>
      <c r="B30" s="229" t="s">
        <v>36</v>
      </c>
      <c r="C30" s="229"/>
    </row>
    <row r="31" spans="1:3" ht="12.75" customHeight="1">
      <c r="A31" s="198">
        <v>3</v>
      </c>
      <c r="B31" s="225" t="s">
        <v>101</v>
      </c>
      <c r="C31" s="225"/>
    </row>
    <row r="32" spans="1:3" ht="13.5" customHeight="1">
      <c r="A32" s="245" t="s">
        <v>54</v>
      </c>
      <c r="B32" s="246"/>
      <c r="C32" s="247"/>
    </row>
    <row r="33" spans="1:3" ht="64.5" customHeight="1">
      <c r="A33" s="197">
        <v>1</v>
      </c>
      <c r="B33" s="249" t="s">
        <v>81</v>
      </c>
      <c r="C33" s="250"/>
    </row>
    <row r="34" spans="1:3" ht="117.75" customHeight="1">
      <c r="A34" s="198">
        <v>2</v>
      </c>
      <c r="B34" s="249" t="s">
        <v>103</v>
      </c>
      <c r="C34" s="250"/>
    </row>
    <row r="35" spans="1:3" ht="54.75" customHeight="1">
      <c r="A35" s="198">
        <v>3</v>
      </c>
      <c r="B35" s="249" t="s">
        <v>82</v>
      </c>
      <c r="C35" s="250"/>
    </row>
    <row r="36" spans="1:3" ht="32.25" customHeight="1">
      <c r="A36" s="198">
        <v>4</v>
      </c>
      <c r="B36" s="249" t="s">
        <v>59</v>
      </c>
      <c r="C36" s="250"/>
    </row>
    <row r="37" spans="1:3" ht="15.75" customHeight="1">
      <c r="A37" s="198">
        <v>5</v>
      </c>
      <c r="B37" s="225" t="s">
        <v>69</v>
      </c>
      <c r="C37" s="225"/>
    </row>
    <row r="38" spans="1:3" ht="107.25" customHeight="1">
      <c r="A38" s="198">
        <v>6</v>
      </c>
      <c r="B38" s="251" t="s">
        <v>100</v>
      </c>
      <c r="C38" s="225"/>
    </row>
    <row r="39" spans="1:3" ht="13.5" customHeight="1">
      <c r="A39" s="245" t="s">
        <v>21</v>
      </c>
      <c r="B39" s="246"/>
      <c r="C39" s="247"/>
    </row>
    <row r="40" spans="1:3" ht="12.75" customHeight="1">
      <c r="A40" s="197">
        <v>1</v>
      </c>
      <c r="B40" s="224" t="s">
        <v>37</v>
      </c>
      <c r="C40" s="224"/>
    </row>
    <row r="41" spans="1:3" ht="27.75" customHeight="1">
      <c r="A41" s="198">
        <v>2</v>
      </c>
      <c r="B41" s="225" t="s">
        <v>75</v>
      </c>
      <c r="C41" s="225"/>
    </row>
    <row r="42" spans="1:3" ht="15.75" customHeight="1">
      <c r="A42" s="199">
        <v>3</v>
      </c>
      <c r="B42" s="225" t="s">
        <v>38</v>
      </c>
      <c r="C42" s="225"/>
    </row>
    <row r="43" spans="1:3" ht="43.5" customHeight="1">
      <c r="A43" s="200">
        <v>4</v>
      </c>
      <c r="B43" s="244" t="s">
        <v>79</v>
      </c>
      <c r="C43" s="225"/>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45"/>
  <sheetViews>
    <sheetView showGridLines="0" topLeftCell="A7" zoomScaleNormal="100" workbookViewId="0">
      <selection activeCell="E31" sqref="E31"/>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66" t="s">
        <v>25</v>
      </c>
      <c r="B2" s="267"/>
      <c r="C2" s="272" t="str">
        <f>IF(ISBLANK('PROJECT ID|INSTRUCTIONS'!C3)," ",'PROJECT ID|INSTRUCTIONS'!C3)</f>
        <v xml:space="preserve">2013 DOCM1 685 </v>
      </c>
      <c r="D2" s="273"/>
      <c r="E2" s="273"/>
      <c r="F2" s="274"/>
    </row>
    <row r="3" spans="1:6" s="19" customFormat="1" ht="16.5" customHeight="1">
      <c r="A3" s="268" t="s">
        <v>22</v>
      </c>
      <c r="B3" s="269"/>
      <c r="C3" s="275" t="str">
        <f>IF(ISBLANK('PROJECT ID|INSTRUCTIONS'!C4)," ",'PROJECT ID|INSTRUCTIONS'!C4)</f>
        <v>DOC Health Portal</v>
      </c>
      <c r="D3" s="276"/>
      <c r="E3" s="276"/>
      <c r="F3" s="277"/>
    </row>
    <row r="4" spans="1:6" s="19" customFormat="1" ht="16.5" customHeight="1">
      <c r="A4" s="270" t="s">
        <v>26</v>
      </c>
      <c r="B4" s="271"/>
      <c r="C4" s="278">
        <v>41298</v>
      </c>
      <c r="D4" s="279"/>
      <c r="E4" s="279"/>
      <c r="F4" s="280"/>
    </row>
    <row r="5" spans="1:6" s="20" customFormat="1" ht="12" customHeight="1"/>
    <row r="6" spans="1:6" s="20" customFormat="1" ht="18.75" customHeight="1">
      <c r="A6" s="262" t="s">
        <v>20</v>
      </c>
      <c r="B6" s="263"/>
      <c r="C6" s="263"/>
      <c r="D6" s="263"/>
      <c r="E6" s="263"/>
      <c r="F6" s="264"/>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6"/>
      <c r="B10" s="126"/>
      <c r="C10" s="12"/>
      <c r="D10" s="15"/>
      <c r="E10" s="12"/>
      <c r="F10" s="15"/>
    </row>
    <row r="11" spans="1:6" s="27" customFormat="1">
      <c r="A11" s="96"/>
      <c r="B11" s="126"/>
      <c r="C11" s="13"/>
      <c r="D11" s="14"/>
      <c r="E11" s="13"/>
      <c r="F11" s="14"/>
    </row>
    <row r="12" spans="1:6" s="27" customFormat="1">
      <c r="A12" s="96"/>
      <c r="B12" s="126"/>
      <c r="C12" s="13"/>
      <c r="D12" s="14"/>
      <c r="E12" s="13"/>
      <c r="F12" s="14"/>
    </row>
    <row r="13" spans="1:6" s="27" customFormat="1">
      <c r="A13" s="96"/>
      <c r="B13" s="126"/>
      <c r="C13" s="12"/>
      <c r="D13" s="15"/>
      <c r="E13" s="12"/>
      <c r="F13" s="15"/>
    </row>
    <row r="14" spans="1:6" s="27" customFormat="1">
      <c r="A14" s="96"/>
      <c r="B14" s="126"/>
      <c r="C14" s="12"/>
      <c r="D14" s="15"/>
      <c r="E14" s="12"/>
      <c r="F14" s="15"/>
    </row>
    <row r="15" spans="1:6" ht="15" customHeight="1">
      <c r="A15" s="34" t="s">
        <v>11</v>
      </c>
      <c r="B15" s="35"/>
      <c r="C15" s="99"/>
      <c r="D15" s="100"/>
      <c r="E15" s="99"/>
      <c r="F15" s="100"/>
    </row>
    <row r="16" spans="1:6" s="27" customFormat="1">
      <c r="A16" s="96"/>
      <c r="B16" s="126" t="s">
        <v>128</v>
      </c>
      <c r="C16" s="13"/>
      <c r="D16" s="14"/>
      <c r="E16" s="13" t="s">
        <v>141</v>
      </c>
      <c r="F16" s="14">
        <v>1350000</v>
      </c>
    </row>
    <row r="17" spans="1:6" s="27" customFormat="1">
      <c r="A17" s="96"/>
      <c r="B17" s="126" t="s">
        <v>110</v>
      </c>
      <c r="C17" s="13"/>
      <c r="D17" s="14"/>
      <c r="E17" s="13" t="s">
        <v>141</v>
      </c>
      <c r="F17" s="14">
        <v>25000</v>
      </c>
    </row>
    <row r="18" spans="1:6" s="27" customFormat="1">
      <c r="A18" s="96"/>
      <c r="B18" s="126" t="s">
        <v>109</v>
      </c>
      <c r="C18" s="13"/>
      <c r="D18" s="14"/>
      <c r="E18" s="13" t="s">
        <v>141</v>
      </c>
      <c r="F18" s="14">
        <v>250000</v>
      </c>
    </row>
    <row r="19" spans="1:6" s="27" customFormat="1">
      <c r="A19" s="96"/>
      <c r="B19" s="126" t="s">
        <v>111</v>
      </c>
      <c r="C19" s="12"/>
      <c r="D19" s="15"/>
      <c r="E19" s="13" t="s">
        <v>141</v>
      </c>
      <c r="F19" s="15">
        <v>100000</v>
      </c>
    </row>
    <row r="20" spans="1:6" s="27" customFormat="1">
      <c r="A20" s="96"/>
      <c r="B20" s="126" t="s">
        <v>112</v>
      </c>
      <c r="C20" s="16"/>
      <c r="D20" s="17"/>
      <c r="E20" s="13" t="s">
        <v>141</v>
      </c>
      <c r="F20" s="17">
        <v>420000</v>
      </c>
    </row>
    <row r="21" spans="1:6" s="27" customFormat="1">
      <c r="A21" s="36"/>
      <c r="B21" s="211" t="s">
        <v>126</v>
      </c>
      <c r="C21" s="16"/>
      <c r="D21" s="17"/>
      <c r="E21" s="13" t="s">
        <v>141</v>
      </c>
      <c r="F21" s="17">
        <v>65000</v>
      </c>
    </row>
    <row r="22" spans="1:6" ht="15" customHeight="1">
      <c r="A22" s="34" t="s">
        <v>12</v>
      </c>
      <c r="B22" s="35"/>
      <c r="C22" s="97"/>
      <c r="D22" s="98"/>
      <c r="E22" s="187"/>
      <c r="F22" s="98"/>
    </row>
    <row r="23" spans="1:6" s="27" customFormat="1">
      <c r="A23" s="36"/>
      <c r="B23" s="127" t="s">
        <v>125</v>
      </c>
      <c r="C23" s="13"/>
      <c r="D23" s="14"/>
      <c r="E23" s="13" t="s">
        <v>141</v>
      </c>
      <c r="F23" s="14">
        <v>1000000</v>
      </c>
    </row>
    <row r="24" spans="1:6" s="27" customFormat="1">
      <c r="A24" s="36"/>
      <c r="B24" s="128"/>
      <c r="C24" s="13"/>
      <c r="D24" s="14"/>
      <c r="E24" s="13"/>
      <c r="F24" s="14"/>
    </row>
    <row r="25" spans="1:6" s="27" customFormat="1">
      <c r="A25" s="36"/>
      <c r="B25" s="128"/>
      <c r="C25" s="13"/>
      <c r="D25" s="14"/>
      <c r="E25" s="13"/>
      <c r="F25" s="14"/>
    </row>
    <row r="26" spans="1:6" s="27" customFormat="1">
      <c r="A26" s="36"/>
      <c r="B26" s="127"/>
      <c r="C26" s="12"/>
      <c r="D26" s="15"/>
      <c r="E26" s="12"/>
      <c r="F26" s="15"/>
    </row>
    <row r="27" spans="1:6" s="27" customFormat="1" ht="12.75" thickBot="1">
      <c r="A27" s="36"/>
      <c r="B27" s="129"/>
      <c r="C27" s="16"/>
      <c r="D27" s="17"/>
      <c r="E27" s="16"/>
      <c r="F27" s="17"/>
    </row>
    <row r="28" spans="1:6" ht="18" customHeight="1" thickTop="1" thickBot="1">
      <c r="A28" s="260" t="s">
        <v>0</v>
      </c>
      <c r="B28" s="261"/>
      <c r="C28" s="28"/>
      <c r="D28" s="29">
        <f>SUM(D9:D27)</f>
        <v>0</v>
      </c>
      <c r="E28" s="28"/>
      <c r="F28" s="29">
        <f>SUM(F9:F27)</f>
        <v>3210000</v>
      </c>
    </row>
    <row r="29" spans="1:6" ht="12.75" thickTop="1"/>
    <row r="31" spans="1:6">
      <c r="A31" s="216" t="s">
        <v>113</v>
      </c>
      <c r="B31" s="217"/>
      <c r="C31" s="217"/>
      <c r="D31" s="217"/>
      <c r="E31" s="217"/>
      <c r="F31" s="217"/>
    </row>
    <row r="32" spans="1:6">
      <c r="A32" s="218" t="s">
        <v>123</v>
      </c>
      <c r="B32" s="217"/>
      <c r="C32" s="217"/>
      <c r="D32" s="217"/>
      <c r="E32" s="217"/>
      <c r="F32" s="217"/>
    </row>
    <row r="33" spans="1:6">
      <c r="A33" s="259" t="s">
        <v>114</v>
      </c>
      <c r="B33" s="259"/>
      <c r="C33" s="259"/>
      <c r="D33" s="259"/>
      <c r="E33" s="259"/>
      <c r="F33" s="259"/>
    </row>
    <row r="34" spans="1:6">
      <c r="A34" s="259" t="s">
        <v>115</v>
      </c>
      <c r="B34" s="259"/>
      <c r="C34" s="259"/>
      <c r="D34" s="259"/>
      <c r="E34" s="259"/>
      <c r="F34" s="259"/>
    </row>
    <row r="35" spans="1:6">
      <c r="A35" s="259" t="s">
        <v>116</v>
      </c>
      <c r="B35" s="259"/>
      <c r="C35" s="259"/>
      <c r="D35" s="259"/>
      <c r="E35" s="259"/>
      <c r="F35" s="259"/>
    </row>
    <row r="36" spans="1:6">
      <c r="A36" s="259" t="s">
        <v>117</v>
      </c>
      <c r="B36" s="259"/>
      <c r="C36" s="259"/>
      <c r="D36" s="259"/>
      <c r="E36" s="259"/>
      <c r="F36" s="259"/>
    </row>
    <row r="37" spans="1:6">
      <c r="A37" s="259" t="s">
        <v>118</v>
      </c>
      <c r="B37" s="259"/>
      <c r="C37" s="259"/>
      <c r="D37" s="259"/>
      <c r="E37" s="259"/>
      <c r="F37" s="259"/>
    </row>
    <row r="38" spans="1:6">
      <c r="A38" s="259" t="s">
        <v>119</v>
      </c>
      <c r="B38" s="259"/>
      <c r="C38" s="259"/>
      <c r="D38" s="259"/>
      <c r="E38" s="259"/>
      <c r="F38" s="259"/>
    </row>
    <row r="39" spans="1:6">
      <c r="A39" s="259" t="s">
        <v>120</v>
      </c>
      <c r="B39" s="259"/>
      <c r="C39" s="259"/>
      <c r="D39" s="259"/>
      <c r="E39" s="259"/>
      <c r="F39" s="259"/>
    </row>
    <row r="40" spans="1:6" ht="35.25" customHeight="1">
      <c r="A40" s="265" t="s">
        <v>129</v>
      </c>
      <c r="B40" s="265"/>
      <c r="C40" s="265"/>
      <c r="D40" s="265"/>
      <c r="E40" s="265"/>
      <c r="F40" s="265"/>
    </row>
    <row r="41" spans="1:6">
      <c r="A41" s="217"/>
      <c r="B41" s="217"/>
      <c r="C41" s="217"/>
      <c r="D41" s="217"/>
      <c r="E41" s="217"/>
      <c r="F41" s="217"/>
    </row>
    <row r="42" spans="1:6">
      <c r="A42" s="216" t="s">
        <v>124</v>
      </c>
      <c r="B42" s="217"/>
      <c r="C42" s="217"/>
      <c r="D42" s="217"/>
      <c r="E42" s="217"/>
      <c r="F42" s="217"/>
    </row>
    <row r="43" spans="1:6" ht="27.75" customHeight="1">
      <c r="A43" s="258" t="s">
        <v>132</v>
      </c>
      <c r="B43" s="258"/>
      <c r="C43" s="258"/>
      <c r="D43" s="258"/>
      <c r="E43" s="258"/>
      <c r="F43" s="258"/>
    </row>
    <row r="45" spans="1:6" ht="15">
      <c r="A45" s="366" t="s">
        <v>139</v>
      </c>
    </row>
  </sheetData>
  <sheetProtection formatCells="0" formatColumns="0" formatRows="0" selectLockedCells="1"/>
  <mergeCells count="17">
    <mergeCell ref="A2:B2"/>
    <mergeCell ref="A3:B3"/>
    <mergeCell ref="A4:B4"/>
    <mergeCell ref="C2:F2"/>
    <mergeCell ref="C3:F3"/>
    <mergeCell ref="C4:F4"/>
    <mergeCell ref="A43:F43"/>
    <mergeCell ref="A33:F33"/>
    <mergeCell ref="A34:F34"/>
    <mergeCell ref="A28:B28"/>
    <mergeCell ref="A6:F6"/>
    <mergeCell ref="A40:F40"/>
    <mergeCell ref="A35:F35"/>
    <mergeCell ref="A36:F36"/>
    <mergeCell ref="A37:F37"/>
    <mergeCell ref="A38:F38"/>
    <mergeCell ref="A39:F39"/>
  </mergeCells>
  <phoneticPr fontId="1" type="noConversion"/>
  <printOptions horizontalCentered="1"/>
  <pageMargins left="0.75" right="0.75" top="1.26" bottom="0.65" header="0.5" footer="0.45"/>
  <pageSetup scale="70"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L35"/>
  <sheetViews>
    <sheetView showGridLines="0" zoomScaleNormal="100" workbookViewId="0">
      <pane ySplit="7" topLeftCell="A9" activePane="bottomLeft" state="frozen"/>
      <selection pane="bottomLeft" activeCell="A33" sqref="A33"/>
    </sheetView>
  </sheetViews>
  <sheetFormatPr defaultRowHeight="12.75"/>
  <cols>
    <col min="1" max="2" width="10.7109375" style="20" customWidth="1"/>
    <col min="3" max="3" width="29.7109375" style="20" customWidth="1"/>
    <col min="4" max="11" width="12.7109375" style="20" customWidth="1"/>
    <col min="12" max="12" width="14.140625" style="20" customWidth="1"/>
    <col min="13" max="16384" width="9.140625" style="20"/>
  </cols>
  <sheetData>
    <row r="1" spans="1:12" ht="12" customHeight="1"/>
    <row r="2" spans="1:12" ht="16.5" customHeight="1">
      <c r="A2" s="285" t="s">
        <v>25</v>
      </c>
      <c r="B2" s="286"/>
      <c r="C2" s="287"/>
      <c r="D2" s="272" t="str">
        <f>IF(ISBLANK('PROJECT ID|INSTRUCTIONS'!C3)," ",'PROJECT ID|INSTRUCTIONS'!C3)</f>
        <v xml:space="preserve">2013 DOCM1 685 </v>
      </c>
      <c r="E2" s="273"/>
      <c r="F2" s="273"/>
      <c r="G2" s="273"/>
      <c r="H2" s="273"/>
      <c r="I2" s="274"/>
      <c r="J2" s="362"/>
    </row>
    <row r="3" spans="1:12" ht="16.5" customHeight="1">
      <c r="A3" s="288" t="s">
        <v>22</v>
      </c>
      <c r="B3" s="289"/>
      <c r="C3" s="269"/>
      <c r="D3" s="275" t="str">
        <f>IF(ISBLANK('PROJECT ID|INSTRUCTIONS'!C4)," ",'PROJECT ID|INSTRUCTIONS'!C4)</f>
        <v>DOC Health Portal</v>
      </c>
      <c r="E3" s="276"/>
      <c r="F3" s="276"/>
      <c r="G3" s="276"/>
      <c r="H3" s="276"/>
      <c r="I3" s="277"/>
      <c r="J3" s="362"/>
    </row>
    <row r="4" spans="1:12" ht="16.5" customHeight="1">
      <c r="A4" s="290" t="s">
        <v>26</v>
      </c>
      <c r="B4" s="291"/>
      <c r="C4" s="292"/>
      <c r="D4" s="278">
        <f>IF(ISBLANK('PROJECT ID|INSTRUCTIONS'!C5)," ",'PROJECT ID|INSTRUCTIONS'!C5)</f>
        <v>41298</v>
      </c>
      <c r="E4" s="279"/>
      <c r="F4" s="279"/>
      <c r="G4" s="279"/>
      <c r="H4" s="279"/>
      <c r="I4" s="280"/>
      <c r="J4" s="363"/>
    </row>
    <row r="5" spans="1:12" s="50" customFormat="1" ht="12" customHeight="1">
      <c r="A5" s="49" t="s">
        <v>48</v>
      </c>
      <c r="B5" s="49"/>
      <c r="C5" s="49"/>
      <c r="D5" s="49"/>
      <c r="E5" s="49"/>
      <c r="F5" s="49"/>
      <c r="G5" s="49"/>
    </row>
    <row r="6" spans="1:12" s="51" customFormat="1" ht="18" customHeight="1">
      <c r="A6" s="296" t="s">
        <v>55</v>
      </c>
      <c r="B6" s="297"/>
      <c r="C6" s="297"/>
      <c r="D6" s="297"/>
      <c r="E6" s="297"/>
      <c r="F6" s="297"/>
      <c r="G6" s="297"/>
      <c r="H6" s="297"/>
      <c r="I6" s="297"/>
      <c r="J6" s="297"/>
      <c r="K6" s="297"/>
      <c r="L6" s="298"/>
    </row>
    <row r="7" spans="1:12" s="51" customFormat="1" ht="25.5">
      <c r="A7" s="52"/>
      <c r="B7" s="53" t="s">
        <v>14</v>
      </c>
      <c r="C7" s="54" t="s">
        <v>15</v>
      </c>
      <c r="D7" s="55" t="s">
        <v>13</v>
      </c>
      <c r="E7" s="55" t="str">
        <f>CONCATENATE("FY ",[2]Settings!$C$1)</f>
        <v>FY 2013</v>
      </c>
      <c r="F7" s="55" t="str">
        <f>CONCATENATE("FY ",[2]Settings!$C$1+1)</f>
        <v>FY 2014</v>
      </c>
      <c r="G7" s="55" t="str">
        <f>CONCATENATE("FY ",[2]Settings!$C$1+2)</f>
        <v>FY 2015</v>
      </c>
      <c r="H7" s="55" t="str">
        <f>CONCATENATE("FY ",[2]Settings!$C$1+3)</f>
        <v>FY 2016</v>
      </c>
      <c r="I7" s="55" t="str">
        <f>CONCATENATE("FY ",[2]Settings!$C$1+4)</f>
        <v>FY 2017</v>
      </c>
      <c r="J7" s="55" t="str">
        <f>CONCATENATE("FY ",[2]Settings!$C$1+5)</f>
        <v>FY 2018</v>
      </c>
      <c r="K7" s="55" t="str">
        <f>CONCATENATE("Out Years after FY",[1]Settings!$C$1+5)</f>
        <v>Out Years after FY2018</v>
      </c>
      <c r="L7" s="56" t="s">
        <v>0</v>
      </c>
    </row>
    <row r="8" spans="1:12" ht="16.5" customHeight="1">
      <c r="A8" s="299" t="s">
        <v>86</v>
      </c>
      <c r="B8" s="57">
        <v>50110</v>
      </c>
      <c r="C8" s="57" t="s">
        <v>87</v>
      </c>
      <c r="D8" s="3"/>
      <c r="E8" s="3"/>
      <c r="F8" s="3"/>
      <c r="G8" s="3"/>
      <c r="H8" s="3"/>
      <c r="I8" s="3"/>
      <c r="J8" s="3"/>
      <c r="K8" s="3">
        <v>200000</v>
      </c>
      <c r="L8" s="178">
        <f>SUM(D8:K8)</f>
        <v>200000</v>
      </c>
    </row>
    <row r="9" spans="1:12" ht="16.5" customHeight="1">
      <c r="A9" s="300"/>
      <c r="B9" s="57">
        <v>50130</v>
      </c>
      <c r="C9" s="57" t="s">
        <v>88</v>
      </c>
      <c r="D9" s="1"/>
      <c r="E9" s="1"/>
      <c r="F9" s="1"/>
      <c r="G9" s="1"/>
      <c r="H9" s="1"/>
      <c r="I9" s="1"/>
      <c r="J9" s="1"/>
      <c r="K9" s="1"/>
      <c r="L9" s="98">
        <f t="shared" ref="L9:L19" si="0">SUM(D9:K9)</f>
        <v>0</v>
      </c>
    </row>
    <row r="10" spans="1:12" ht="16.5" customHeight="1">
      <c r="A10" s="300"/>
      <c r="B10" s="57">
        <v>50170</v>
      </c>
      <c r="C10" s="57" t="s">
        <v>89</v>
      </c>
      <c r="D10" s="2"/>
      <c r="E10" s="2"/>
      <c r="F10" s="2"/>
      <c r="G10" s="2"/>
      <c r="H10" s="2"/>
      <c r="I10" s="2"/>
      <c r="J10" s="2"/>
      <c r="K10" s="2"/>
      <c r="L10" s="186">
        <f t="shared" si="0"/>
        <v>0</v>
      </c>
    </row>
    <row r="11" spans="1:12" ht="16.5" customHeight="1" thickBot="1">
      <c r="A11" s="301"/>
      <c r="B11" s="58" t="s">
        <v>16</v>
      </c>
      <c r="C11" s="58"/>
      <c r="D11" s="59">
        <f>SUM(D8:D10)</f>
        <v>0</v>
      </c>
      <c r="E11" s="59">
        <f t="shared" ref="E11:K11" si="1">SUM(E8:E10)</f>
        <v>0</v>
      </c>
      <c r="F11" s="59">
        <f t="shared" si="1"/>
        <v>0</v>
      </c>
      <c r="G11" s="59">
        <f t="shared" si="1"/>
        <v>0</v>
      </c>
      <c r="H11" s="59">
        <f t="shared" si="1"/>
        <v>0</v>
      </c>
      <c r="I11" s="59">
        <f t="shared" si="1"/>
        <v>0</v>
      </c>
      <c r="J11" s="59">
        <f t="shared" si="1"/>
        <v>0</v>
      </c>
      <c r="K11" s="59">
        <f t="shared" si="1"/>
        <v>200000</v>
      </c>
      <c r="L11" s="60">
        <f t="shared" si="0"/>
        <v>200000</v>
      </c>
    </row>
    <row r="12" spans="1:12" ht="16.5" customHeight="1" thickTop="1">
      <c r="A12" s="302" t="s">
        <v>85</v>
      </c>
      <c r="B12" s="57">
        <v>53715</v>
      </c>
      <c r="C12" s="57" t="s">
        <v>90</v>
      </c>
      <c r="D12" s="3"/>
      <c r="F12" s="3">
        <v>600000</v>
      </c>
      <c r="G12" s="3">
        <v>600000</v>
      </c>
      <c r="H12" s="3">
        <v>300000</v>
      </c>
      <c r="I12" s="3">
        <v>300000</v>
      </c>
      <c r="J12" s="3">
        <v>200000</v>
      </c>
      <c r="K12" s="3"/>
      <c r="L12" s="185">
        <f t="shared" si="0"/>
        <v>2000000</v>
      </c>
    </row>
    <row r="13" spans="1:12" ht="16.5" customHeight="1">
      <c r="A13" s="300"/>
      <c r="B13" s="57">
        <v>53720</v>
      </c>
      <c r="C13" s="57" t="s">
        <v>91</v>
      </c>
      <c r="D13" s="1"/>
      <c r="E13" s="1"/>
      <c r="F13" s="1"/>
      <c r="G13" s="1"/>
      <c r="H13" s="1"/>
      <c r="I13" s="1"/>
      <c r="J13" s="1"/>
      <c r="K13" s="1"/>
      <c r="L13" s="98">
        <f t="shared" si="0"/>
        <v>0</v>
      </c>
    </row>
    <row r="14" spans="1:12" ht="16.5" customHeight="1">
      <c r="A14" s="300"/>
      <c r="B14" s="57">
        <v>53735</v>
      </c>
      <c r="C14" s="57" t="s">
        <v>92</v>
      </c>
      <c r="D14" s="1"/>
      <c r="E14" s="1"/>
      <c r="F14" s="1"/>
      <c r="G14" s="1"/>
      <c r="H14" s="1"/>
      <c r="I14" s="1"/>
      <c r="J14" s="1"/>
      <c r="K14" s="1"/>
      <c r="L14" s="98">
        <f t="shared" si="0"/>
        <v>0</v>
      </c>
    </row>
    <row r="15" spans="1:12" ht="16.5" customHeight="1">
      <c r="A15" s="300"/>
      <c r="B15" s="57">
        <v>53740</v>
      </c>
      <c r="C15" s="57" t="s">
        <v>93</v>
      </c>
      <c r="D15" s="1"/>
      <c r="E15" s="1"/>
      <c r="F15" s="1"/>
      <c r="G15" s="1"/>
      <c r="H15" s="1"/>
      <c r="I15" s="1"/>
      <c r="J15" s="1"/>
      <c r="K15" s="1"/>
      <c r="L15" s="98">
        <f t="shared" si="0"/>
        <v>0</v>
      </c>
    </row>
    <row r="16" spans="1:12" ht="16.5" customHeight="1">
      <c r="A16" s="300"/>
      <c r="B16" s="57">
        <v>53755</v>
      </c>
      <c r="C16" s="57" t="s">
        <v>94</v>
      </c>
      <c r="D16" s="1"/>
      <c r="F16" s="1">
        <v>4350000</v>
      </c>
      <c r="G16" s="1">
        <v>500000</v>
      </c>
      <c r="H16" s="1"/>
      <c r="I16" s="1"/>
      <c r="J16" s="1"/>
      <c r="K16" s="1"/>
      <c r="L16" s="98">
        <f t="shared" si="0"/>
        <v>4850000</v>
      </c>
    </row>
    <row r="17" spans="1:12" ht="16.5" customHeight="1">
      <c r="A17" s="300"/>
      <c r="B17" s="57">
        <v>53760</v>
      </c>
      <c r="C17" s="57" t="s">
        <v>95</v>
      </c>
      <c r="D17" s="1"/>
      <c r="E17" s="1"/>
      <c r="G17" s="1">
        <v>300000</v>
      </c>
      <c r="H17" s="1">
        <v>300000</v>
      </c>
      <c r="I17" s="1">
        <v>300000</v>
      </c>
      <c r="J17" s="1">
        <v>300000</v>
      </c>
      <c r="K17" s="1">
        <v>300000</v>
      </c>
      <c r="L17" s="186">
        <f t="shared" si="0"/>
        <v>1500000</v>
      </c>
    </row>
    <row r="18" spans="1:12" ht="16.5" customHeight="1" thickBot="1">
      <c r="A18" s="301"/>
      <c r="B18" s="58" t="s">
        <v>16</v>
      </c>
      <c r="C18" s="58"/>
      <c r="D18" s="59">
        <f>SUM(D12:D17)</f>
        <v>0</v>
      </c>
      <c r="E18" s="59">
        <f t="shared" ref="E18:K18" si="2">SUM(E12:E17)</f>
        <v>0</v>
      </c>
      <c r="F18" s="59">
        <f t="shared" si="2"/>
        <v>4950000</v>
      </c>
      <c r="G18" s="59">
        <f t="shared" si="2"/>
        <v>1400000</v>
      </c>
      <c r="H18" s="59">
        <f t="shared" si="2"/>
        <v>600000</v>
      </c>
      <c r="I18" s="59">
        <f>SUM(I12:I17)</f>
        <v>600000</v>
      </c>
      <c r="J18" s="59">
        <f>SUM(J12:J17)</f>
        <v>500000</v>
      </c>
      <c r="K18" s="59">
        <f t="shared" si="2"/>
        <v>300000</v>
      </c>
      <c r="L18" s="60">
        <f>SUM(D18:K18)</f>
        <v>8350000</v>
      </c>
    </row>
    <row r="19" spans="1:12" ht="16.5" customHeight="1" thickTop="1">
      <c r="A19" s="302" t="s">
        <v>96</v>
      </c>
      <c r="B19" s="57">
        <v>55700</v>
      </c>
      <c r="C19" s="57" t="s">
        <v>97</v>
      </c>
      <c r="D19" s="1"/>
      <c r="F19" s="1">
        <v>1200000</v>
      </c>
      <c r="G19" s="1"/>
      <c r="H19" s="1"/>
      <c r="I19" s="1"/>
      <c r="J19" s="1"/>
      <c r="K19" s="1"/>
      <c r="L19" s="185">
        <f t="shared" si="0"/>
        <v>1200000</v>
      </c>
    </row>
    <row r="20" spans="1:12" ht="16.5" customHeight="1">
      <c r="A20" s="299"/>
      <c r="B20" s="57">
        <v>55710</v>
      </c>
      <c r="C20" s="57" t="s">
        <v>98</v>
      </c>
      <c r="D20" s="1"/>
      <c r="E20" s="1"/>
      <c r="F20" s="1"/>
      <c r="G20" s="1"/>
      <c r="H20" s="1"/>
      <c r="I20" s="1"/>
      <c r="J20" s="1"/>
      <c r="K20" s="1"/>
      <c r="L20" s="206"/>
    </row>
    <row r="21" spans="1:12" ht="48" customHeight="1">
      <c r="A21" s="299"/>
      <c r="B21" s="57">
        <v>55730</v>
      </c>
      <c r="C21" s="57" t="s">
        <v>99</v>
      </c>
      <c r="D21" s="1"/>
      <c r="E21" s="1"/>
      <c r="F21" s="1"/>
      <c r="G21" s="1"/>
      <c r="H21" s="1"/>
      <c r="I21" s="1"/>
      <c r="J21" s="1"/>
      <c r="K21" s="1"/>
      <c r="L21" s="206"/>
    </row>
    <row r="22" spans="1:12" ht="16.5" customHeight="1" thickBot="1">
      <c r="A22" s="301"/>
      <c r="B22" s="58" t="s">
        <v>16</v>
      </c>
      <c r="C22" s="58"/>
      <c r="D22" s="59">
        <f t="shared" ref="D22:K22" si="3">SUM(D19:D21)</f>
        <v>0</v>
      </c>
      <c r="E22" s="59">
        <f t="shared" si="3"/>
        <v>0</v>
      </c>
      <c r="F22" s="59">
        <f>SUM(F19:F21)</f>
        <v>1200000</v>
      </c>
      <c r="G22" s="59">
        <f t="shared" si="3"/>
        <v>0</v>
      </c>
      <c r="H22" s="59">
        <f t="shared" si="3"/>
        <v>0</v>
      </c>
      <c r="I22" s="59">
        <f t="shared" si="3"/>
        <v>0</v>
      </c>
      <c r="J22" s="59">
        <f t="shared" si="3"/>
        <v>0</v>
      </c>
      <c r="K22" s="59">
        <f t="shared" si="3"/>
        <v>0</v>
      </c>
      <c r="L22" s="60">
        <f>SUM(D22:K22)</f>
        <v>1200000</v>
      </c>
    </row>
    <row r="23" spans="1:12" ht="16.5" customHeight="1" thickTop="1" thickBot="1">
      <c r="A23" s="293" t="s">
        <v>17</v>
      </c>
      <c r="B23" s="294"/>
      <c r="C23" s="295"/>
      <c r="D23" s="29">
        <f t="shared" ref="D23:K23" si="4">D11+D18+D22</f>
        <v>0</v>
      </c>
      <c r="E23" s="29">
        <f t="shared" si="4"/>
        <v>0</v>
      </c>
      <c r="F23" s="29">
        <f t="shared" si="4"/>
        <v>6150000</v>
      </c>
      <c r="G23" s="29">
        <f t="shared" si="4"/>
        <v>1400000</v>
      </c>
      <c r="H23" s="29">
        <f t="shared" si="4"/>
        <v>600000</v>
      </c>
      <c r="I23" s="29">
        <f t="shared" si="4"/>
        <v>600000</v>
      </c>
      <c r="J23" s="29">
        <f t="shared" si="4"/>
        <v>500000</v>
      </c>
      <c r="K23" s="29">
        <f t="shared" si="4"/>
        <v>500000</v>
      </c>
      <c r="L23" s="29">
        <f>SUM(D23:K23)</f>
        <v>9750000</v>
      </c>
    </row>
    <row r="24" spans="1:12" ht="13.5" thickTop="1"/>
    <row r="26" spans="1:12">
      <c r="A26" s="212" t="s">
        <v>113</v>
      </c>
      <c r="B26" s="213"/>
      <c r="C26" s="213"/>
      <c r="D26" s="213"/>
      <c r="E26" s="213"/>
      <c r="F26" s="213"/>
      <c r="G26" s="214"/>
      <c r="H26" s="214"/>
      <c r="I26" s="214"/>
      <c r="J26" s="214"/>
      <c r="K26" s="214"/>
      <c r="L26" s="214"/>
    </row>
    <row r="27" spans="1:12" ht="29.25" customHeight="1">
      <c r="A27" s="281" t="s">
        <v>138</v>
      </c>
      <c r="B27" s="281"/>
      <c r="C27" s="281"/>
      <c r="D27" s="281"/>
      <c r="E27" s="281"/>
      <c r="F27" s="281"/>
      <c r="G27" s="281"/>
      <c r="H27" s="281"/>
      <c r="I27" s="281"/>
      <c r="J27" s="281"/>
      <c r="K27" s="281"/>
      <c r="L27" s="281"/>
    </row>
    <row r="28" spans="1:12" ht="10.5" customHeight="1">
      <c r="A28" s="284" t="s">
        <v>135</v>
      </c>
      <c r="B28" s="284"/>
      <c r="C28" s="284"/>
      <c r="D28" s="284"/>
      <c r="E28" s="284"/>
      <c r="F28" s="284"/>
      <c r="G28" s="284"/>
      <c r="H28" s="284"/>
      <c r="I28" s="284"/>
      <c r="J28" s="284"/>
      <c r="K28" s="284"/>
      <c r="L28" s="284"/>
    </row>
    <row r="29" spans="1:12" s="210" customFormat="1" ht="21" customHeight="1">
      <c r="A29" s="283" t="s">
        <v>121</v>
      </c>
      <c r="B29" s="283"/>
      <c r="C29" s="283"/>
      <c r="D29" s="283"/>
      <c r="E29" s="283"/>
      <c r="F29" s="283"/>
      <c r="G29" s="283"/>
      <c r="H29" s="283"/>
      <c r="I29" s="283"/>
      <c r="J29" s="283"/>
      <c r="K29" s="283"/>
      <c r="L29" s="283"/>
    </row>
    <row r="30" spans="1:12" s="210" customFormat="1" ht="10.5">
      <c r="A30" s="282" t="s">
        <v>122</v>
      </c>
      <c r="B30" s="282"/>
      <c r="C30" s="282"/>
      <c r="D30" s="282"/>
      <c r="E30" s="282"/>
      <c r="F30" s="282"/>
      <c r="G30" s="215"/>
      <c r="H30" s="215"/>
      <c r="I30" s="215"/>
      <c r="J30" s="215"/>
      <c r="K30" s="215"/>
      <c r="L30" s="215"/>
    </row>
    <row r="31" spans="1:12" s="210" customFormat="1" ht="10.5">
      <c r="A31" s="215" t="s">
        <v>127</v>
      </c>
      <c r="B31" s="215"/>
      <c r="C31" s="215"/>
      <c r="D31" s="215"/>
      <c r="E31" s="215"/>
      <c r="F31" s="215"/>
      <c r="G31" s="215"/>
      <c r="H31" s="215"/>
      <c r="I31" s="215"/>
      <c r="J31" s="215"/>
      <c r="K31" s="215"/>
      <c r="L31" s="215"/>
    </row>
    <row r="32" spans="1:12" s="210" customFormat="1" ht="10.5">
      <c r="A32" s="215"/>
      <c r="B32" s="215"/>
      <c r="C32" s="215"/>
      <c r="D32" s="215"/>
      <c r="E32" s="215"/>
      <c r="F32" s="215"/>
      <c r="G32" s="215"/>
      <c r="H32" s="215"/>
      <c r="I32" s="215"/>
      <c r="J32" s="215"/>
      <c r="K32" s="215"/>
      <c r="L32" s="215"/>
    </row>
    <row r="33" spans="1:1">
      <c r="A33" s="20" t="s">
        <v>140</v>
      </c>
    </row>
    <row r="35" spans="1:1" ht="15">
      <c r="A35" s="366" t="s">
        <v>139</v>
      </c>
    </row>
  </sheetData>
  <sheetProtection formatCells="0" formatColumns="0" formatRows="0" selectLockedCells="1"/>
  <mergeCells count="15">
    <mergeCell ref="A27:L27"/>
    <mergeCell ref="A30:F30"/>
    <mergeCell ref="A29:L29"/>
    <mergeCell ref="A28:L28"/>
    <mergeCell ref="A2:C2"/>
    <mergeCell ref="A3:C3"/>
    <mergeCell ref="A4:C4"/>
    <mergeCell ref="D2:I2"/>
    <mergeCell ref="D3:I3"/>
    <mergeCell ref="D4:I4"/>
    <mergeCell ref="A23:C23"/>
    <mergeCell ref="A6:L6"/>
    <mergeCell ref="A8:A11"/>
    <mergeCell ref="A12:A18"/>
    <mergeCell ref="A19:A22"/>
  </mergeCells>
  <phoneticPr fontId="0" type="noConversion"/>
  <printOptions horizontalCentered="1"/>
  <pageMargins left="0.75" right="0.75" top="1.27" bottom="0.64" header="0.5" footer="0.45"/>
  <pageSetup scale="7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L35"/>
  <sheetViews>
    <sheetView showGridLines="0" zoomScaleNormal="100" workbookViewId="0">
      <pane ySplit="7" topLeftCell="A8" activePane="bottomLeft" state="frozen"/>
      <selection pane="bottomLeft" activeCell="A33" sqref="A33"/>
    </sheetView>
  </sheetViews>
  <sheetFormatPr defaultRowHeight="10.5"/>
  <cols>
    <col min="1" max="2" width="10.7109375" style="9" customWidth="1"/>
    <col min="3" max="3" width="29.7109375" style="9" customWidth="1"/>
    <col min="4" max="11" width="12.7109375" style="9" customWidth="1"/>
    <col min="12" max="12" width="13" style="9" customWidth="1"/>
    <col min="13" max="16384" width="9.140625" style="9"/>
  </cols>
  <sheetData>
    <row r="1" spans="1:12" ht="12" customHeight="1"/>
    <row r="2" spans="1:12" s="64" customFormat="1" ht="16.5" customHeight="1">
      <c r="A2" s="285" t="s">
        <v>25</v>
      </c>
      <c r="B2" s="286"/>
      <c r="C2" s="286"/>
      <c r="D2" s="273" t="str">
        <f>IF(ISBLANK('PROJECT ID|INSTRUCTIONS'!C3)," ",'PROJECT ID|INSTRUCTIONS'!C3)</f>
        <v xml:space="preserve">2013 DOCM1 685 </v>
      </c>
      <c r="E2" s="303"/>
      <c r="F2" s="303"/>
      <c r="G2" s="303"/>
      <c r="H2" s="303"/>
      <c r="I2" s="304"/>
      <c r="J2" s="364"/>
    </row>
    <row r="3" spans="1:12" s="64" customFormat="1" ht="16.5" customHeight="1">
      <c r="A3" s="288" t="s">
        <v>22</v>
      </c>
      <c r="B3" s="289"/>
      <c r="C3" s="289"/>
      <c r="D3" s="276" t="str">
        <f>IF(ISBLANK('PROJECT ID|INSTRUCTIONS'!C4)," ",'PROJECT ID|INSTRUCTIONS'!C4)</f>
        <v>DOC Health Portal</v>
      </c>
      <c r="E3" s="305"/>
      <c r="F3" s="305"/>
      <c r="G3" s="305"/>
      <c r="H3" s="305"/>
      <c r="I3" s="306"/>
      <c r="J3" s="364"/>
    </row>
    <row r="4" spans="1:12" s="64" customFormat="1" ht="16.5" customHeight="1">
      <c r="A4" s="290" t="s">
        <v>26</v>
      </c>
      <c r="B4" s="291"/>
      <c r="C4" s="291"/>
      <c r="D4" s="279">
        <f>IF(ISBLANK('PROJECT ID|INSTRUCTIONS'!C5)," ",'PROJECT ID|INSTRUCTIONS'!C5)</f>
        <v>41298</v>
      </c>
      <c r="E4" s="307"/>
      <c r="F4" s="307"/>
      <c r="G4" s="307"/>
      <c r="H4" s="307"/>
      <c r="I4" s="308"/>
      <c r="J4" s="365"/>
    </row>
    <row r="5" spans="1:12" s="64" customFormat="1" ht="12" customHeight="1">
      <c r="A5" s="65"/>
      <c r="B5" s="65"/>
      <c r="C5" s="65"/>
      <c r="D5" s="65"/>
      <c r="E5" s="66"/>
      <c r="F5" s="66"/>
      <c r="G5" s="66"/>
      <c r="H5" s="66"/>
      <c r="I5" s="66"/>
      <c r="J5" s="66"/>
    </row>
    <row r="6" spans="1:12" ht="18" customHeight="1">
      <c r="A6" s="309" t="s">
        <v>56</v>
      </c>
      <c r="B6" s="310"/>
      <c r="C6" s="310"/>
      <c r="D6" s="310"/>
      <c r="E6" s="310"/>
      <c r="F6" s="310"/>
      <c r="G6" s="310"/>
      <c r="H6" s="310"/>
      <c r="I6" s="310"/>
      <c r="J6" s="310"/>
      <c r="K6" s="310"/>
      <c r="L6" s="311"/>
    </row>
    <row r="7" spans="1:12" ht="26.25" thickBot="1">
      <c r="A7" s="67"/>
      <c r="B7" s="68" t="s">
        <v>14</v>
      </c>
      <c r="C7" s="68" t="s">
        <v>15</v>
      </c>
      <c r="D7" s="69" t="s">
        <v>13</v>
      </c>
      <c r="E7" s="69" t="str">
        <f>CONCATENATE("FY ",Settings!$C$1)</f>
        <v>FY 2013</v>
      </c>
      <c r="F7" s="69" t="str">
        <f>CONCATENATE("FY ",Settings!$C$1+1)</f>
        <v>FY 2014</v>
      </c>
      <c r="G7" s="69" t="str">
        <f>CONCATENATE("FY ",Settings!$C$1+2)</f>
        <v>FY 2015</v>
      </c>
      <c r="H7" s="69" t="str">
        <f>CONCATENATE("FY ",Settings!$C$1+3)</f>
        <v>FY 2016</v>
      </c>
      <c r="I7" s="69" t="str">
        <f>CONCATENATE("FY ",Settings!$C$1+4)</f>
        <v>FY 2017</v>
      </c>
      <c r="J7" s="69" t="str">
        <f>CONCATENATE("FY ",Settings!$C$1+5)</f>
        <v>FY 2018</v>
      </c>
      <c r="K7" s="69" t="str">
        <f>CONCATENATE("Out Years after FY",Settings!$C$1+5)</f>
        <v>Out Years after FY2018</v>
      </c>
      <c r="L7" s="70" t="s">
        <v>0</v>
      </c>
    </row>
    <row r="8" spans="1:12" ht="16.5" customHeight="1">
      <c r="A8" s="299" t="s">
        <v>86</v>
      </c>
      <c r="B8" s="57">
        <v>50110</v>
      </c>
      <c r="C8" s="57" t="s">
        <v>87</v>
      </c>
      <c r="D8" s="204"/>
      <c r="E8" s="220"/>
      <c r="F8" s="220"/>
      <c r="G8" s="220"/>
      <c r="H8" s="220"/>
      <c r="I8" s="220"/>
      <c r="J8" s="221"/>
      <c r="K8" s="221"/>
      <c r="L8" s="181">
        <f>SUM(D8:K8)</f>
        <v>0</v>
      </c>
    </row>
    <row r="9" spans="1:12" ht="16.5" customHeight="1">
      <c r="A9" s="300"/>
      <c r="B9" s="57">
        <v>50130</v>
      </c>
      <c r="C9" s="57" t="s">
        <v>88</v>
      </c>
      <c r="D9" s="1"/>
      <c r="E9" s="1"/>
      <c r="F9" s="1"/>
      <c r="G9" s="1"/>
      <c r="H9" s="1"/>
      <c r="I9" s="1"/>
      <c r="J9" s="40"/>
      <c r="K9" s="40"/>
      <c r="L9" s="182">
        <f t="shared" ref="L9:L23" si="0">SUM(D9:K9)</f>
        <v>0</v>
      </c>
    </row>
    <row r="10" spans="1:12" ht="16.5" customHeight="1">
      <c r="A10" s="300"/>
      <c r="B10" s="57">
        <v>50170</v>
      </c>
      <c r="C10" s="57" t="s">
        <v>89</v>
      </c>
      <c r="D10" s="2"/>
      <c r="E10" s="2"/>
      <c r="F10" s="2"/>
      <c r="G10" s="2"/>
      <c r="H10" s="2"/>
      <c r="I10" s="2"/>
      <c r="J10" s="41"/>
      <c r="K10" s="41"/>
      <c r="L10" s="183">
        <f t="shared" si="0"/>
        <v>0</v>
      </c>
    </row>
    <row r="11" spans="1:12" ht="16.5" customHeight="1" thickBot="1">
      <c r="A11" s="301"/>
      <c r="B11" s="58" t="s">
        <v>16</v>
      </c>
      <c r="C11" s="58"/>
      <c r="D11" s="59">
        <f>SUM(D8:D10)</f>
        <v>0</v>
      </c>
      <c r="E11" s="59">
        <f t="shared" ref="E11:K11" si="1">SUM(E8:E10)</f>
        <v>0</v>
      </c>
      <c r="F11" s="59">
        <f t="shared" si="1"/>
        <v>0</v>
      </c>
      <c r="G11" s="59">
        <f t="shared" si="1"/>
        <v>0</v>
      </c>
      <c r="H11" s="59">
        <f t="shared" si="1"/>
        <v>0</v>
      </c>
      <c r="I11" s="59">
        <f t="shared" si="1"/>
        <v>0</v>
      </c>
      <c r="J11" s="59">
        <f t="shared" si="1"/>
        <v>0</v>
      </c>
      <c r="K11" s="71">
        <f t="shared" si="1"/>
        <v>0</v>
      </c>
      <c r="L11" s="61">
        <f t="shared" si="0"/>
        <v>0</v>
      </c>
    </row>
    <row r="12" spans="1:12" ht="16.5" customHeight="1" thickTop="1">
      <c r="A12" s="302" t="s">
        <v>85</v>
      </c>
      <c r="B12" s="57">
        <v>53715</v>
      </c>
      <c r="C12" s="57" t="s">
        <v>90</v>
      </c>
      <c r="D12" s="3"/>
      <c r="F12" s="220">
        <v>600000</v>
      </c>
      <c r="G12" s="220">
        <v>600000</v>
      </c>
      <c r="H12" s="220">
        <v>300000</v>
      </c>
      <c r="I12" s="220">
        <v>300000</v>
      </c>
      <c r="J12" s="220">
        <v>200000</v>
      </c>
      <c r="K12" s="221"/>
      <c r="L12" s="184">
        <f t="shared" si="0"/>
        <v>2000000</v>
      </c>
    </row>
    <row r="13" spans="1:12" ht="16.5" customHeight="1">
      <c r="A13" s="300"/>
      <c r="B13" s="57">
        <v>53720</v>
      </c>
      <c r="C13" s="57" t="s">
        <v>91</v>
      </c>
      <c r="D13" s="1"/>
      <c r="E13" s="1"/>
      <c r="F13" s="1"/>
      <c r="G13" s="1"/>
      <c r="H13" s="1"/>
      <c r="I13" s="1"/>
      <c r="J13" s="40"/>
      <c r="K13" s="40"/>
      <c r="L13" s="182">
        <f t="shared" si="0"/>
        <v>0</v>
      </c>
    </row>
    <row r="14" spans="1:12" ht="16.5" customHeight="1">
      <c r="A14" s="300"/>
      <c r="B14" s="57">
        <v>53735</v>
      </c>
      <c r="C14" s="57" t="s">
        <v>92</v>
      </c>
      <c r="D14" s="1"/>
      <c r="E14" s="1"/>
      <c r="F14" s="1"/>
      <c r="G14" s="1"/>
      <c r="H14" s="1"/>
      <c r="I14" s="1"/>
      <c r="J14" s="40"/>
      <c r="K14" s="40"/>
      <c r="L14" s="182">
        <f t="shared" si="0"/>
        <v>0</v>
      </c>
    </row>
    <row r="15" spans="1:12" ht="16.5" customHeight="1">
      <c r="A15" s="300"/>
      <c r="B15" s="57">
        <v>53740</v>
      </c>
      <c r="C15" s="57" t="s">
        <v>93</v>
      </c>
      <c r="D15" s="1"/>
      <c r="E15" s="1"/>
      <c r="F15" s="1"/>
      <c r="G15" s="1"/>
      <c r="H15" s="1"/>
      <c r="I15" s="1"/>
      <c r="J15" s="40"/>
      <c r="K15" s="40"/>
      <c r="L15" s="182">
        <f t="shared" si="0"/>
        <v>0</v>
      </c>
    </row>
    <row r="16" spans="1:12" ht="16.5" customHeight="1">
      <c r="A16" s="300"/>
      <c r="B16" s="57">
        <v>53755</v>
      </c>
      <c r="C16" s="57" t="s">
        <v>94</v>
      </c>
      <c r="D16" s="1"/>
      <c r="F16" s="1">
        <v>4350000</v>
      </c>
      <c r="G16" s="1">
        <v>500000</v>
      </c>
      <c r="H16" s="1"/>
      <c r="I16" s="1"/>
      <c r="J16" s="1"/>
      <c r="K16" s="1"/>
      <c r="L16" s="182">
        <f t="shared" si="0"/>
        <v>4850000</v>
      </c>
    </row>
    <row r="17" spans="1:12" ht="16.5" customHeight="1">
      <c r="A17" s="300"/>
      <c r="B17" s="57">
        <v>53760</v>
      </c>
      <c r="C17" s="57" t="s">
        <v>95</v>
      </c>
      <c r="D17" s="1"/>
      <c r="E17" s="1"/>
      <c r="F17" s="219"/>
      <c r="G17" s="219"/>
      <c r="H17" s="219"/>
      <c r="I17" s="219"/>
      <c r="J17" s="219"/>
      <c r="K17" s="219"/>
      <c r="L17" s="183">
        <f t="shared" si="0"/>
        <v>0</v>
      </c>
    </row>
    <row r="18" spans="1:12" ht="16.5" customHeight="1" thickBot="1">
      <c r="A18" s="301"/>
      <c r="B18" s="58" t="s">
        <v>16</v>
      </c>
      <c r="C18" s="58"/>
      <c r="D18" s="59">
        <f>SUM(D12:D17)</f>
        <v>0</v>
      </c>
      <c r="E18" s="59">
        <f t="shared" ref="E18:K18" si="2">SUM(E12:E17)</f>
        <v>0</v>
      </c>
      <c r="F18" s="59">
        <f t="shared" si="2"/>
        <v>4950000</v>
      </c>
      <c r="G18" s="59">
        <f t="shared" si="2"/>
        <v>1100000</v>
      </c>
      <c r="H18" s="59">
        <f t="shared" si="2"/>
        <v>300000</v>
      </c>
      <c r="I18" s="59">
        <f t="shared" si="2"/>
        <v>300000</v>
      </c>
      <c r="J18" s="59">
        <f t="shared" si="2"/>
        <v>200000</v>
      </c>
      <c r="K18" s="71">
        <f t="shared" si="2"/>
        <v>0</v>
      </c>
      <c r="L18" s="61">
        <f t="shared" si="0"/>
        <v>6850000</v>
      </c>
    </row>
    <row r="19" spans="1:12" ht="16.5" customHeight="1" thickTop="1">
      <c r="A19" s="302" t="s">
        <v>96</v>
      </c>
      <c r="B19" s="57">
        <v>55700</v>
      </c>
      <c r="C19" s="57" t="s">
        <v>97</v>
      </c>
      <c r="D19" s="1"/>
      <c r="F19" s="1">
        <v>1200000</v>
      </c>
      <c r="G19" s="1"/>
      <c r="H19" s="1"/>
      <c r="I19" s="1"/>
      <c r="J19" s="40"/>
      <c r="K19" s="40"/>
      <c r="L19" s="184">
        <f t="shared" si="0"/>
        <v>1200000</v>
      </c>
    </row>
    <row r="20" spans="1:12" ht="16.5" customHeight="1">
      <c r="A20" s="299"/>
      <c r="B20" s="57">
        <v>55710</v>
      </c>
      <c r="C20" s="57" t="s">
        <v>98</v>
      </c>
      <c r="D20" s="1"/>
      <c r="E20" s="1"/>
      <c r="F20" s="1"/>
      <c r="G20" s="1"/>
      <c r="H20" s="1"/>
      <c r="I20" s="1"/>
      <c r="J20" s="40"/>
      <c r="K20" s="40"/>
      <c r="L20" s="207"/>
    </row>
    <row r="21" spans="1:12" ht="15.75" customHeight="1">
      <c r="A21" s="299"/>
      <c r="B21" s="57">
        <v>55730</v>
      </c>
      <c r="C21" s="57" t="s">
        <v>99</v>
      </c>
      <c r="D21" s="1"/>
      <c r="E21" s="1"/>
      <c r="F21" s="1"/>
      <c r="G21" s="1"/>
      <c r="H21" s="1"/>
      <c r="I21" s="1"/>
      <c r="J21" s="40"/>
      <c r="K21" s="40"/>
      <c r="L21" s="183">
        <f t="shared" si="0"/>
        <v>0</v>
      </c>
    </row>
    <row r="22" spans="1:12" ht="16.5" customHeight="1" thickBot="1">
      <c r="A22" s="301"/>
      <c r="B22" s="58" t="s">
        <v>16</v>
      </c>
      <c r="C22" s="58"/>
      <c r="D22" s="59">
        <f>SUM(D19:D21)</f>
        <v>0</v>
      </c>
      <c r="E22" s="59">
        <f t="shared" ref="E22:K22" si="3">SUM(E19:E21)</f>
        <v>0</v>
      </c>
      <c r="F22" s="59">
        <f>SUM(F19:F21)</f>
        <v>1200000</v>
      </c>
      <c r="G22" s="59">
        <f t="shared" si="3"/>
        <v>0</v>
      </c>
      <c r="H22" s="59">
        <f t="shared" si="3"/>
        <v>0</v>
      </c>
      <c r="I22" s="59">
        <f t="shared" si="3"/>
        <v>0</v>
      </c>
      <c r="J22" s="59">
        <f t="shared" si="3"/>
        <v>0</v>
      </c>
      <c r="K22" s="71">
        <f t="shared" si="3"/>
        <v>0</v>
      </c>
      <c r="L22" s="61">
        <f t="shared" si="0"/>
        <v>1200000</v>
      </c>
    </row>
    <row r="23" spans="1:12" ht="16.5" customHeight="1" thickTop="1" thickBot="1">
      <c r="A23" s="62" t="s">
        <v>17</v>
      </c>
      <c r="B23" s="63"/>
      <c r="C23" s="72"/>
      <c r="D23" s="29">
        <f t="shared" ref="D23:K23" si="4">D11+D18+D22</f>
        <v>0</v>
      </c>
      <c r="E23" s="29">
        <f t="shared" si="4"/>
        <v>0</v>
      </c>
      <c r="F23" s="29">
        <f t="shared" si="4"/>
        <v>6150000</v>
      </c>
      <c r="G23" s="29">
        <f t="shared" si="4"/>
        <v>1100000</v>
      </c>
      <c r="H23" s="29">
        <f t="shared" si="4"/>
        <v>300000</v>
      </c>
      <c r="I23" s="29">
        <f t="shared" si="4"/>
        <v>300000</v>
      </c>
      <c r="J23" s="29">
        <f t="shared" si="4"/>
        <v>200000</v>
      </c>
      <c r="K23" s="29">
        <f t="shared" si="4"/>
        <v>0</v>
      </c>
      <c r="L23" s="29">
        <f t="shared" si="0"/>
        <v>8050000</v>
      </c>
    </row>
    <row r="24" spans="1:12" ht="3.95" customHeight="1" thickTop="1">
      <c r="A24" s="20"/>
      <c r="B24" s="20"/>
      <c r="C24" s="20"/>
      <c r="D24" s="73"/>
      <c r="E24" s="73"/>
      <c r="F24" s="73"/>
      <c r="G24" s="73"/>
      <c r="H24" s="73"/>
      <c r="I24" s="73"/>
      <c r="J24" s="73"/>
      <c r="K24" s="73"/>
      <c r="L24" s="73"/>
    </row>
    <row r="28" spans="1:12" ht="12.75">
      <c r="A28" s="212" t="s">
        <v>113</v>
      </c>
      <c r="B28" s="213"/>
      <c r="C28" s="213"/>
      <c r="D28" s="213"/>
      <c r="E28" s="213"/>
      <c r="F28" s="213"/>
      <c r="G28" s="214"/>
      <c r="H28" s="214"/>
      <c r="I28" s="214"/>
      <c r="J28" s="214"/>
      <c r="K28" s="214"/>
      <c r="L28" s="214"/>
    </row>
    <row r="29" spans="1:12" ht="12.75">
      <c r="A29" s="222" t="s">
        <v>135</v>
      </c>
      <c r="B29" s="213"/>
      <c r="C29" s="213"/>
      <c r="D29" s="213"/>
      <c r="E29" s="213"/>
      <c r="F29" s="213"/>
      <c r="G29" s="214"/>
      <c r="H29" s="214"/>
      <c r="I29" s="214"/>
      <c r="J29" s="214"/>
      <c r="K29" s="214"/>
      <c r="L29" s="214"/>
    </row>
    <row r="30" spans="1:12" ht="22.5" customHeight="1">
      <c r="A30" s="283" t="s">
        <v>121</v>
      </c>
      <c r="B30" s="283"/>
      <c r="C30" s="283"/>
      <c r="D30" s="283"/>
      <c r="E30" s="283"/>
      <c r="F30" s="283"/>
      <c r="G30" s="283"/>
      <c r="H30" s="283"/>
      <c r="I30" s="283"/>
      <c r="J30" s="283"/>
      <c r="K30" s="283"/>
      <c r="L30" s="283"/>
    </row>
    <row r="31" spans="1:12">
      <c r="A31" s="215" t="s">
        <v>127</v>
      </c>
      <c r="B31" s="215"/>
      <c r="C31" s="215"/>
      <c r="D31" s="215"/>
      <c r="E31" s="215"/>
      <c r="F31" s="215"/>
      <c r="G31" s="215"/>
      <c r="H31" s="215"/>
      <c r="I31" s="215"/>
      <c r="J31" s="215"/>
      <c r="K31" s="215"/>
      <c r="L31" s="215"/>
    </row>
    <row r="32" spans="1:12">
      <c r="A32" s="215"/>
      <c r="B32" s="215"/>
      <c r="C32" s="215"/>
      <c r="D32" s="215"/>
      <c r="E32" s="215"/>
      <c r="F32" s="215"/>
      <c r="G32" s="215"/>
      <c r="H32" s="215"/>
      <c r="I32" s="215"/>
      <c r="J32" s="215"/>
      <c r="K32" s="215"/>
      <c r="L32" s="215"/>
    </row>
    <row r="33" spans="1:1" ht="12.75">
      <c r="A33" s="20" t="s">
        <v>140</v>
      </c>
    </row>
    <row r="34" spans="1:1" ht="12.75">
      <c r="A34" s="20"/>
    </row>
    <row r="35" spans="1:1" ht="15">
      <c r="A35" s="366" t="s">
        <v>139</v>
      </c>
    </row>
  </sheetData>
  <sheetProtection formatCells="0" formatColumns="0" formatRows="0" selectLockedCells="1"/>
  <mergeCells count="11">
    <mergeCell ref="A30:L30"/>
    <mergeCell ref="A8:A11"/>
    <mergeCell ref="A12:A18"/>
    <mergeCell ref="A19:A22"/>
    <mergeCell ref="D2:I2"/>
    <mergeCell ref="D3:I3"/>
    <mergeCell ref="D4:I4"/>
    <mergeCell ref="A6:L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row r="2" spans="1:5" ht="16.5" customHeight="1">
      <c r="A2" s="332" t="s">
        <v>25</v>
      </c>
      <c r="B2" s="333"/>
      <c r="C2" s="325" t="str">
        <f>IF(ISBLANK('PROJECT ID|INSTRUCTIONS'!C3)," ",'PROJECT ID|INSTRUCTIONS'!C3)</f>
        <v xml:space="preserve">2013 DOCM1 685 </v>
      </c>
      <c r="D2" s="325"/>
      <c r="E2" s="326"/>
    </row>
    <row r="3" spans="1:5" ht="16.5" customHeight="1">
      <c r="A3" s="334" t="s">
        <v>22</v>
      </c>
      <c r="B3" s="335"/>
      <c r="C3" s="327" t="str">
        <f>IF(ISBLANK('PROJECT ID|INSTRUCTIONS'!C4)," ",'PROJECT ID|INSTRUCTIONS'!C4)</f>
        <v>DOC Health Portal</v>
      </c>
      <c r="D3" s="327"/>
      <c r="E3" s="328"/>
    </row>
    <row r="4" spans="1:5" ht="16.5" customHeight="1">
      <c r="A4" s="336" t="s">
        <v>26</v>
      </c>
      <c r="B4" s="337"/>
      <c r="C4" s="329">
        <f>IF(ISBLANK('PROJECT ID|INSTRUCTIONS'!C5)," ",'PROJECT ID|INSTRUCTIONS'!C5)</f>
        <v>41298</v>
      </c>
      <c r="D4" s="329"/>
      <c r="E4" s="330"/>
    </row>
    <row r="5" spans="1:5" ht="12" customHeight="1"/>
    <row r="6" spans="1:5" ht="15.75">
      <c r="A6" s="313" t="s">
        <v>71</v>
      </c>
      <c r="B6" s="314"/>
      <c r="C6" s="314"/>
      <c r="D6" s="314"/>
      <c r="E6" s="315"/>
    </row>
    <row r="7" spans="1:5" ht="15.75" customHeight="1">
      <c r="A7" s="196" t="s">
        <v>44</v>
      </c>
      <c r="B7" s="188" t="s">
        <v>49</v>
      </c>
      <c r="C7" s="189" t="s">
        <v>83</v>
      </c>
      <c r="D7" s="189" t="s">
        <v>51</v>
      </c>
      <c r="E7" s="190" t="s">
        <v>43</v>
      </c>
    </row>
    <row r="8" spans="1:5" ht="3.75" customHeight="1">
      <c r="A8" s="194"/>
      <c r="B8" s="194"/>
      <c r="C8" s="195"/>
      <c r="D8" s="195"/>
      <c r="E8" s="195"/>
    </row>
    <row r="9" spans="1:5" ht="15">
      <c r="A9" s="316" t="str">
        <f>CONCATENATE("FY ",Settings!$C$1-1)</f>
        <v>FY 2012</v>
      </c>
      <c r="B9" s="317"/>
      <c r="C9" s="317"/>
      <c r="D9" s="317"/>
      <c r="E9" s="318"/>
    </row>
    <row r="10" spans="1:5">
      <c r="A10" s="130">
        <v>2011</v>
      </c>
      <c r="B10" s="131">
        <v>1</v>
      </c>
      <c r="C10" s="174"/>
      <c r="D10" s="132"/>
      <c r="E10" s="133" t="s">
        <v>57</v>
      </c>
    </row>
    <row r="11" spans="1:5">
      <c r="A11" s="134">
        <v>2011</v>
      </c>
      <c r="B11" s="135">
        <v>2</v>
      </c>
      <c r="C11" s="175"/>
      <c r="D11" s="137"/>
      <c r="E11" s="138" t="s">
        <v>57</v>
      </c>
    </row>
    <row r="12" spans="1:5">
      <c r="A12" s="134">
        <v>2011</v>
      </c>
      <c r="B12" s="135">
        <v>3</v>
      </c>
      <c r="C12" s="176"/>
      <c r="D12" s="137"/>
      <c r="E12" s="138" t="s">
        <v>57</v>
      </c>
    </row>
    <row r="13" spans="1:5">
      <c r="A13" s="134">
        <v>2011</v>
      </c>
      <c r="B13" s="135">
        <v>4</v>
      </c>
      <c r="C13" s="176"/>
      <c r="D13" s="137"/>
      <c r="E13" s="138" t="s">
        <v>57</v>
      </c>
    </row>
    <row r="14" spans="1:5">
      <c r="A14" s="134">
        <v>2011</v>
      </c>
      <c r="B14" s="135">
        <v>5</v>
      </c>
      <c r="C14" s="176"/>
      <c r="D14" s="137"/>
      <c r="E14" s="138" t="s">
        <v>57</v>
      </c>
    </row>
    <row r="15" spans="1:5">
      <c r="A15" s="134">
        <v>2011</v>
      </c>
      <c r="B15" s="135">
        <v>6</v>
      </c>
      <c r="C15" s="176"/>
      <c r="D15" s="137"/>
      <c r="E15" s="138" t="s">
        <v>57</v>
      </c>
    </row>
    <row r="16" spans="1:5">
      <c r="A16" s="134">
        <v>2011</v>
      </c>
      <c r="B16" s="135">
        <v>7</v>
      </c>
      <c r="C16" s="176"/>
      <c r="D16" s="137"/>
      <c r="E16" s="138" t="s">
        <v>57</v>
      </c>
    </row>
    <row r="17" spans="1:5">
      <c r="A17" s="134">
        <v>2011</v>
      </c>
      <c r="B17" s="135">
        <v>8</v>
      </c>
      <c r="C17" s="176"/>
      <c r="D17" s="137"/>
      <c r="E17" s="138" t="s">
        <v>57</v>
      </c>
    </row>
    <row r="18" spans="1:5">
      <c r="A18" s="134">
        <v>2011</v>
      </c>
      <c r="B18" s="135">
        <v>9</v>
      </c>
      <c r="C18" s="176"/>
      <c r="D18" s="137"/>
      <c r="E18" s="138" t="s">
        <v>57</v>
      </c>
    </row>
    <row r="19" spans="1:5">
      <c r="A19" s="140">
        <v>2011</v>
      </c>
      <c r="B19" s="141">
        <v>10</v>
      </c>
      <c r="C19" s="177"/>
      <c r="D19" s="142"/>
      <c r="E19" s="143" t="s">
        <v>57</v>
      </c>
    </row>
    <row r="20" spans="1:5" ht="15">
      <c r="A20" s="319" t="str">
        <f>CONCATENATE("FY ",Settings!$C$1)</f>
        <v>FY 2013</v>
      </c>
      <c r="B20" s="320"/>
      <c r="C20" s="320"/>
      <c r="D20" s="320"/>
      <c r="E20" s="321"/>
    </row>
    <row r="21" spans="1:5">
      <c r="A21" s="130">
        <v>2012</v>
      </c>
      <c r="B21" s="131">
        <v>1</v>
      </c>
      <c r="C21" s="144"/>
      <c r="D21" s="168"/>
      <c r="E21" s="145" t="s">
        <v>76</v>
      </c>
    </row>
    <row r="22" spans="1:5">
      <c r="A22" s="134">
        <v>2012</v>
      </c>
      <c r="B22" s="135">
        <v>2</v>
      </c>
      <c r="C22" s="136"/>
      <c r="D22" s="169"/>
      <c r="E22" s="146" t="s">
        <v>76</v>
      </c>
    </row>
    <row r="23" spans="1:5">
      <c r="A23" s="134">
        <v>2012</v>
      </c>
      <c r="B23" s="135">
        <v>3</v>
      </c>
      <c r="C23" s="139"/>
      <c r="D23" s="169"/>
      <c r="E23" s="146" t="s">
        <v>76</v>
      </c>
    </row>
    <row r="24" spans="1:5">
      <c r="A24" s="134">
        <v>2012</v>
      </c>
      <c r="B24" s="135">
        <v>4</v>
      </c>
      <c r="C24" s="147"/>
      <c r="D24" s="169"/>
      <c r="E24" s="146" t="s">
        <v>76</v>
      </c>
    </row>
    <row r="25" spans="1:5">
      <c r="A25" s="134">
        <v>2012</v>
      </c>
      <c r="B25" s="135">
        <v>5</v>
      </c>
      <c r="C25" s="139"/>
      <c r="D25" s="169"/>
      <c r="E25" s="146" t="s">
        <v>76</v>
      </c>
    </row>
    <row r="26" spans="1:5">
      <c r="A26" s="134">
        <v>2012</v>
      </c>
      <c r="B26" s="135">
        <v>6</v>
      </c>
      <c r="C26" s="139"/>
      <c r="D26" s="169"/>
      <c r="E26" s="146" t="s">
        <v>76</v>
      </c>
    </row>
    <row r="27" spans="1:5">
      <c r="A27" s="134">
        <v>2012</v>
      </c>
      <c r="B27" s="135">
        <v>7</v>
      </c>
      <c r="C27" s="139"/>
      <c r="D27" s="169"/>
      <c r="E27" s="146" t="s">
        <v>76</v>
      </c>
    </row>
    <row r="28" spans="1:5">
      <c r="A28" s="134">
        <v>2012</v>
      </c>
      <c r="B28" s="135">
        <v>8</v>
      </c>
      <c r="C28" s="139"/>
      <c r="D28" s="169"/>
      <c r="E28" s="146" t="s">
        <v>76</v>
      </c>
    </row>
    <row r="29" spans="1:5">
      <c r="A29" s="134">
        <v>2012</v>
      </c>
      <c r="B29" s="135">
        <v>9</v>
      </c>
      <c r="C29" s="139"/>
      <c r="D29" s="169"/>
      <c r="E29" s="146" t="s">
        <v>76</v>
      </c>
    </row>
    <row r="30" spans="1:5">
      <c r="A30" s="134">
        <v>2012</v>
      </c>
      <c r="B30" s="135">
        <v>10</v>
      </c>
      <c r="C30" s="139"/>
      <c r="D30" s="169"/>
      <c r="E30" s="146" t="s">
        <v>76</v>
      </c>
    </row>
    <row r="31" spans="1:5">
      <c r="A31" s="134">
        <v>2012</v>
      </c>
      <c r="B31" s="135">
        <v>11</v>
      </c>
      <c r="C31" s="147"/>
      <c r="D31" s="169"/>
      <c r="E31" s="146" t="s">
        <v>76</v>
      </c>
    </row>
    <row r="32" spans="1:5">
      <c r="A32" s="134">
        <v>2012</v>
      </c>
      <c r="B32" s="135">
        <v>12</v>
      </c>
      <c r="C32" s="147"/>
      <c r="D32" s="169"/>
      <c r="E32" s="146" t="s">
        <v>76</v>
      </c>
    </row>
    <row r="33" spans="1:5">
      <c r="A33" s="134">
        <v>2012</v>
      </c>
      <c r="B33" s="135">
        <v>13</v>
      </c>
      <c r="C33" s="147"/>
      <c r="D33" s="169"/>
      <c r="E33" s="146" t="s">
        <v>76</v>
      </c>
    </row>
    <row r="34" spans="1:5">
      <c r="A34" s="134">
        <v>2012</v>
      </c>
      <c r="B34" s="135">
        <v>14</v>
      </c>
      <c r="C34" s="147"/>
      <c r="D34" s="169"/>
      <c r="E34" s="146" t="s">
        <v>76</v>
      </c>
    </row>
    <row r="35" spans="1:5" ht="13.5" thickBot="1">
      <c r="A35" s="148">
        <v>2012</v>
      </c>
      <c r="B35" s="149">
        <v>15</v>
      </c>
      <c r="C35" s="150"/>
      <c r="D35" s="170"/>
      <c r="E35" s="151" t="s">
        <v>76</v>
      </c>
    </row>
    <row r="36" spans="1:5" ht="14.25" thickTop="1" thickBot="1">
      <c r="A36" s="331" t="s">
        <v>39</v>
      </c>
      <c r="B36" s="331"/>
      <c r="C36" s="331"/>
      <c r="D36" s="191">
        <f>SUM(D21:D35)</f>
        <v>0</v>
      </c>
      <c r="E36" s="76"/>
    </row>
    <row r="37" spans="1:5" ht="15.75" customHeight="1" thickTop="1">
      <c r="A37" s="312" t="str">
        <f>CONCATENATE("FY ",Settings!$C$1+1, "+")</f>
        <v>FY 2014+</v>
      </c>
      <c r="B37" s="312"/>
      <c r="C37" s="312"/>
      <c r="D37" s="312"/>
      <c r="E37" s="312"/>
    </row>
    <row r="38" spans="1:5">
      <c r="A38" s="152">
        <v>2013</v>
      </c>
      <c r="B38" s="153">
        <v>1</v>
      </c>
      <c r="C38" s="154"/>
      <c r="D38" s="171"/>
      <c r="E38" s="145" t="s">
        <v>76</v>
      </c>
    </row>
    <row r="39" spans="1:5">
      <c r="A39" s="155">
        <v>2013</v>
      </c>
      <c r="B39" s="156">
        <v>2</v>
      </c>
      <c r="C39" s="147"/>
      <c r="D39" s="172"/>
      <c r="E39" s="146" t="s">
        <v>76</v>
      </c>
    </row>
    <row r="40" spans="1:5">
      <c r="A40" s="155">
        <v>2013</v>
      </c>
      <c r="B40" s="156">
        <v>3</v>
      </c>
      <c r="C40" s="139"/>
      <c r="D40" s="172"/>
      <c r="E40" s="146" t="s">
        <v>76</v>
      </c>
    </row>
    <row r="41" spans="1:5">
      <c r="A41" s="155">
        <v>2013</v>
      </c>
      <c r="B41" s="156">
        <v>4</v>
      </c>
      <c r="C41" s="147"/>
      <c r="D41" s="172"/>
      <c r="E41" s="146" t="s">
        <v>76</v>
      </c>
    </row>
    <row r="42" spans="1:5">
      <c r="A42" s="155">
        <v>2013</v>
      </c>
      <c r="B42" s="156">
        <v>5</v>
      </c>
      <c r="C42" s="136"/>
      <c r="D42" s="172"/>
      <c r="E42" s="146" t="s">
        <v>76</v>
      </c>
    </row>
    <row r="43" spans="1:5">
      <c r="A43" s="155">
        <v>2013</v>
      </c>
      <c r="B43" s="156">
        <v>6</v>
      </c>
      <c r="C43" s="139"/>
      <c r="D43" s="172"/>
      <c r="E43" s="146" t="s">
        <v>76</v>
      </c>
    </row>
    <row r="44" spans="1:5">
      <c r="A44" s="155">
        <v>2013</v>
      </c>
      <c r="B44" s="156">
        <v>7</v>
      </c>
      <c r="C44" s="157"/>
      <c r="D44" s="172"/>
      <c r="E44" s="146" t="s">
        <v>76</v>
      </c>
    </row>
    <row r="45" spans="1:5">
      <c r="A45" s="155">
        <v>2014</v>
      </c>
      <c r="B45" s="156">
        <v>1</v>
      </c>
      <c r="C45" s="157"/>
      <c r="D45" s="172"/>
      <c r="E45" s="146" t="s">
        <v>76</v>
      </c>
    </row>
    <row r="46" spans="1:5">
      <c r="A46" s="155">
        <v>2014</v>
      </c>
      <c r="B46" s="156">
        <v>2</v>
      </c>
      <c r="C46" s="157"/>
      <c r="D46" s="172"/>
      <c r="E46" s="146" t="s">
        <v>76</v>
      </c>
    </row>
    <row r="47" spans="1:5">
      <c r="A47" s="155">
        <v>2014</v>
      </c>
      <c r="B47" s="156">
        <v>3</v>
      </c>
      <c r="C47" s="157"/>
      <c r="D47" s="172"/>
      <c r="E47" s="146" t="s">
        <v>76</v>
      </c>
    </row>
    <row r="48" spans="1:5">
      <c r="A48" s="155">
        <v>2014</v>
      </c>
      <c r="B48" s="156">
        <v>4</v>
      </c>
      <c r="C48" s="157"/>
      <c r="D48" s="172"/>
      <c r="E48" s="146" t="s">
        <v>76</v>
      </c>
    </row>
    <row r="49" spans="1:5">
      <c r="A49" s="155">
        <v>2014</v>
      </c>
      <c r="B49" s="156">
        <v>5</v>
      </c>
      <c r="C49" s="157"/>
      <c r="D49" s="172"/>
      <c r="E49" s="146" t="s">
        <v>76</v>
      </c>
    </row>
    <row r="50" spans="1:5">
      <c r="A50" s="155">
        <v>2014</v>
      </c>
      <c r="B50" s="156">
        <v>6</v>
      </c>
      <c r="C50" s="157"/>
      <c r="D50" s="172"/>
      <c r="E50" s="146" t="s">
        <v>76</v>
      </c>
    </row>
    <row r="51" spans="1:5">
      <c r="A51" s="155">
        <v>2014</v>
      </c>
      <c r="B51" s="156">
        <v>7</v>
      </c>
      <c r="C51" s="157"/>
      <c r="D51" s="172"/>
      <c r="E51" s="146" t="s">
        <v>76</v>
      </c>
    </row>
    <row r="52" spans="1:5">
      <c r="A52" s="155">
        <v>2015</v>
      </c>
      <c r="B52" s="156">
        <v>1</v>
      </c>
      <c r="C52" s="157"/>
      <c r="D52" s="172"/>
      <c r="E52" s="146" t="s">
        <v>76</v>
      </c>
    </row>
    <row r="53" spans="1:5">
      <c r="A53" s="155">
        <v>2015</v>
      </c>
      <c r="B53" s="156">
        <v>2</v>
      </c>
      <c r="C53" s="157"/>
      <c r="D53" s="172"/>
      <c r="E53" s="146" t="s">
        <v>76</v>
      </c>
    </row>
    <row r="54" spans="1:5">
      <c r="A54" s="155">
        <v>2015</v>
      </c>
      <c r="B54" s="156">
        <v>3</v>
      </c>
      <c r="C54" s="157"/>
      <c r="D54" s="172"/>
      <c r="E54" s="146" t="s">
        <v>76</v>
      </c>
    </row>
    <row r="55" spans="1:5">
      <c r="A55" s="155">
        <v>2015</v>
      </c>
      <c r="B55" s="156">
        <v>4</v>
      </c>
      <c r="C55" s="157"/>
      <c r="D55" s="172"/>
      <c r="E55" s="146" t="s">
        <v>76</v>
      </c>
    </row>
    <row r="56" spans="1:5">
      <c r="A56" s="155">
        <v>2015</v>
      </c>
      <c r="B56" s="156">
        <v>5</v>
      </c>
      <c r="C56" s="157"/>
      <c r="D56" s="172"/>
      <c r="E56" s="146" t="s">
        <v>76</v>
      </c>
    </row>
    <row r="57" spans="1:5">
      <c r="A57" s="155">
        <v>2015</v>
      </c>
      <c r="B57" s="156">
        <v>6</v>
      </c>
      <c r="C57" s="157"/>
      <c r="D57" s="172"/>
      <c r="E57" s="146" t="s">
        <v>76</v>
      </c>
    </row>
    <row r="58" spans="1:5">
      <c r="A58" s="155">
        <v>2015</v>
      </c>
      <c r="B58" s="156">
        <v>7</v>
      </c>
      <c r="C58" s="157"/>
      <c r="D58" s="172"/>
      <c r="E58" s="146" t="s">
        <v>76</v>
      </c>
    </row>
    <row r="59" spans="1:5">
      <c r="A59" s="155">
        <v>2016</v>
      </c>
      <c r="B59" s="156">
        <v>1</v>
      </c>
      <c r="C59" s="157"/>
      <c r="D59" s="172"/>
      <c r="E59" s="146" t="s">
        <v>76</v>
      </c>
    </row>
    <row r="60" spans="1:5">
      <c r="A60" s="155">
        <v>2016</v>
      </c>
      <c r="B60" s="156">
        <v>2</v>
      </c>
      <c r="C60" s="157"/>
      <c r="D60" s="172"/>
      <c r="E60" s="146" t="s">
        <v>76</v>
      </c>
    </row>
    <row r="61" spans="1:5">
      <c r="A61" s="155">
        <v>2016</v>
      </c>
      <c r="B61" s="156">
        <v>3</v>
      </c>
      <c r="C61" s="157"/>
      <c r="D61" s="172"/>
      <c r="E61" s="146" t="s">
        <v>76</v>
      </c>
    </row>
    <row r="62" spans="1:5">
      <c r="A62" s="155">
        <v>2016</v>
      </c>
      <c r="B62" s="156">
        <v>4</v>
      </c>
      <c r="C62" s="157"/>
      <c r="D62" s="172"/>
      <c r="E62" s="146" t="s">
        <v>76</v>
      </c>
    </row>
    <row r="63" spans="1:5">
      <c r="A63" s="155">
        <v>2016</v>
      </c>
      <c r="B63" s="156">
        <v>5</v>
      </c>
      <c r="C63" s="157"/>
      <c r="D63" s="172"/>
      <c r="E63" s="146" t="s">
        <v>76</v>
      </c>
    </row>
    <row r="64" spans="1:5">
      <c r="A64" s="155">
        <v>2016</v>
      </c>
      <c r="B64" s="156">
        <v>6</v>
      </c>
      <c r="C64" s="157"/>
      <c r="D64" s="172"/>
      <c r="E64" s="146" t="s">
        <v>76</v>
      </c>
    </row>
    <row r="65" spans="1:5" ht="13.5" thickBot="1">
      <c r="A65" s="158">
        <v>2016</v>
      </c>
      <c r="B65" s="159">
        <v>7</v>
      </c>
      <c r="C65" s="160"/>
      <c r="D65" s="173"/>
      <c r="E65" s="151" t="s">
        <v>76</v>
      </c>
    </row>
    <row r="66" spans="1:5" ht="16.5" customHeight="1" thickTop="1" thickBot="1">
      <c r="A66" s="322" t="s">
        <v>39</v>
      </c>
      <c r="B66" s="323"/>
      <c r="C66" s="324"/>
      <c r="D66" s="191">
        <f>SUM(D38:D65)</f>
        <v>0</v>
      </c>
      <c r="E66" s="76"/>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N38"/>
  <sheetViews>
    <sheetView showGridLines="0" topLeftCell="A7" zoomScaleNormal="100" workbookViewId="0">
      <selection activeCell="D36" sqref="D36"/>
    </sheetView>
  </sheetViews>
  <sheetFormatPr defaultRowHeight="12"/>
  <cols>
    <col min="1" max="2" width="10.7109375" style="18" customWidth="1"/>
    <col min="3" max="3" width="29.7109375" style="18" customWidth="1"/>
    <col min="4" max="5" width="12.7109375" style="18" customWidth="1"/>
    <col min="6" max="6" width="13.140625" style="18" customWidth="1"/>
    <col min="7" max="9" width="12.7109375" style="18" customWidth="1"/>
    <col min="10" max="10" width="11.85546875" style="18" customWidth="1"/>
    <col min="11" max="11" width="1.140625" style="18" customWidth="1"/>
    <col min="12" max="14" width="12.7109375" style="18" customWidth="1"/>
    <col min="15" max="16384" width="9.140625" style="18"/>
  </cols>
  <sheetData>
    <row r="1" spans="1:14" ht="12" customHeight="1"/>
    <row r="2" spans="1:14" s="64" customFormat="1" ht="16.5" customHeight="1">
      <c r="A2" s="266" t="s">
        <v>25</v>
      </c>
      <c r="B2" s="338"/>
      <c r="C2" s="267"/>
      <c r="D2" s="272" t="str">
        <f>IF(ISBLANK('PROJECT ID|INSTRUCTIONS'!C3)," ",'PROJECT ID|INSTRUCTIONS'!C3)</f>
        <v xml:space="preserve">2013 DOCM1 685 </v>
      </c>
      <c r="E2" s="273"/>
      <c r="F2" s="273"/>
      <c r="G2" s="273"/>
      <c r="H2" s="273"/>
      <c r="I2" s="273"/>
      <c r="J2" s="274"/>
    </row>
    <row r="3" spans="1:14" s="64" customFormat="1" ht="16.5" customHeight="1">
      <c r="A3" s="268" t="s">
        <v>22</v>
      </c>
      <c r="B3" s="289"/>
      <c r="C3" s="269"/>
      <c r="D3" s="275" t="str">
        <f>IF(ISBLANK('PROJECT ID|INSTRUCTIONS'!C4)," ",'PROJECT ID|INSTRUCTIONS'!C4)</f>
        <v>DOC Health Portal</v>
      </c>
      <c r="E3" s="276"/>
      <c r="F3" s="276"/>
      <c r="G3" s="276"/>
      <c r="H3" s="276"/>
      <c r="I3" s="276"/>
      <c r="J3" s="277"/>
    </row>
    <row r="4" spans="1:14" s="64" customFormat="1" ht="16.5" customHeight="1">
      <c r="A4" s="270" t="s">
        <v>26</v>
      </c>
      <c r="B4" s="339"/>
      <c r="C4" s="271"/>
      <c r="D4" s="278">
        <f>IF(ISBLANK('PROJECT ID|INSTRUCTIONS'!C5)," ",'PROJECT ID|INSTRUCTIONS'!C5)</f>
        <v>41298</v>
      </c>
      <c r="E4" s="279"/>
      <c r="F4" s="279"/>
      <c r="G4" s="279"/>
      <c r="H4" s="279"/>
      <c r="I4" s="279"/>
      <c r="J4" s="280"/>
    </row>
    <row r="5" spans="1:14" s="50" customFormat="1" ht="12" customHeight="1"/>
    <row r="6" spans="1:14" ht="16.5" customHeight="1">
      <c r="A6" s="343" t="s">
        <v>52</v>
      </c>
      <c r="B6" s="343"/>
      <c r="C6" s="343"/>
      <c r="D6" s="343"/>
      <c r="E6" s="343"/>
      <c r="F6" s="94">
        <v>2014</v>
      </c>
      <c r="G6" s="50"/>
      <c r="H6" s="77"/>
      <c r="I6" s="50"/>
      <c r="J6" s="50"/>
    </row>
    <row r="7" spans="1:14" ht="16.5" customHeight="1">
      <c r="A7" s="343" t="s">
        <v>53</v>
      </c>
      <c r="B7" s="343"/>
      <c r="C7" s="343"/>
      <c r="D7" s="343"/>
      <c r="E7" s="343"/>
      <c r="F7" s="95">
        <v>2019</v>
      </c>
      <c r="G7" s="50"/>
      <c r="H7" s="50"/>
      <c r="I7" s="50"/>
      <c r="J7" s="50"/>
    </row>
    <row r="8" spans="1:14" ht="12" customHeight="1">
      <c r="A8" s="50"/>
      <c r="B8" s="50"/>
      <c r="C8" s="50"/>
      <c r="D8" s="50"/>
      <c r="E8" s="50"/>
      <c r="F8" s="50"/>
      <c r="G8" s="50"/>
      <c r="H8" s="50"/>
      <c r="I8" s="50"/>
      <c r="J8" s="50"/>
    </row>
    <row r="9" spans="1:14" ht="31.5" customHeight="1">
      <c r="A9" s="309" t="s">
        <v>28</v>
      </c>
      <c r="B9" s="310"/>
      <c r="C9" s="310"/>
      <c r="D9" s="310"/>
      <c r="E9" s="310"/>
      <c r="F9" s="310"/>
      <c r="G9" s="310"/>
      <c r="H9" s="310"/>
      <c r="I9" s="310"/>
      <c r="J9" s="311"/>
      <c r="L9" s="340" t="s">
        <v>70</v>
      </c>
      <c r="M9" s="341"/>
      <c r="N9" s="342"/>
    </row>
    <row r="10" spans="1:14" ht="12.75">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3" t="str">
        <f>IF(OR(ISBLANK($F$7),ISBLANK($F$6)),"(h)",IF($F$7-$F$6&gt;5,"(h)",IF($F$7-$F$6&lt;1,"(c)",CHOOSE($F$7-$F$6,"(c)","(d)","(e)","(f)","(g)"))))</f>
        <v>(g)</v>
      </c>
      <c r="L10" s="84" t="s">
        <v>63</v>
      </c>
      <c r="M10" s="81" t="s">
        <v>64</v>
      </c>
      <c r="N10" s="85" t="s">
        <v>65</v>
      </c>
    </row>
    <row r="11" spans="1:14" ht="37.5" customHeight="1">
      <c r="A11" s="86"/>
      <c r="B11" s="87" t="s">
        <v>14</v>
      </c>
      <c r="C11" s="87" t="s">
        <v>15</v>
      </c>
      <c r="D11" s="88" t="s">
        <v>58</v>
      </c>
      <c r="E11" s="88" t="str">
        <f>CONCATENATE("Transition FY"&amp;IF(ISBLANK($F$6),1,RIGHT($F$6,2))&amp;" Support Costs")</f>
        <v>Transition FY14 Support Costs</v>
      </c>
      <c r="F11" s="88" t="str">
        <f>IF(ISBLANK($F$7),CONCATENATE("Transition FY"&amp;IF(ISBLANK($F$6),2,RIGHT($F$6,2)+1)&amp;" Support Costs"),IF(ISBLANK($F$6),"Transition FY2 Support Costs",IF($F$7-$F$6&gt;1,CONCATENATE("Transition FY"&amp;RIGHT($F$6,2)+1&amp;" Support Costs"),"")))</f>
        <v>Transition FY15 Support Costs</v>
      </c>
      <c r="G11" s="88" t="str">
        <f>IF(ISBLANK($F$7),CONCATENATE("Transition FY"&amp;IF(ISBLANK($F$6),3,RIGHT($F$6,2)+2)&amp;" Support Costs"),IF(ISBLANK($F$6),"Transition FY3 Support Costs",IF($F$7-$F$6&gt;2,CONCATENATE("Transition FY"&amp;RIGHT($F$6,2)+2&amp;" Support Costs"),"")))</f>
        <v>Transition FY16 Support Costs</v>
      </c>
      <c r="H11" s="88" t="str">
        <f>IF(ISBLANK($F$7),CONCATENATE("Transition FY"&amp;IF(ISBLANK($F$6),4,RIGHT($F$6,2)+3)&amp;" Support Costs"),IF(ISBLANK($F$6),"Transition FY4 Support Costs",IF($F$7-$F$6&gt;3,CONCATENATE("Transition FY"&amp;RIGHT($F$6,2)+3&amp;" Support Costs"),"")))</f>
        <v>Transition FY17 Support Costs</v>
      </c>
      <c r="I11" s="88" t="str">
        <f>IF(ISBLANK($F$7),CONCATENATE("Transition FY"&amp;IF(ISBLANK($F$6),5,RIGHT($F$6,2)+4)&amp;" Support Costs"),IF(ISBLANK($F$6),"Transition FY5 Support Costs",IF($F$7-$F$6&gt;4,CONCATENATE("Transition FY"&amp;RIGHT($F$6,2)+4&amp;" Support Costs"),"")))</f>
        <v>Transition FY18 Support Costs</v>
      </c>
      <c r="J11" s="89" t="str">
        <f>CONCATENATE("Steady State "&amp;IF(ISBLANK($F$7),"","FY" &amp; RIGHT($F$7,2))&amp;" Support Costs")</f>
        <v>Steady State FY19 Support Costs</v>
      </c>
      <c r="K11" s="90"/>
      <c r="L11" s="91" t="s">
        <v>61</v>
      </c>
      <c r="M11" s="82" t="s">
        <v>72</v>
      </c>
      <c r="N11" s="83" t="s">
        <v>62</v>
      </c>
    </row>
    <row r="12" spans="1:14" ht="16.5" customHeight="1">
      <c r="A12" s="299" t="s">
        <v>86</v>
      </c>
      <c r="B12" s="57">
        <v>50110</v>
      </c>
      <c r="C12" s="57" t="s">
        <v>87</v>
      </c>
      <c r="D12" s="3"/>
      <c r="K12" s="92"/>
      <c r="L12" s="45"/>
      <c r="M12" s="39"/>
      <c r="N12" s="178">
        <f>L12*M12</f>
        <v>0</v>
      </c>
    </row>
    <row r="13" spans="1:14" ht="16.5" customHeight="1">
      <c r="A13" s="300"/>
      <c r="B13" s="57">
        <v>50130</v>
      </c>
      <c r="C13" s="57" t="s">
        <v>88</v>
      </c>
      <c r="D13" s="1"/>
      <c r="E13" s="1"/>
      <c r="F13" s="1"/>
      <c r="G13" s="1"/>
      <c r="H13" s="1"/>
      <c r="I13" s="1"/>
      <c r="J13" s="42">
        <v>200000</v>
      </c>
      <c r="L13" s="46"/>
      <c r="M13" s="37"/>
      <c r="N13" s="178">
        <f>L13*M13</f>
        <v>0</v>
      </c>
    </row>
    <row r="14" spans="1:14" ht="16.5" customHeight="1">
      <c r="A14" s="300"/>
      <c r="B14" s="57">
        <v>50170</v>
      </c>
      <c r="C14" s="57" t="s">
        <v>89</v>
      </c>
      <c r="D14" s="2"/>
      <c r="E14" s="2"/>
      <c r="F14" s="2"/>
      <c r="G14" s="2"/>
      <c r="H14" s="2"/>
      <c r="I14" s="2"/>
      <c r="J14" s="43"/>
      <c r="L14" s="47"/>
      <c r="M14" s="38"/>
      <c r="N14" s="178">
        <f>L14*M14</f>
        <v>0</v>
      </c>
    </row>
    <row r="15" spans="1:14" ht="16.5" customHeight="1" thickBot="1">
      <c r="A15" s="301"/>
      <c r="B15" s="58" t="s">
        <v>16</v>
      </c>
      <c r="C15" s="58"/>
      <c r="D15" s="59">
        <f t="shared" ref="D15:J15" si="0">SUM(D12:D14)</f>
        <v>0</v>
      </c>
      <c r="E15" s="59">
        <f t="shared" si="0"/>
        <v>0</v>
      </c>
      <c r="F15" s="59">
        <f t="shared" si="0"/>
        <v>0</v>
      </c>
      <c r="G15" s="59">
        <f t="shared" si="0"/>
        <v>0</v>
      </c>
      <c r="H15" s="59">
        <f t="shared" si="0"/>
        <v>0</v>
      </c>
      <c r="I15" s="59">
        <f t="shared" si="0"/>
        <v>0</v>
      </c>
      <c r="J15" s="60">
        <f t="shared" si="0"/>
        <v>200000</v>
      </c>
      <c r="L15" s="93">
        <f>SUM(L12:L14)</f>
        <v>0</v>
      </c>
      <c r="M15" s="180" t="s">
        <v>60</v>
      </c>
      <c r="N15" s="60">
        <f>SUM(N12:N14)</f>
        <v>0</v>
      </c>
    </row>
    <row r="16" spans="1:14" ht="16.5" customHeight="1" thickTop="1">
      <c r="A16" s="302" t="s">
        <v>85</v>
      </c>
      <c r="B16" s="57">
        <v>53715</v>
      </c>
      <c r="C16" s="57" t="s">
        <v>90</v>
      </c>
      <c r="D16" s="3"/>
      <c r="E16" s="3">
        <v>600000</v>
      </c>
      <c r="F16" s="3">
        <v>600000</v>
      </c>
      <c r="G16" s="3">
        <v>300000</v>
      </c>
      <c r="H16" s="3">
        <v>300000</v>
      </c>
      <c r="I16" s="3">
        <v>200000</v>
      </c>
      <c r="J16" s="44"/>
      <c r="L16" s="45"/>
      <c r="M16" s="39"/>
      <c r="N16" s="178">
        <f t="shared" ref="N16:N21" si="1">L16*M16</f>
        <v>0</v>
      </c>
    </row>
    <row r="17" spans="1:14" ht="16.5" customHeight="1">
      <c r="A17" s="300"/>
      <c r="B17" s="57">
        <v>53720</v>
      </c>
      <c r="C17" s="57" t="s">
        <v>91</v>
      </c>
      <c r="D17" s="1"/>
      <c r="E17" s="1"/>
      <c r="F17" s="1"/>
      <c r="G17" s="1"/>
      <c r="H17" s="1"/>
      <c r="I17" s="1"/>
      <c r="J17" s="42"/>
      <c r="L17" s="46"/>
      <c r="M17" s="37"/>
      <c r="N17" s="178">
        <f t="shared" si="1"/>
        <v>0</v>
      </c>
    </row>
    <row r="18" spans="1:14" ht="16.5" customHeight="1">
      <c r="A18" s="300"/>
      <c r="B18" s="57">
        <v>53735</v>
      </c>
      <c r="C18" s="57" t="s">
        <v>92</v>
      </c>
      <c r="D18" s="1"/>
      <c r="E18" s="1"/>
      <c r="F18" s="1"/>
      <c r="G18" s="1"/>
      <c r="H18" s="1"/>
      <c r="I18" s="1"/>
      <c r="J18" s="42"/>
      <c r="L18" s="46"/>
      <c r="M18" s="37"/>
      <c r="N18" s="178">
        <f t="shared" si="1"/>
        <v>0</v>
      </c>
    </row>
    <row r="19" spans="1:14" ht="16.5" customHeight="1">
      <c r="A19" s="300"/>
      <c r="B19" s="57">
        <v>53740</v>
      </c>
      <c r="C19" s="57" t="s">
        <v>93</v>
      </c>
      <c r="D19" s="1"/>
      <c r="E19" s="1"/>
      <c r="F19" s="1"/>
      <c r="G19" s="1"/>
      <c r="H19" s="1"/>
      <c r="I19" s="1"/>
      <c r="J19" s="42"/>
      <c r="L19" s="46"/>
      <c r="M19" s="37"/>
      <c r="N19" s="178">
        <f t="shared" si="1"/>
        <v>0</v>
      </c>
    </row>
    <row r="20" spans="1:14" ht="16.5" customHeight="1">
      <c r="A20" s="300"/>
      <c r="B20" s="57">
        <v>53755</v>
      </c>
      <c r="C20" s="57" t="s">
        <v>94</v>
      </c>
      <c r="D20" s="1"/>
      <c r="E20" s="1"/>
      <c r="F20" s="1"/>
      <c r="G20" s="1"/>
      <c r="H20" s="1"/>
      <c r="I20" s="1"/>
      <c r="J20" s="42"/>
      <c r="L20" s="46"/>
      <c r="M20" s="37"/>
      <c r="N20" s="178">
        <f t="shared" si="1"/>
        <v>0</v>
      </c>
    </row>
    <row r="21" spans="1:14" ht="16.5" customHeight="1">
      <c r="A21" s="300"/>
      <c r="B21" s="57">
        <v>53760</v>
      </c>
      <c r="C21" s="57" t="s">
        <v>95</v>
      </c>
      <c r="D21" s="1"/>
      <c r="E21" s="1"/>
      <c r="F21" s="1">
        <v>300000</v>
      </c>
      <c r="G21" s="1">
        <v>300000</v>
      </c>
      <c r="H21" s="1">
        <v>300000</v>
      </c>
      <c r="I21" s="1">
        <v>300000</v>
      </c>
      <c r="J21" s="42">
        <v>300000</v>
      </c>
      <c r="L21" s="46"/>
      <c r="M21" s="37"/>
      <c r="N21" s="178">
        <f t="shared" si="1"/>
        <v>0</v>
      </c>
    </row>
    <row r="22" spans="1:14" ht="16.5" customHeight="1" thickBot="1">
      <c r="A22" s="301"/>
      <c r="B22" s="58" t="s">
        <v>16</v>
      </c>
      <c r="C22" s="58"/>
      <c r="D22" s="59">
        <f t="shared" ref="D22" si="2">SUM(D16:D21)</f>
        <v>0</v>
      </c>
      <c r="E22" s="59">
        <f t="shared" ref="E22:J22" si="3">SUM(E16:E21)</f>
        <v>600000</v>
      </c>
      <c r="F22" s="59">
        <f t="shared" si="3"/>
        <v>900000</v>
      </c>
      <c r="G22" s="59">
        <f t="shared" si="3"/>
        <v>600000</v>
      </c>
      <c r="H22" s="59">
        <f t="shared" si="3"/>
        <v>600000</v>
      </c>
      <c r="I22" s="59">
        <f t="shared" si="3"/>
        <v>500000</v>
      </c>
      <c r="J22" s="60">
        <f t="shared" si="3"/>
        <v>300000</v>
      </c>
      <c r="L22" s="93">
        <f>SUM(L16:L21)</f>
        <v>0</v>
      </c>
      <c r="M22" s="180" t="s">
        <v>60</v>
      </c>
      <c r="N22" s="60">
        <f>SUM(N16:N21)</f>
        <v>0</v>
      </c>
    </row>
    <row r="23" spans="1:14" ht="16.5" customHeight="1" thickTop="1">
      <c r="A23" s="302" t="s">
        <v>96</v>
      </c>
      <c r="B23" s="57">
        <v>55700</v>
      </c>
      <c r="C23" s="57" t="s">
        <v>97</v>
      </c>
      <c r="D23" s="1"/>
      <c r="E23" s="1"/>
      <c r="F23" s="1"/>
      <c r="G23" s="1"/>
      <c r="H23" s="1"/>
      <c r="I23" s="1"/>
      <c r="J23" s="42"/>
      <c r="L23" s="46"/>
      <c r="M23" s="37"/>
      <c r="N23" s="178">
        <f>L23*M23</f>
        <v>0</v>
      </c>
    </row>
    <row r="24" spans="1:14" ht="16.5" customHeight="1">
      <c r="A24" s="299"/>
      <c r="B24" s="57">
        <v>55710</v>
      </c>
      <c r="C24" s="57" t="s">
        <v>98</v>
      </c>
      <c r="D24" s="1"/>
      <c r="E24" s="1"/>
      <c r="F24" s="1"/>
      <c r="G24" s="1"/>
      <c r="H24" s="1"/>
      <c r="I24" s="1"/>
      <c r="J24" s="42"/>
      <c r="L24" s="46"/>
      <c r="M24" s="37"/>
      <c r="N24" s="178"/>
    </row>
    <row r="25" spans="1:14" ht="16.5" customHeight="1">
      <c r="A25" s="299"/>
      <c r="B25" s="57">
        <v>55730</v>
      </c>
      <c r="C25" s="57" t="s">
        <v>99</v>
      </c>
      <c r="D25" s="1"/>
      <c r="E25" s="1"/>
      <c r="F25" s="1"/>
      <c r="G25" s="1"/>
      <c r="H25" s="1"/>
      <c r="I25" s="1"/>
      <c r="J25" s="42"/>
      <c r="L25" s="46"/>
      <c r="M25" s="37"/>
      <c r="N25" s="178">
        <f>L25*M25</f>
        <v>0</v>
      </c>
    </row>
    <row r="26" spans="1:14" ht="16.5" customHeight="1" thickBot="1">
      <c r="A26" s="301"/>
      <c r="B26" s="58" t="s">
        <v>16</v>
      </c>
      <c r="C26" s="58"/>
      <c r="D26" s="59">
        <f t="shared" ref="D26:J26" si="4">SUM(D23:D25)</f>
        <v>0</v>
      </c>
      <c r="E26" s="59">
        <f t="shared" si="4"/>
        <v>0</v>
      </c>
      <c r="F26" s="59">
        <f t="shared" si="4"/>
        <v>0</v>
      </c>
      <c r="G26" s="59">
        <f t="shared" si="4"/>
        <v>0</v>
      </c>
      <c r="H26" s="59">
        <f t="shared" si="4"/>
        <v>0</v>
      </c>
      <c r="I26" s="59">
        <f t="shared" si="4"/>
        <v>0</v>
      </c>
      <c r="J26" s="60">
        <f t="shared" si="4"/>
        <v>0</v>
      </c>
      <c r="L26" s="93">
        <f>SUM(L23:L25)</f>
        <v>0</v>
      </c>
      <c r="M26" s="180" t="s">
        <v>60</v>
      </c>
      <c r="N26" s="60">
        <f>SUM(N23:N25)</f>
        <v>0</v>
      </c>
    </row>
    <row r="27" spans="1:14" ht="16.5" customHeight="1" thickTop="1" thickBot="1">
      <c r="A27" s="72" t="s">
        <v>17</v>
      </c>
      <c r="B27" s="72"/>
      <c r="C27" s="72"/>
      <c r="D27" s="29">
        <f t="shared" ref="D27:J27" si="5">D15+D22+D26</f>
        <v>0</v>
      </c>
      <c r="E27" s="29">
        <f t="shared" si="5"/>
        <v>600000</v>
      </c>
      <c r="F27" s="29">
        <f t="shared" si="5"/>
        <v>900000</v>
      </c>
      <c r="G27" s="29">
        <f t="shared" si="5"/>
        <v>600000</v>
      </c>
      <c r="H27" s="29">
        <f t="shared" si="5"/>
        <v>600000</v>
      </c>
      <c r="I27" s="29">
        <f t="shared" si="5"/>
        <v>500000</v>
      </c>
      <c r="J27" s="29">
        <f t="shared" si="5"/>
        <v>500000</v>
      </c>
      <c r="L27" s="29">
        <f>L15+L22+L26</f>
        <v>0</v>
      </c>
      <c r="M27" s="179"/>
      <c r="N27" s="29">
        <f>N15+N22+N26</f>
        <v>0</v>
      </c>
    </row>
    <row r="28" spans="1:14" ht="3.95" customHeight="1" thickTop="1">
      <c r="A28" s="20"/>
      <c r="B28" s="20"/>
      <c r="C28" s="20"/>
      <c r="D28" s="73"/>
      <c r="E28" s="73"/>
      <c r="F28" s="73"/>
      <c r="G28" s="73"/>
      <c r="H28" s="73"/>
      <c r="I28" s="73"/>
      <c r="J28" s="73"/>
    </row>
    <row r="30" spans="1:14">
      <c r="A30" s="209" t="s">
        <v>113</v>
      </c>
    </row>
    <row r="31" spans="1:14" ht="30" customHeight="1">
      <c r="A31" s="281" t="s">
        <v>137</v>
      </c>
      <c r="B31" s="281"/>
      <c r="C31" s="281"/>
      <c r="D31" s="281"/>
      <c r="E31" s="281"/>
      <c r="F31" s="281"/>
      <c r="G31" s="281"/>
      <c r="H31" s="281"/>
      <c r="I31" s="281"/>
      <c r="J31" s="281"/>
    </row>
    <row r="32" spans="1:14" ht="39" customHeight="1">
      <c r="A32" s="281" t="s">
        <v>136</v>
      </c>
      <c r="B32" s="281"/>
      <c r="C32" s="281"/>
      <c r="D32" s="281"/>
      <c r="E32" s="281"/>
      <c r="F32" s="281"/>
      <c r="G32" s="281"/>
      <c r="H32" s="281"/>
      <c r="I32" s="281"/>
      <c r="J32" s="281"/>
    </row>
    <row r="33" spans="1:1">
      <c r="A33" s="18" t="s">
        <v>130</v>
      </c>
    </row>
    <row r="34" spans="1:1">
      <c r="A34" s="18" t="s">
        <v>131</v>
      </c>
    </row>
    <row r="36" spans="1:1" ht="12.75">
      <c r="A36" s="20" t="s">
        <v>140</v>
      </c>
    </row>
    <row r="38" spans="1:1" ht="15">
      <c r="A38" s="366" t="s">
        <v>139</v>
      </c>
    </row>
  </sheetData>
  <sheetProtection formatCells="0" formatColumns="0" formatRows="0" selectLockedCells="1"/>
  <mergeCells count="15">
    <mergeCell ref="A32:J32"/>
    <mergeCell ref="L9:N9"/>
    <mergeCell ref="A6:E6"/>
    <mergeCell ref="A7:E7"/>
    <mergeCell ref="A9:J9"/>
    <mergeCell ref="A12:A15"/>
    <mergeCell ref="A16:A22"/>
    <mergeCell ref="A23:A26"/>
    <mergeCell ref="A31:J31"/>
    <mergeCell ref="D2:J2"/>
    <mergeCell ref="D3:J3"/>
    <mergeCell ref="D4:J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7"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M27"/>
  <sheetViews>
    <sheetView showGridLines="0" zoomScaleNormal="100" workbookViewId="0">
      <selection activeCell="E32" sqref="E32"/>
    </sheetView>
  </sheetViews>
  <sheetFormatPr defaultRowHeight="12.75"/>
  <cols>
    <col min="1" max="1" width="1.5703125" style="19" customWidth="1"/>
    <col min="2" max="2" width="27.42578125" style="19" customWidth="1"/>
    <col min="3" max="10" width="12.7109375" style="19" customWidth="1"/>
    <col min="11" max="11" width="14.140625" style="19" customWidth="1"/>
    <col min="12" max="12" width="14" style="19" customWidth="1"/>
    <col min="13" max="13" width="14.140625" style="19" customWidth="1"/>
    <col min="14" max="16384" width="9.140625" style="19"/>
  </cols>
  <sheetData>
    <row r="1" spans="1:13" ht="12" customHeight="1"/>
    <row r="2" spans="1:13" s="64" customFormat="1" ht="16.5" customHeight="1">
      <c r="A2" s="332" t="s">
        <v>25</v>
      </c>
      <c r="B2" s="333"/>
      <c r="C2" s="344" t="str">
        <f>IF(ISBLANK('PROJECT ID|INSTRUCTIONS'!C3)," ",'PROJECT ID|INSTRUCTIONS'!C3)</f>
        <v xml:space="preserve">2013 DOCM1 685 </v>
      </c>
      <c r="D2" s="344"/>
      <c r="E2" s="344"/>
      <c r="F2" s="344"/>
      <c r="G2" s="344"/>
      <c r="H2" s="344"/>
      <c r="I2" s="344"/>
      <c r="J2" s="345"/>
    </row>
    <row r="3" spans="1:13" s="64" customFormat="1" ht="16.5" customHeight="1">
      <c r="A3" s="334" t="s">
        <v>22</v>
      </c>
      <c r="B3" s="335"/>
      <c r="C3" s="346" t="str">
        <f>IF(ISBLANK('PROJECT ID|INSTRUCTIONS'!C4)," ",'PROJECT ID|INSTRUCTIONS'!C4)</f>
        <v>DOC Health Portal</v>
      </c>
      <c r="D3" s="346"/>
      <c r="E3" s="346"/>
      <c r="F3" s="346"/>
      <c r="G3" s="346"/>
      <c r="H3" s="346"/>
      <c r="I3" s="346"/>
      <c r="J3" s="347"/>
    </row>
    <row r="4" spans="1:13" s="64" customFormat="1" ht="16.5" customHeight="1">
      <c r="A4" s="336" t="s">
        <v>26</v>
      </c>
      <c r="B4" s="337"/>
      <c r="C4" s="279">
        <f>IF(ISBLANK('PROJECT ID|INSTRUCTIONS'!C5)," ",'PROJECT ID|INSTRUCTIONS'!C5)</f>
        <v>41298</v>
      </c>
      <c r="D4" s="279"/>
      <c r="E4" s="279"/>
      <c r="F4" s="279"/>
      <c r="G4" s="279"/>
      <c r="H4" s="279"/>
      <c r="I4" s="279"/>
      <c r="J4" s="280"/>
    </row>
    <row r="5" spans="1:13" s="105" customFormat="1" ht="12" customHeight="1">
      <c r="A5" s="101"/>
      <c r="B5" s="101"/>
      <c r="C5" s="348"/>
      <c r="D5" s="348"/>
      <c r="E5" s="348"/>
      <c r="F5" s="348"/>
      <c r="G5" s="348"/>
      <c r="H5" s="348"/>
      <c r="I5" s="223"/>
      <c r="J5" s="102"/>
      <c r="K5" s="103"/>
      <c r="L5" s="104"/>
    </row>
    <row r="6" spans="1:13" s="105" customFormat="1" ht="15" customHeight="1">
      <c r="A6" s="349" t="s">
        <v>21</v>
      </c>
      <c r="B6" s="350"/>
      <c r="C6" s="350"/>
      <c r="D6" s="350"/>
      <c r="E6" s="350"/>
      <c r="F6" s="350"/>
      <c r="G6" s="350"/>
      <c r="H6" s="350"/>
      <c r="I6" s="350"/>
      <c r="J6" s="350"/>
      <c r="K6" s="350"/>
      <c r="L6" s="350"/>
      <c r="M6" s="351"/>
    </row>
    <row r="7" spans="1:13" ht="39" customHeight="1">
      <c r="A7" s="163"/>
      <c r="B7" s="164" t="s">
        <v>21</v>
      </c>
      <c r="C7" s="165" t="s">
        <v>30</v>
      </c>
      <c r="D7" s="166" t="str">
        <f>CONCATENATE("FY ",Settings!$C$1)</f>
        <v>FY 2013</v>
      </c>
      <c r="E7" s="166" t="str">
        <f>CONCATENATE("FY ",Settings!$C$1+1)</f>
        <v>FY 2014</v>
      </c>
      <c r="F7" s="166" t="str">
        <f>CONCATENATE("FY ",Settings!$C$1+2)</f>
        <v>FY 2015</v>
      </c>
      <c r="G7" s="166" t="str">
        <f>CONCATENATE("FY ",Settings!$C$1+3)</f>
        <v>FY 2016</v>
      </c>
      <c r="H7" s="166" t="str">
        <f>CONCATENATE("FY ",Settings!$C$1+4)</f>
        <v>FY 2017</v>
      </c>
      <c r="I7" s="166" t="str">
        <f>CONCATENATE("FY ",Settings!$C$1+5)</f>
        <v>FY 2018</v>
      </c>
      <c r="J7" s="166" t="str">
        <f>CONCATENATE("Out Years after FY",Settings!$C$1+5)</f>
        <v>Out Years after FY2018</v>
      </c>
      <c r="K7" s="166" t="str">
        <f>CONCATENATE("Total FY",Settings!$C$1," - FY",Settings!$C$1+4)</f>
        <v>Total FY2013 - FY2017</v>
      </c>
      <c r="L7" s="166" t="str">
        <f>CONCATENATE("Total FY",Settings!$C$1," - Out Years")</f>
        <v>Total FY2013 - Out Years</v>
      </c>
      <c r="M7" s="167" t="s">
        <v>29</v>
      </c>
    </row>
    <row r="8" spans="1:13" ht="16.5" customHeight="1">
      <c r="A8" s="106"/>
      <c r="B8" s="208" t="s">
        <v>105</v>
      </c>
      <c r="C8" s="6"/>
      <c r="D8" s="6"/>
      <c r="E8" s="1"/>
      <c r="F8" s="1">
        <v>300000</v>
      </c>
      <c r="G8" s="1">
        <v>300000</v>
      </c>
      <c r="H8" s="1">
        <v>300000</v>
      </c>
      <c r="I8" s="1">
        <v>300000</v>
      </c>
      <c r="J8" s="1">
        <v>500000</v>
      </c>
      <c r="K8" s="120">
        <f>SUM(D8:I8)</f>
        <v>1200000</v>
      </c>
      <c r="L8" s="114">
        <f>SUM(D8:J8)</f>
        <v>1700000</v>
      </c>
      <c r="M8" s="115">
        <f>SUM(C8:J8)</f>
        <v>1700000</v>
      </c>
    </row>
    <row r="9" spans="1:13" ht="16.5" customHeight="1">
      <c r="A9" s="106"/>
      <c r="B9" s="208" t="s">
        <v>106</v>
      </c>
      <c r="C9" s="4"/>
      <c r="D9" s="4"/>
      <c r="E9" s="4"/>
      <c r="F9" s="4"/>
      <c r="G9" s="4"/>
      <c r="H9" s="4"/>
      <c r="I9" s="4"/>
      <c r="J9" s="4"/>
      <c r="K9" s="121">
        <f t="shared" ref="K9:K18" si="0">SUM(D9:I9)</f>
        <v>0</v>
      </c>
      <c r="L9" s="116">
        <f t="shared" ref="L9:L17" si="1">SUM(D9:J9)</f>
        <v>0</v>
      </c>
      <c r="M9" s="117">
        <f t="shared" ref="M9:M18" si="2">SUM(C9:J9)</f>
        <v>0</v>
      </c>
    </row>
    <row r="10" spans="1:13" ht="16.5" customHeight="1">
      <c r="A10" s="106"/>
      <c r="B10" s="208" t="s">
        <v>107</v>
      </c>
      <c r="C10" s="4"/>
      <c r="D10" s="4"/>
      <c r="E10" s="4"/>
      <c r="F10" s="4"/>
      <c r="G10" s="4"/>
      <c r="H10" s="4"/>
      <c r="I10" s="4"/>
      <c r="J10" s="4"/>
      <c r="K10" s="121">
        <f t="shared" si="0"/>
        <v>0</v>
      </c>
      <c r="L10" s="116">
        <f t="shared" si="1"/>
        <v>0</v>
      </c>
      <c r="M10" s="117">
        <f t="shared" si="2"/>
        <v>0</v>
      </c>
    </row>
    <row r="11" spans="1:13" ht="16.5" customHeight="1">
      <c r="A11" s="106"/>
      <c r="B11" s="107" t="s">
        <v>7</v>
      </c>
      <c r="C11" s="4"/>
      <c r="D11" s="4"/>
      <c r="E11" s="4"/>
      <c r="F11" s="4"/>
      <c r="G11" s="4"/>
      <c r="H11" s="4"/>
      <c r="I11" s="4"/>
      <c r="J11" s="4"/>
      <c r="K11" s="121">
        <f t="shared" si="0"/>
        <v>0</v>
      </c>
      <c r="L11" s="116">
        <f t="shared" si="1"/>
        <v>0</v>
      </c>
      <c r="M11" s="117">
        <f t="shared" si="2"/>
        <v>0</v>
      </c>
    </row>
    <row r="12" spans="1:13" ht="16.5" customHeight="1">
      <c r="A12" s="106"/>
      <c r="B12" s="107" t="s">
        <v>8</v>
      </c>
      <c r="C12" s="5"/>
      <c r="D12" s="5"/>
      <c r="E12" s="5"/>
      <c r="F12" s="5"/>
      <c r="G12" s="5"/>
      <c r="H12" s="5"/>
      <c r="I12" s="5"/>
      <c r="J12" s="5"/>
      <c r="K12" s="121">
        <f t="shared" si="0"/>
        <v>0</v>
      </c>
      <c r="L12" s="116">
        <f t="shared" si="1"/>
        <v>0</v>
      </c>
      <c r="M12" s="117">
        <f t="shared" si="2"/>
        <v>0</v>
      </c>
    </row>
    <row r="13" spans="1:13" ht="16.5" customHeight="1">
      <c r="A13" s="108"/>
      <c r="B13" s="124" t="s">
        <v>9</v>
      </c>
      <c r="C13" s="125">
        <f>'CAPITAL DEV. COSTS-THIS REQUEST'!D23</f>
        <v>0</v>
      </c>
      <c r="D13" s="125">
        <f>'CAPITAL DEV. COSTS-THIS REQUEST'!E23</f>
        <v>0</v>
      </c>
      <c r="E13" s="125">
        <f>'CAPITAL DEV. COSTS-THIS REQUEST'!F23</f>
        <v>6150000</v>
      </c>
      <c r="F13" s="125">
        <f>'CAPITAL DEV. COSTS-THIS REQUEST'!G23</f>
        <v>1100000</v>
      </c>
      <c r="G13" s="125">
        <f>'CAPITAL DEV. COSTS-THIS REQUEST'!H23</f>
        <v>300000</v>
      </c>
      <c r="H13" s="125">
        <f>'CAPITAL DEV. COSTS-THIS REQUEST'!I23</f>
        <v>300000</v>
      </c>
      <c r="I13" s="125">
        <f>'CAPITAL DEV. COSTS-THIS REQUEST'!J23</f>
        <v>200000</v>
      </c>
      <c r="J13" s="125">
        <f>'CAPITAL DEV. COSTS-THIS REQUEST'!K23</f>
        <v>0</v>
      </c>
      <c r="K13" s="121">
        <f t="shared" si="0"/>
        <v>8050000</v>
      </c>
      <c r="L13" s="116">
        <f t="shared" si="1"/>
        <v>8050000</v>
      </c>
      <c r="M13" s="117">
        <f t="shared" si="2"/>
        <v>8050000</v>
      </c>
    </row>
    <row r="14" spans="1:13" ht="16.5" customHeight="1">
      <c r="A14" s="360" t="s">
        <v>77</v>
      </c>
      <c r="B14" s="361"/>
      <c r="C14" s="6"/>
      <c r="D14" s="6"/>
      <c r="E14" s="6"/>
      <c r="F14" s="6"/>
      <c r="G14" s="6"/>
      <c r="H14" s="6"/>
      <c r="I14" s="6"/>
      <c r="J14" s="6"/>
      <c r="K14" s="121">
        <f t="shared" si="0"/>
        <v>0</v>
      </c>
      <c r="L14" s="116">
        <f t="shared" si="1"/>
        <v>0</v>
      </c>
      <c r="M14" s="117">
        <f t="shared" si="2"/>
        <v>0</v>
      </c>
    </row>
    <row r="15" spans="1:13" ht="16.5" customHeight="1">
      <c r="A15" s="106"/>
      <c r="B15" s="8"/>
      <c r="C15" s="4"/>
      <c r="D15" s="4"/>
      <c r="E15" s="4"/>
      <c r="F15" s="4"/>
      <c r="G15" s="4"/>
      <c r="H15" s="4"/>
      <c r="I15" s="4"/>
      <c r="J15" s="4"/>
      <c r="K15" s="121">
        <f t="shared" si="0"/>
        <v>0</v>
      </c>
      <c r="L15" s="116">
        <f t="shared" si="1"/>
        <v>0</v>
      </c>
      <c r="M15" s="117">
        <f t="shared" si="2"/>
        <v>0</v>
      </c>
    </row>
    <row r="16" spans="1:13" ht="16.5" customHeight="1">
      <c r="A16" s="106"/>
      <c r="B16" s="8"/>
      <c r="C16" s="4"/>
      <c r="D16" s="4"/>
      <c r="E16" s="4"/>
      <c r="F16" s="4"/>
      <c r="G16" s="4"/>
      <c r="H16" s="4"/>
      <c r="I16" s="4"/>
      <c r="J16" s="4"/>
      <c r="K16" s="121">
        <f t="shared" si="0"/>
        <v>0</v>
      </c>
      <c r="L16" s="116">
        <f>SUM(D16:J16)</f>
        <v>0</v>
      </c>
      <c r="M16" s="117">
        <f>SUM(C16:J16)</f>
        <v>0</v>
      </c>
    </row>
    <row r="17" spans="1:13" ht="16.5" customHeight="1">
      <c r="A17" s="106"/>
      <c r="B17" s="8"/>
      <c r="C17" s="4"/>
      <c r="D17" s="4"/>
      <c r="E17" s="4"/>
      <c r="F17" s="4"/>
      <c r="G17" s="4"/>
      <c r="H17" s="4"/>
      <c r="I17" s="4"/>
      <c r="J17" s="4"/>
      <c r="K17" s="121">
        <f t="shared" si="0"/>
        <v>0</v>
      </c>
      <c r="L17" s="116">
        <f t="shared" si="1"/>
        <v>0</v>
      </c>
      <c r="M17" s="117">
        <f t="shared" si="2"/>
        <v>0</v>
      </c>
    </row>
    <row r="18" spans="1:13" ht="16.5" customHeight="1" thickBot="1">
      <c r="A18" s="106"/>
      <c r="B18" s="10"/>
      <c r="C18" s="5"/>
      <c r="D18" s="5"/>
      <c r="E18" s="5"/>
      <c r="F18" s="5"/>
      <c r="G18" s="5"/>
      <c r="H18" s="5"/>
      <c r="I18" s="5"/>
      <c r="J18" s="123"/>
      <c r="K18" s="122">
        <f t="shared" si="0"/>
        <v>0</v>
      </c>
      <c r="L18" s="118">
        <f>SUM(D18:J18)</f>
        <v>0</v>
      </c>
      <c r="M18" s="119">
        <f t="shared" si="2"/>
        <v>0</v>
      </c>
    </row>
    <row r="19" spans="1:13" ht="16.5" customHeight="1" thickTop="1" thickBot="1">
      <c r="A19" s="359" t="s">
        <v>41</v>
      </c>
      <c r="B19" s="359"/>
      <c r="C19" s="11">
        <f t="shared" ref="C19:M19" si="3">SUM(C8:C18)</f>
        <v>0</v>
      </c>
      <c r="D19" s="11">
        <f t="shared" si="3"/>
        <v>0</v>
      </c>
      <c r="E19" s="11">
        <f t="shared" si="3"/>
        <v>6150000</v>
      </c>
      <c r="F19" s="11">
        <f t="shared" si="3"/>
        <v>1400000</v>
      </c>
      <c r="G19" s="11">
        <f t="shared" si="3"/>
        <v>600000</v>
      </c>
      <c r="H19" s="11">
        <f t="shared" si="3"/>
        <v>600000</v>
      </c>
      <c r="I19" s="11">
        <f t="shared" si="3"/>
        <v>500000</v>
      </c>
      <c r="J19" s="11">
        <f t="shared" si="3"/>
        <v>500000</v>
      </c>
      <c r="K19" s="11">
        <f>SUM(K8:K18)</f>
        <v>9250000</v>
      </c>
      <c r="L19" s="11">
        <f t="shared" si="3"/>
        <v>9750000</v>
      </c>
      <c r="M19" s="11">
        <f t="shared" si="3"/>
        <v>9750000</v>
      </c>
    </row>
    <row r="20" spans="1:13" ht="12.6" customHeight="1" thickTop="1">
      <c r="A20" s="109"/>
      <c r="B20" s="110"/>
      <c r="C20" s="111"/>
      <c r="D20" s="111"/>
      <c r="E20" s="111"/>
      <c r="F20" s="111"/>
      <c r="G20" s="111"/>
      <c r="H20" s="111"/>
      <c r="I20" s="111"/>
      <c r="J20" s="111"/>
    </row>
    <row r="21" spans="1:13" ht="26.25" customHeight="1">
      <c r="A21" s="352" t="s">
        <v>40</v>
      </c>
      <c r="B21" s="353"/>
      <c r="C21" s="7">
        <f>'TOTAL DEVELOPMENT COSTS'!D23</f>
        <v>0</v>
      </c>
      <c r="D21" s="7">
        <f>'TOTAL DEVELOPMENT COSTS'!E23</f>
        <v>0</v>
      </c>
      <c r="E21" s="7">
        <f>'TOTAL DEVELOPMENT COSTS'!F23</f>
        <v>6150000</v>
      </c>
      <c r="F21" s="7">
        <f>'TOTAL DEVELOPMENT COSTS'!G23</f>
        <v>1400000</v>
      </c>
      <c r="G21" s="7">
        <f>'TOTAL DEVELOPMENT COSTS'!H23</f>
        <v>600000</v>
      </c>
      <c r="H21" s="7">
        <f>'TOTAL DEVELOPMENT COSTS'!I23</f>
        <v>600000</v>
      </c>
      <c r="I21" s="7">
        <f>'TOTAL DEVELOPMENT COSTS'!J23</f>
        <v>500000</v>
      </c>
      <c r="J21" s="7">
        <f>'TOTAL DEVELOPMENT COSTS'!K23</f>
        <v>500000</v>
      </c>
    </row>
    <row r="22" spans="1:13" s="112" customFormat="1" ht="8.25" customHeight="1">
      <c r="A22" s="109"/>
      <c r="B22" s="110"/>
      <c r="C22" s="111"/>
      <c r="D22" s="111"/>
      <c r="E22" s="111"/>
      <c r="F22" s="111"/>
      <c r="G22" s="111"/>
      <c r="H22" s="111"/>
      <c r="I22" s="111"/>
      <c r="J22" s="111"/>
      <c r="M22" s="113"/>
    </row>
    <row r="23" spans="1:13" ht="37.5" customHeight="1" thickBot="1">
      <c r="A23" s="354" t="s">
        <v>78</v>
      </c>
      <c r="B23" s="355"/>
      <c r="C23" s="180"/>
      <c r="D23" s="7">
        <f t="shared" ref="D23:J23" si="4">D21-D19</f>
        <v>0</v>
      </c>
      <c r="E23" s="7">
        <f t="shared" si="4"/>
        <v>0</v>
      </c>
      <c r="F23" s="7">
        <f t="shared" si="4"/>
        <v>0</v>
      </c>
      <c r="G23" s="7">
        <f t="shared" si="4"/>
        <v>0</v>
      </c>
      <c r="H23" s="7">
        <f t="shared" si="4"/>
        <v>0</v>
      </c>
      <c r="I23" s="7">
        <f t="shared" si="4"/>
        <v>0</v>
      </c>
      <c r="J23" s="7">
        <f t="shared" si="4"/>
        <v>0</v>
      </c>
    </row>
    <row r="24" spans="1:13" ht="14.25" thickTop="1" thickBot="1"/>
    <row r="25" spans="1:13" ht="13.5" thickBot="1">
      <c r="C25" s="356" t="str">
        <f>IF(AND(D23=0,E23=0,F23=0,G23=0,H23=0,J23=0),"","Total Funding Source Must Equal Total Development Cost")</f>
        <v/>
      </c>
      <c r="D25" s="357"/>
      <c r="E25" s="357"/>
      <c r="F25" s="357"/>
      <c r="G25" s="357"/>
      <c r="H25" s="357"/>
      <c r="I25" s="357"/>
      <c r="J25" s="358"/>
    </row>
    <row r="27" spans="1:13" ht="15">
      <c r="A27" s="366" t="s">
        <v>139</v>
      </c>
    </row>
  </sheetData>
  <sheetProtection formatCells="0" formatColumns="0" formatRows="0" selectLockedCells="1"/>
  <mergeCells count="13">
    <mergeCell ref="C5:H5"/>
    <mergeCell ref="A6:M6"/>
    <mergeCell ref="A21:B21"/>
    <mergeCell ref="A23:B23"/>
    <mergeCell ref="C25:J25"/>
    <mergeCell ref="A19:B19"/>
    <mergeCell ref="A14:B14"/>
    <mergeCell ref="A2:B2"/>
    <mergeCell ref="A3:B3"/>
    <mergeCell ref="A4:B4"/>
    <mergeCell ref="C2:J2"/>
    <mergeCell ref="C3:J3"/>
    <mergeCell ref="C4:J4"/>
  </mergeCells>
  <phoneticPr fontId="1" type="noConversion"/>
  <conditionalFormatting sqref="C25:J25">
    <cfRule type="cellIs" dxfId="2" priority="1" stopIfTrue="1" operator="notEqual">
      <formula>""</formula>
    </cfRule>
  </conditionalFormatting>
  <conditionalFormatting sqref="C23:J23">
    <cfRule type="cellIs" dxfId="1"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L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ReganM1</cp:lastModifiedBy>
  <cp:lastPrinted>2013-03-01T18:27:27Z</cp:lastPrinted>
  <dcterms:created xsi:type="dcterms:W3CDTF">2009-11-16T15:45:40Z</dcterms:created>
  <dcterms:modified xsi:type="dcterms:W3CDTF">2013-03-27T18:04:12Z</dcterms:modified>
</cp:coreProperties>
</file>