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ert\FISC_SVC\2016AR12M\Excel Downloads\"/>
    </mc:Choice>
  </mc:AlternateContent>
  <bookViews>
    <workbookView xWindow="0" yWindow="0" windowWidth="28800" windowHeight="13635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Report485!$A$11:$F$30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52511"/>
</workbook>
</file>

<file path=xl/calcChain.xml><?xml version="1.0" encoding="utf-8"?>
<calcChain xmlns="http://schemas.openxmlformats.org/spreadsheetml/2006/main">
  <c r="E97" i="22" l="1"/>
  <c r="D97" i="22"/>
  <c r="C97" i="22"/>
  <c r="E96" i="22"/>
  <c r="E98" i="22" s="1"/>
  <c r="D96" i="22"/>
  <c r="D98" i="22" s="1"/>
  <c r="C96" i="22"/>
  <c r="C98" i="22" s="1"/>
  <c r="E92" i="22"/>
  <c r="D92" i="22"/>
  <c r="C92" i="22"/>
  <c r="E91" i="22"/>
  <c r="E93" i="22" s="1"/>
  <c r="D91" i="22"/>
  <c r="D93" i="22" s="1"/>
  <c r="C91" i="22"/>
  <c r="C93" i="22" s="1"/>
  <c r="E87" i="22"/>
  <c r="D87" i="22"/>
  <c r="C87" i="22"/>
  <c r="E86" i="22"/>
  <c r="E88" i="22" s="1"/>
  <c r="D86" i="22"/>
  <c r="C86" i="22"/>
  <c r="C88" i="22" s="1"/>
  <c r="E83" i="22"/>
  <c r="D83" i="22"/>
  <c r="C83" i="22"/>
  <c r="C101" i="22" s="1"/>
  <c r="E76" i="22"/>
  <c r="D76" i="22"/>
  <c r="C76" i="22"/>
  <c r="E75" i="22"/>
  <c r="E77" i="22" s="1"/>
  <c r="E110" i="22" s="1"/>
  <c r="D75" i="22"/>
  <c r="C75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28" i="22"/>
  <c r="D28" i="22"/>
  <c r="C28" i="22"/>
  <c r="E27" i="22"/>
  <c r="D27" i="22"/>
  <c r="C27" i="22"/>
  <c r="E21" i="22"/>
  <c r="D21" i="22"/>
  <c r="C21" i="22"/>
  <c r="E12" i="22"/>
  <c r="E34" i="22" s="1"/>
  <c r="E33" i="22"/>
  <c r="D12" i="22"/>
  <c r="D33" i="22" s="1"/>
  <c r="C12" i="22"/>
  <c r="D21" i="21"/>
  <c r="C21" i="21"/>
  <c r="E21" i="21" s="1"/>
  <c r="F21" i="21" s="1"/>
  <c r="D19" i="21"/>
  <c r="E19" i="21" s="1"/>
  <c r="F19" i="21" s="1"/>
  <c r="C19" i="21"/>
  <c r="E17" i="21"/>
  <c r="F17" i="21" s="1"/>
  <c r="E15" i="21"/>
  <c r="F15" i="21" s="1"/>
  <c r="D45" i="20"/>
  <c r="C45" i="20"/>
  <c r="D44" i="20"/>
  <c r="C44" i="20"/>
  <c r="D43" i="20"/>
  <c r="D46" i="20" s="1"/>
  <c r="C43" i="20"/>
  <c r="D36" i="20"/>
  <c r="D40" i="20" s="1"/>
  <c r="C36" i="20"/>
  <c r="E35" i="20"/>
  <c r="F35" i="20" s="1"/>
  <c r="E34" i="20"/>
  <c r="F34" i="20" s="1"/>
  <c r="E33" i="20"/>
  <c r="F33" i="20" s="1"/>
  <c r="E30" i="20"/>
  <c r="F30" i="20" s="1"/>
  <c r="E29" i="20"/>
  <c r="F29" i="20" s="1"/>
  <c r="E28" i="20"/>
  <c r="F28" i="20" s="1"/>
  <c r="E27" i="20"/>
  <c r="F27" i="20" s="1"/>
  <c r="D25" i="20"/>
  <c r="D39" i="20" s="1"/>
  <c r="C25" i="20"/>
  <c r="E24" i="20"/>
  <c r="F24" i="20"/>
  <c r="E23" i="20"/>
  <c r="E25" i="20" s="1"/>
  <c r="F25" i="20" s="1"/>
  <c r="F23" i="20"/>
  <c r="E22" i="20"/>
  <c r="F22" i="20" s="1"/>
  <c r="D19" i="20"/>
  <c r="D20" i="20" s="1"/>
  <c r="E20" i="20" s="1"/>
  <c r="F20" i="20" s="1"/>
  <c r="C19" i="20"/>
  <c r="E18" i="20"/>
  <c r="F18" i="20" s="1"/>
  <c r="D16" i="20"/>
  <c r="C16" i="20"/>
  <c r="E16" i="20" s="1"/>
  <c r="F16" i="20" s="1"/>
  <c r="E15" i="20"/>
  <c r="F15" i="20" s="1"/>
  <c r="E13" i="20"/>
  <c r="F13" i="20" s="1"/>
  <c r="E12" i="20"/>
  <c r="F12" i="20" s="1"/>
  <c r="C115" i="19"/>
  <c r="C105" i="19"/>
  <c r="C137" i="19" s="1"/>
  <c r="C139" i="19" s="1"/>
  <c r="C143" i="19" s="1"/>
  <c r="C96" i="19"/>
  <c r="C95" i="19"/>
  <c r="C89" i="19"/>
  <c r="C88" i="19"/>
  <c r="C83" i="19"/>
  <c r="C77" i="19"/>
  <c r="C78" i="19" s="1"/>
  <c r="C63" i="19"/>
  <c r="C59" i="19"/>
  <c r="C60" i="19" s="1"/>
  <c r="C48" i="19"/>
  <c r="C64" i="19" s="1"/>
  <c r="C65" i="19" s="1"/>
  <c r="C114" i="19" s="1"/>
  <c r="C116" i="19" s="1"/>
  <c r="C119" i="19" s="1"/>
  <c r="C123" i="19" s="1"/>
  <c r="C36" i="19"/>
  <c r="C32" i="19"/>
  <c r="C21" i="19"/>
  <c r="C22" i="19" s="1"/>
  <c r="E328" i="18"/>
  <c r="E325" i="18"/>
  <c r="D324" i="18"/>
  <c r="E324" i="18" s="1"/>
  <c r="C324" i="18"/>
  <c r="C326" i="18"/>
  <c r="E318" i="18"/>
  <c r="E315" i="18"/>
  <c r="D314" i="18"/>
  <c r="D316" i="18" s="1"/>
  <c r="D320" i="18" s="1"/>
  <c r="C314" i="18"/>
  <c r="C316" i="18" s="1"/>
  <c r="E308" i="18"/>
  <c r="E305" i="18"/>
  <c r="D301" i="18"/>
  <c r="C301" i="18"/>
  <c r="C303" i="18" s="1"/>
  <c r="C306" i="18" s="1"/>
  <c r="C310" i="18" s="1"/>
  <c r="D293" i="18"/>
  <c r="C293" i="18"/>
  <c r="D292" i="18"/>
  <c r="E292" i="18" s="1"/>
  <c r="C292" i="18"/>
  <c r="D291" i="18"/>
  <c r="C291" i="18"/>
  <c r="E291" i="18" s="1"/>
  <c r="D290" i="18"/>
  <c r="C290" i="18"/>
  <c r="D288" i="18"/>
  <c r="E288" i="18" s="1"/>
  <c r="C288" i="18"/>
  <c r="D287" i="18"/>
  <c r="C287" i="18"/>
  <c r="D282" i="18"/>
  <c r="E282" i="18" s="1"/>
  <c r="C282" i="18"/>
  <c r="D281" i="18"/>
  <c r="C281" i="18"/>
  <c r="E281" i="18" s="1"/>
  <c r="D280" i="18"/>
  <c r="E280" i="18" s="1"/>
  <c r="C280" i="18"/>
  <c r="D279" i="18"/>
  <c r="C279" i="18"/>
  <c r="E279" i="18" s="1"/>
  <c r="D278" i="18"/>
  <c r="C278" i="18"/>
  <c r="D277" i="18"/>
  <c r="E277" i="18" s="1"/>
  <c r="C277" i="18"/>
  <c r="D276" i="18"/>
  <c r="E276" i="18" s="1"/>
  <c r="C276" i="18"/>
  <c r="E270" i="18"/>
  <c r="D265" i="18"/>
  <c r="D302" i="18" s="1"/>
  <c r="C265" i="18"/>
  <c r="C302" i="18" s="1"/>
  <c r="D262" i="18"/>
  <c r="E262" i="18" s="1"/>
  <c r="C262" i="18"/>
  <c r="D251" i="18"/>
  <c r="C251" i="18"/>
  <c r="C243" i="18"/>
  <c r="D233" i="18"/>
  <c r="E233" i="18" s="1"/>
  <c r="C233" i="18"/>
  <c r="D232" i="18"/>
  <c r="E232" i="18" s="1"/>
  <c r="C232" i="18"/>
  <c r="D231" i="18"/>
  <c r="C231" i="18"/>
  <c r="D230" i="18"/>
  <c r="C230" i="18"/>
  <c r="D228" i="18"/>
  <c r="E228" i="18" s="1"/>
  <c r="C228" i="18"/>
  <c r="D227" i="18"/>
  <c r="E227" i="18" s="1"/>
  <c r="C227" i="18"/>
  <c r="D221" i="18"/>
  <c r="D245" i="18" s="1"/>
  <c r="C221" i="18"/>
  <c r="D220" i="18"/>
  <c r="C220" i="18"/>
  <c r="C244" i="18"/>
  <c r="D219" i="18"/>
  <c r="D243" i="18" s="1"/>
  <c r="C219" i="18"/>
  <c r="E219" i="18"/>
  <c r="D218" i="18"/>
  <c r="C218" i="18"/>
  <c r="C242" i="18"/>
  <c r="D216" i="18"/>
  <c r="C216" i="18"/>
  <c r="C240" i="18" s="1"/>
  <c r="D215" i="18"/>
  <c r="D239" i="18" s="1"/>
  <c r="E239" i="18" s="1"/>
  <c r="C215" i="18"/>
  <c r="C239" i="18" s="1"/>
  <c r="E209" i="18"/>
  <c r="E208" i="18"/>
  <c r="E207" i="18"/>
  <c r="E206" i="18"/>
  <c r="D205" i="18"/>
  <c r="D229" i="18" s="1"/>
  <c r="C205" i="18"/>
  <c r="C210" i="18" s="1"/>
  <c r="C229" i="18"/>
  <c r="E204" i="18"/>
  <c r="E203" i="18"/>
  <c r="E197" i="18"/>
  <c r="E196" i="18"/>
  <c r="D195" i="18"/>
  <c r="D260" i="18" s="1"/>
  <c r="E260" i="18" s="1"/>
  <c r="C195" i="18"/>
  <c r="C260" i="18" s="1"/>
  <c r="E194" i="18"/>
  <c r="E193" i="18"/>
  <c r="E192" i="18"/>
  <c r="E191" i="18"/>
  <c r="E190" i="18"/>
  <c r="D188" i="18"/>
  <c r="C188" i="18"/>
  <c r="C261" i="18" s="1"/>
  <c r="E261" i="18" s="1"/>
  <c r="E186" i="18"/>
  <c r="E185" i="18"/>
  <c r="D179" i="18"/>
  <c r="C179" i="18"/>
  <c r="E179" i="18" s="1"/>
  <c r="D178" i="18"/>
  <c r="C178" i="18"/>
  <c r="D177" i="18"/>
  <c r="E177" i="18" s="1"/>
  <c r="C177" i="18"/>
  <c r="D176" i="18"/>
  <c r="C176" i="18"/>
  <c r="D174" i="18"/>
  <c r="C174" i="18"/>
  <c r="E174" i="18" s="1"/>
  <c r="D173" i="18"/>
  <c r="C173" i="18"/>
  <c r="E173" i="18" s="1"/>
  <c r="D167" i="18"/>
  <c r="E167" i="18" s="1"/>
  <c r="C167" i="18"/>
  <c r="D166" i="18"/>
  <c r="E166" i="18" s="1"/>
  <c r="C166" i="18"/>
  <c r="D165" i="18"/>
  <c r="C165" i="18"/>
  <c r="E165" i="18" s="1"/>
  <c r="D164" i="18"/>
  <c r="C164" i="18"/>
  <c r="E164" i="18" s="1"/>
  <c r="D162" i="18"/>
  <c r="E162" i="18" s="1"/>
  <c r="C162" i="18"/>
  <c r="D161" i="18"/>
  <c r="E161" i="18" s="1"/>
  <c r="C161" i="18"/>
  <c r="E155" i="18"/>
  <c r="E154" i="18"/>
  <c r="E153" i="18"/>
  <c r="E152" i="18"/>
  <c r="D151" i="18"/>
  <c r="D163" i="18" s="1"/>
  <c r="C151" i="18"/>
  <c r="C156" i="18" s="1"/>
  <c r="C157" i="18" s="1"/>
  <c r="E150" i="18"/>
  <c r="E149" i="18"/>
  <c r="D144" i="18"/>
  <c r="D145" i="18" s="1"/>
  <c r="E143" i="18"/>
  <c r="E142" i="18"/>
  <c r="E141" i="18"/>
  <c r="E140" i="18"/>
  <c r="D139" i="18"/>
  <c r="D175" i="18" s="1"/>
  <c r="C139" i="18"/>
  <c r="E138" i="18"/>
  <c r="E137" i="18"/>
  <c r="D75" i="18"/>
  <c r="E75" i="18" s="1"/>
  <c r="C75" i="18"/>
  <c r="D74" i="18"/>
  <c r="C74" i="18"/>
  <c r="E74" i="18" s="1"/>
  <c r="D73" i="18"/>
  <c r="C73" i="18"/>
  <c r="E73" i="18" s="1"/>
  <c r="D72" i="18"/>
  <c r="C72" i="18"/>
  <c r="D70" i="18"/>
  <c r="E70" i="18" s="1"/>
  <c r="C70" i="18"/>
  <c r="D69" i="18"/>
  <c r="C69" i="18"/>
  <c r="E64" i="18"/>
  <c r="E63" i="18"/>
  <c r="E62" i="18"/>
  <c r="E61" i="18"/>
  <c r="D60" i="18"/>
  <c r="E60" i="18" s="1"/>
  <c r="C60" i="18"/>
  <c r="E59" i="18"/>
  <c r="E58" i="18"/>
  <c r="D54" i="18"/>
  <c r="D55" i="18" s="1"/>
  <c r="E55" i="18" s="1"/>
  <c r="C54" i="18"/>
  <c r="C55" i="18"/>
  <c r="E53" i="18"/>
  <c r="E52" i="18"/>
  <c r="E51" i="18"/>
  <c r="E50" i="18"/>
  <c r="E49" i="18"/>
  <c r="E48" i="18"/>
  <c r="E47" i="18"/>
  <c r="D42" i="18"/>
  <c r="E42" i="18" s="1"/>
  <c r="C42" i="18"/>
  <c r="D41" i="18"/>
  <c r="E41" i="18" s="1"/>
  <c r="C41" i="18"/>
  <c r="D40" i="18"/>
  <c r="C40" i="18"/>
  <c r="E40" i="18" s="1"/>
  <c r="D39" i="18"/>
  <c r="E39" i="18" s="1"/>
  <c r="C39" i="18"/>
  <c r="D38" i="18"/>
  <c r="E38" i="18" s="1"/>
  <c r="C38" i="18"/>
  <c r="D37" i="18"/>
  <c r="E37" i="18" s="1"/>
  <c r="C37" i="18"/>
  <c r="C43" i="18" s="1"/>
  <c r="D36" i="18"/>
  <c r="C36" i="18"/>
  <c r="E36" i="18" s="1"/>
  <c r="D32" i="18"/>
  <c r="C32" i="18"/>
  <c r="E31" i="18"/>
  <c r="E30" i="18"/>
  <c r="E29" i="18"/>
  <c r="E28" i="18"/>
  <c r="E27" i="18"/>
  <c r="E26" i="18"/>
  <c r="E25" i="18"/>
  <c r="D21" i="18"/>
  <c r="C21" i="18"/>
  <c r="C22" i="18" s="1"/>
  <c r="E20" i="18"/>
  <c r="E19" i="18"/>
  <c r="E18" i="18"/>
  <c r="E17" i="18"/>
  <c r="E16" i="18"/>
  <c r="E15" i="18"/>
  <c r="E14" i="18"/>
  <c r="E335" i="17"/>
  <c r="F335" i="17" s="1"/>
  <c r="E334" i="17"/>
  <c r="F334" i="17" s="1"/>
  <c r="E333" i="17"/>
  <c r="F333" i="17"/>
  <c r="E332" i="17"/>
  <c r="F332" i="17" s="1"/>
  <c r="E331" i="17"/>
  <c r="F331" i="17" s="1"/>
  <c r="E330" i="17"/>
  <c r="F330" i="17" s="1"/>
  <c r="E329" i="17"/>
  <c r="F329" i="17"/>
  <c r="F316" i="17"/>
  <c r="E316" i="17"/>
  <c r="D311" i="17"/>
  <c r="E311" i="17" s="1"/>
  <c r="C311" i="17"/>
  <c r="F311" i="17" s="1"/>
  <c r="E308" i="17"/>
  <c r="F308" i="17"/>
  <c r="D307" i="17"/>
  <c r="E307" i="17" s="1"/>
  <c r="F307" i="17" s="1"/>
  <c r="C307" i="17"/>
  <c r="D299" i="17"/>
  <c r="C299" i="17"/>
  <c r="D298" i="17"/>
  <c r="E298" i="17" s="1"/>
  <c r="F298" i="17" s="1"/>
  <c r="C298" i="17"/>
  <c r="D297" i="17"/>
  <c r="E297" i="17"/>
  <c r="F297" i="17" s="1"/>
  <c r="C297" i="17"/>
  <c r="D296" i="17"/>
  <c r="C296" i="17"/>
  <c r="D295" i="17"/>
  <c r="E295" i="17" s="1"/>
  <c r="F295" i="17" s="1"/>
  <c r="C295" i="17"/>
  <c r="D294" i="17"/>
  <c r="E294" i="17" s="1"/>
  <c r="F294" i="17" s="1"/>
  <c r="C294" i="17"/>
  <c r="D250" i="17"/>
  <c r="D306" i="17"/>
  <c r="C250" i="17"/>
  <c r="E249" i="17"/>
  <c r="F249" i="17" s="1"/>
  <c r="E248" i="17"/>
  <c r="F248" i="17"/>
  <c r="F245" i="17"/>
  <c r="E245" i="17"/>
  <c r="E244" i="17"/>
  <c r="F244" i="17" s="1"/>
  <c r="E243" i="17"/>
  <c r="F243" i="17" s="1"/>
  <c r="D238" i="17"/>
  <c r="E238" i="17" s="1"/>
  <c r="F238" i="17" s="1"/>
  <c r="C238" i="17"/>
  <c r="D237" i="17"/>
  <c r="C237" i="17"/>
  <c r="E234" i="17"/>
  <c r="F234" i="17" s="1"/>
  <c r="E233" i="17"/>
  <c r="F233" i="17"/>
  <c r="D230" i="17"/>
  <c r="C230" i="17"/>
  <c r="D229" i="17"/>
  <c r="C229" i="17"/>
  <c r="E228" i="17"/>
  <c r="F228" i="17" s="1"/>
  <c r="D226" i="17"/>
  <c r="D227" i="17"/>
  <c r="C226" i="17"/>
  <c r="E225" i="17"/>
  <c r="F225" i="17" s="1"/>
  <c r="E224" i="17"/>
  <c r="F224" i="17" s="1"/>
  <c r="D223" i="17"/>
  <c r="C223" i="17"/>
  <c r="E222" i="17"/>
  <c r="F222" i="17"/>
  <c r="E221" i="17"/>
  <c r="F221" i="17" s="1"/>
  <c r="C215" i="17"/>
  <c r="D204" i="17"/>
  <c r="D285" i="17" s="1"/>
  <c r="C204" i="17"/>
  <c r="C269" i="17" s="1"/>
  <c r="D203" i="17"/>
  <c r="D283" i="17" s="1"/>
  <c r="C203" i="17"/>
  <c r="D198" i="17"/>
  <c r="C198" i="17"/>
  <c r="D191" i="17"/>
  <c r="D280" i="17" s="1"/>
  <c r="C191" i="17"/>
  <c r="D189" i="17"/>
  <c r="D278" i="17" s="1"/>
  <c r="C189" i="17"/>
  <c r="D188" i="17"/>
  <c r="D277" i="17"/>
  <c r="C188" i="17"/>
  <c r="D180" i="17"/>
  <c r="E180" i="17" s="1"/>
  <c r="F180" i="17" s="1"/>
  <c r="C180" i="17"/>
  <c r="D179" i="17"/>
  <c r="C179" i="17"/>
  <c r="D171" i="17"/>
  <c r="D172" i="17" s="1"/>
  <c r="D173" i="17" s="1"/>
  <c r="C171" i="17"/>
  <c r="C172" i="17" s="1"/>
  <c r="D170" i="17"/>
  <c r="C170" i="17"/>
  <c r="E169" i="17"/>
  <c r="F169" i="17" s="1"/>
  <c r="E168" i="17"/>
  <c r="F168" i="17" s="1"/>
  <c r="D165" i="17"/>
  <c r="C165" i="17"/>
  <c r="D164" i="17"/>
  <c r="C164" i="17"/>
  <c r="E163" i="17"/>
  <c r="F163" i="17" s="1"/>
  <c r="D158" i="17"/>
  <c r="C158" i="17"/>
  <c r="C193" i="17" s="1"/>
  <c r="E157" i="17"/>
  <c r="F157" i="17" s="1"/>
  <c r="E156" i="17"/>
  <c r="F156" i="17"/>
  <c r="D155" i="17"/>
  <c r="C155" i="17"/>
  <c r="E154" i="17"/>
  <c r="F154" i="17" s="1"/>
  <c r="E153" i="17"/>
  <c r="F153" i="17" s="1"/>
  <c r="D145" i="17"/>
  <c r="C145" i="17"/>
  <c r="D144" i="17"/>
  <c r="D146" i="17" s="1"/>
  <c r="C144" i="17"/>
  <c r="D136" i="17"/>
  <c r="E136" i="17" s="1"/>
  <c r="F136" i="17" s="1"/>
  <c r="D137" i="17"/>
  <c r="D138" i="17" s="1"/>
  <c r="C136" i="17"/>
  <c r="D135" i="17"/>
  <c r="C135" i="17"/>
  <c r="E134" i="17"/>
  <c r="F134" i="17" s="1"/>
  <c r="E133" i="17"/>
  <c r="F133" i="17" s="1"/>
  <c r="D130" i="17"/>
  <c r="E130" i="17" s="1"/>
  <c r="F130" i="17" s="1"/>
  <c r="C130" i="17"/>
  <c r="D129" i="17"/>
  <c r="C129" i="17"/>
  <c r="E128" i="17"/>
  <c r="F128" i="17"/>
  <c r="D123" i="17"/>
  <c r="C123" i="17"/>
  <c r="E122" i="17"/>
  <c r="F122" i="17" s="1"/>
  <c r="E121" i="17"/>
  <c r="F121" i="17" s="1"/>
  <c r="D120" i="17"/>
  <c r="C120" i="17"/>
  <c r="E119" i="17"/>
  <c r="F119" i="17" s="1"/>
  <c r="E118" i="17"/>
  <c r="F118" i="17" s="1"/>
  <c r="D110" i="17"/>
  <c r="C110" i="17"/>
  <c r="C111" i="17" s="1"/>
  <c r="D109" i="17"/>
  <c r="C109" i="17"/>
  <c r="D101" i="17"/>
  <c r="D102" i="17" s="1"/>
  <c r="C101" i="17"/>
  <c r="D100" i="17"/>
  <c r="C100" i="17"/>
  <c r="E99" i="17"/>
  <c r="F99" i="17" s="1"/>
  <c r="E98" i="17"/>
  <c r="F98" i="17" s="1"/>
  <c r="D95" i="17"/>
  <c r="C95" i="17"/>
  <c r="D94" i="17"/>
  <c r="C94" i="17"/>
  <c r="E93" i="17"/>
  <c r="F93" i="17" s="1"/>
  <c r="D88" i="17"/>
  <c r="C88" i="17"/>
  <c r="E87" i="17"/>
  <c r="F87" i="17"/>
  <c r="E86" i="17"/>
  <c r="F86" i="17" s="1"/>
  <c r="D85" i="17"/>
  <c r="C85" i="17"/>
  <c r="E84" i="17"/>
  <c r="F84" i="17"/>
  <c r="E83" i="17"/>
  <c r="F83" i="17" s="1"/>
  <c r="D76" i="17"/>
  <c r="C76" i="17"/>
  <c r="C77" i="17" s="1"/>
  <c r="F74" i="17"/>
  <c r="E74" i="17"/>
  <c r="E73" i="17"/>
  <c r="F73" i="17" s="1"/>
  <c r="D67" i="17"/>
  <c r="E67" i="17" s="1"/>
  <c r="F67" i="17" s="1"/>
  <c r="C67" i="17"/>
  <c r="D66" i="17"/>
  <c r="C66" i="17"/>
  <c r="C68" i="17" s="1"/>
  <c r="D59" i="17"/>
  <c r="C59" i="17"/>
  <c r="D58" i="17"/>
  <c r="C58" i="17"/>
  <c r="E57" i="17"/>
  <c r="F57" i="17"/>
  <c r="E56" i="17"/>
  <c r="F56" i="17" s="1"/>
  <c r="D53" i="17"/>
  <c r="C53" i="17"/>
  <c r="D52" i="17"/>
  <c r="E52" i="17" s="1"/>
  <c r="C52" i="17"/>
  <c r="E51" i="17"/>
  <c r="F51" i="17" s="1"/>
  <c r="D47" i="17"/>
  <c r="E47" i="17" s="1"/>
  <c r="C47" i="17"/>
  <c r="E46" i="17"/>
  <c r="F46" i="17"/>
  <c r="E45" i="17"/>
  <c r="F45" i="17" s="1"/>
  <c r="D44" i="17"/>
  <c r="C44" i="17"/>
  <c r="E43" i="17"/>
  <c r="F43" i="17" s="1"/>
  <c r="E42" i="17"/>
  <c r="F42" i="17"/>
  <c r="D36" i="17"/>
  <c r="C36" i="17"/>
  <c r="C37" i="17" s="1"/>
  <c r="D35" i="17"/>
  <c r="C35" i="17"/>
  <c r="E35" i="17" s="1"/>
  <c r="D30" i="17"/>
  <c r="E30" i="17" s="1"/>
  <c r="F30" i="17" s="1"/>
  <c r="C30" i="17"/>
  <c r="C31" i="17" s="1"/>
  <c r="C32" i="17" s="1"/>
  <c r="C175" i="17" s="1"/>
  <c r="C176" i="17" s="1"/>
  <c r="D29" i="17"/>
  <c r="E29" i="17"/>
  <c r="F29" i="17" s="1"/>
  <c r="C29" i="17"/>
  <c r="E28" i="17"/>
  <c r="F28" i="17" s="1"/>
  <c r="E27" i="17"/>
  <c r="F27" i="17" s="1"/>
  <c r="D24" i="17"/>
  <c r="C24" i="17"/>
  <c r="E24" i="17" s="1"/>
  <c r="F24" i="17" s="1"/>
  <c r="D23" i="17"/>
  <c r="E23" i="17" s="1"/>
  <c r="C23" i="17"/>
  <c r="E22" i="17"/>
  <c r="F22" i="17"/>
  <c r="D20" i="17"/>
  <c r="C20" i="17"/>
  <c r="E19" i="17"/>
  <c r="F19" i="17" s="1"/>
  <c r="E18" i="17"/>
  <c r="F18" i="17"/>
  <c r="D17" i="17"/>
  <c r="E17" i="17" s="1"/>
  <c r="F17" i="17" s="1"/>
  <c r="C17" i="17"/>
  <c r="E16" i="17"/>
  <c r="F16" i="17" s="1"/>
  <c r="E15" i="17"/>
  <c r="F15" i="17"/>
  <c r="D23" i="16"/>
  <c r="C23" i="16"/>
  <c r="E22" i="16"/>
  <c r="F22" i="16" s="1"/>
  <c r="D19" i="16"/>
  <c r="C19" i="16"/>
  <c r="E18" i="16"/>
  <c r="F18" i="16" s="1"/>
  <c r="E17" i="16"/>
  <c r="F17" i="16"/>
  <c r="D14" i="16"/>
  <c r="E14" i="16" s="1"/>
  <c r="F14" i="16" s="1"/>
  <c r="C14" i="16"/>
  <c r="E13" i="16"/>
  <c r="F13" i="16" s="1"/>
  <c r="E12" i="16"/>
  <c r="F12" i="16" s="1"/>
  <c r="D107" i="15"/>
  <c r="C107" i="15"/>
  <c r="E106" i="15"/>
  <c r="F106" i="15" s="1"/>
  <c r="E105" i="15"/>
  <c r="F105" i="15" s="1"/>
  <c r="E104" i="15"/>
  <c r="F104" i="15"/>
  <c r="D100" i="15"/>
  <c r="C100" i="15"/>
  <c r="E99" i="15"/>
  <c r="F99" i="15" s="1"/>
  <c r="E98" i="15"/>
  <c r="F98" i="15" s="1"/>
  <c r="E97" i="15"/>
  <c r="F97" i="15" s="1"/>
  <c r="E96" i="15"/>
  <c r="F96" i="15"/>
  <c r="E95" i="15"/>
  <c r="F95" i="15" s="1"/>
  <c r="D92" i="15"/>
  <c r="C92" i="15"/>
  <c r="E91" i="15"/>
  <c r="F91" i="15"/>
  <c r="F90" i="15"/>
  <c r="E90" i="15"/>
  <c r="E89" i="15"/>
  <c r="F89" i="15" s="1"/>
  <c r="E88" i="15"/>
  <c r="F88" i="15" s="1"/>
  <c r="F87" i="15"/>
  <c r="E87" i="15"/>
  <c r="E86" i="15"/>
  <c r="F86" i="15"/>
  <c r="E85" i="15"/>
  <c r="F85" i="15" s="1"/>
  <c r="E84" i="15"/>
  <c r="F84" i="15" s="1"/>
  <c r="F83" i="15"/>
  <c r="E83" i="15"/>
  <c r="F82" i="15"/>
  <c r="E82" i="15"/>
  <c r="F81" i="15"/>
  <c r="E81" i="15"/>
  <c r="F80" i="15"/>
  <c r="E80" i="15"/>
  <c r="F79" i="15"/>
  <c r="E79" i="15"/>
  <c r="D75" i="15"/>
  <c r="C75" i="15"/>
  <c r="E74" i="15"/>
  <c r="F74" i="15" s="1"/>
  <c r="E73" i="15"/>
  <c r="D70" i="15"/>
  <c r="E70" i="15" s="1"/>
  <c r="F70" i="15" s="1"/>
  <c r="C70" i="15"/>
  <c r="E69" i="15"/>
  <c r="F69" i="15"/>
  <c r="E68" i="15"/>
  <c r="F68" i="15" s="1"/>
  <c r="D65" i="15"/>
  <c r="C65" i="15"/>
  <c r="E64" i="15"/>
  <c r="F64" i="15" s="1"/>
  <c r="E63" i="15"/>
  <c r="F63" i="15"/>
  <c r="D60" i="15"/>
  <c r="C60" i="15"/>
  <c r="E59" i="15"/>
  <c r="F59" i="15" s="1"/>
  <c r="E58" i="15"/>
  <c r="F58" i="15"/>
  <c r="D55" i="15"/>
  <c r="E55" i="15" s="1"/>
  <c r="F55" i="15" s="1"/>
  <c r="C55" i="15"/>
  <c r="E54" i="15"/>
  <c r="F54" i="15" s="1"/>
  <c r="E53" i="15"/>
  <c r="F53" i="15" s="1"/>
  <c r="D50" i="15"/>
  <c r="C50" i="15"/>
  <c r="E49" i="15"/>
  <c r="F49" i="15"/>
  <c r="E48" i="15"/>
  <c r="F48" i="15" s="1"/>
  <c r="D45" i="15"/>
  <c r="C45" i="15"/>
  <c r="E44" i="15"/>
  <c r="F44" i="15" s="1"/>
  <c r="E43" i="15"/>
  <c r="F43" i="15" s="1"/>
  <c r="D37" i="15"/>
  <c r="C37" i="15"/>
  <c r="F36" i="15"/>
  <c r="E36" i="15"/>
  <c r="F35" i="15"/>
  <c r="E35" i="15"/>
  <c r="E34" i="15"/>
  <c r="F34" i="15" s="1"/>
  <c r="E33" i="15"/>
  <c r="F33" i="15" s="1"/>
  <c r="D30" i="15"/>
  <c r="E30" i="15" s="1"/>
  <c r="F30" i="15" s="1"/>
  <c r="C30" i="15"/>
  <c r="F29" i="15"/>
  <c r="E29" i="15"/>
  <c r="F28" i="15"/>
  <c r="E28" i="15"/>
  <c r="E27" i="15"/>
  <c r="F27" i="15" s="1"/>
  <c r="F26" i="15"/>
  <c r="E26" i="15"/>
  <c r="D23" i="15"/>
  <c r="C23" i="15"/>
  <c r="F22" i="15"/>
  <c r="E22" i="15"/>
  <c r="E21" i="15"/>
  <c r="F21" i="15" s="1"/>
  <c r="E20" i="15"/>
  <c r="F20" i="15" s="1"/>
  <c r="E19" i="15"/>
  <c r="F19" i="15"/>
  <c r="D16" i="15"/>
  <c r="C16" i="15"/>
  <c r="F15" i="15"/>
  <c r="E15" i="15"/>
  <c r="E14" i="15"/>
  <c r="F14" i="15" s="1"/>
  <c r="E13" i="15"/>
  <c r="F13" i="15"/>
  <c r="E12" i="15"/>
  <c r="F12" i="15" s="1"/>
  <c r="I37" i="14"/>
  <c r="H37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F17" i="14"/>
  <c r="F33" i="14" s="1"/>
  <c r="E17" i="14"/>
  <c r="E31" i="14"/>
  <c r="D17" i="14"/>
  <c r="D31" i="14" s="1"/>
  <c r="C17" i="14"/>
  <c r="C31" i="14"/>
  <c r="I16" i="14"/>
  <c r="H16" i="14"/>
  <c r="I15" i="14"/>
  <c r="H15" i="14"/>
  <c r="I13" i="14"/>
  <c r="H13" i="14"/>
  <c r="I11" i="14"/>
  <c r="H11" i="14"/>
  <c r="E79" i="13"/>
  <c r="D79" i="13"/>
  <c r="C79" i="13"/>
  <c r="E78" i="13"/>
  <c r="D78" i="13"/>
  <c r="D80" i="13" s="1"/>
  <c r="D77" i="13" s="1"/>
  <c r="C78" i="13"/>
  <c r="C80" i="13" s="1"/>
  <c r="C77" i="13" s="1"/>
  <c r="E73" i="13"/>
  <c r="E75" i="13" s="1"/>
  <c r="D73" i="13"/>
  <c r="D75" i="13" s="1"/>
  <c r="C73" i="13"/>
  <c r="C75" i="13" s="1"/>
  <c r="E71" i="13"/>
  <c r="D71" i="13"/>
  <c r="C71" i="13"/>
  <c r="E66" i="13"/>
  <c r="E65" i="13" s="1"/>
  <c r="D66" i="13"/>
  <c r="D65" i="13"/>
  <c r="C66" i="13"/>
  <c r="C65" i="13"/>
  <c r="E60" i="13"/>
  <c r="D60" i="13"/>
  <c r="C60" i="13"/>
  <c r="E58" i="13"/>
  <c r="D58" i="13"/>
  <c r="C58" i="13"/>
  <c r="E55" i="13"/>
  <c r="D55" i="13"/>
  <c r="C55" i="13"/>
  <c r="E54" i="13"/>
  <c r="D54" i="13"/>
  <c r="C54" i="13"/>
  <c r="C50" i="13" s="1"/>
  <c r="E46" i="13"/>
  <c r="E59" i="13" s="1"/>
  <c r="E61" i="13" s="1"/>
  <c r="E57" i="13" s="1"/>
  <c r="D46" i="13"/>
  <c r="D59" i="13" s="1"/>
  <c r="D61" i="13" s="1"/>
  <c r="D57" i="13" s="1"/>
  <c r="C46" i="13"/>
  <c r="C59" i="13"/>
  <c r="E45" i="13"/>
  <c r="D45" i="13"/>
  <c r="C45" i="13"/>
  <c r="E38" i="13"/>
  <c r="D38" i="13"/>
  <c r="C38" i="13"/>
  <c r="E33" i="13"/>
  <c r="E34" i="13"/>
  <c r="D33" i="13"/>
  <c r="D34" i="13" s="1"/>
  <c r="E26" i="13"/>
  <c r="D26" i="13"/>
  <c r="C26" i="13"/>
  <c r="E13" i="13"/>
  <c r="E25" i="13" s="1"/>
  <c r="E27" i="13" s="1"/>
  <c r="E21" i="13" s="1"/>
  <c r="D13" i="13"/>
  <c r="D15" i="13" s="1"/>
  <c r="C13" i="13"/>
  <c r="C25" i="13" s="1"/>
  <c r="C27" i="13" s="1"/>
  <c r="C21" i="13" s="1"/>
  <c r="D47" i="12"/>
  <c r="E47" i="12" s="1"/>
  <c r="F47" i="12" s="1"/>
  <c r="C47" i="12"/>
  <c r="F46" i="12"/>
  <c r="E46" i="12"/>
  <c r="E45" i="12"/>
  <c r="F45" i="12" s="1"/>
  <c r="D40" i="12"/>
  <c r="C40" i="12"/>
  <c r="E40" i="12" s="1"/>
  <c r="F40" i="12" s="1"/>
  <c r="E39" i="12"/>
  <c r="F39" i="12" s="1"/>
  <c r="F38" i="12"/>
  <c r="E38" i="12"/>
  <c r="E37" i="12"/>
  <c r="F37" i="12"/>
  <c r="D32" i="12"/>
  <c r="C32" i="12"/>
  <c r="E31" i="12"/>
  <c r="F31" i="12" s="1"/>
  <c r="E30" i="12"/>
  <c r="F30" i="12" s="1"/>
  <c r="E29" i="12"/>
  <c r="F29" i="12"/>
  <c r="F28" i="12"/>
  <c r="E28" i="12"/>
  <c r="E27" i="12"/>
  <c r="F27" i="12" s="1"/>
  <c r="E26" i="12"/>
  <c r="F26" i="12" s="1"/>
  <c r="E25" i="12"/>
  <c r="F25" i="12"/>
  <c r="E24" i="12"/>
  <c r="F24" i="12" s="1"/>
  <c r="E23" i="12"/>
  <c r="F23" i="12" s="1"/>
  <c r="E19" i="12"/>
  <c r="F19" i="12" s="1"/>
  <c r="E18" i="12"/>
  <c r="F18" i="12" s="1"/>
  <c r="E16" i="12"/>
  <c r="F16" i="12"/>
  <c r="D15" i="12"/>
  <c r="D17" i="12" s="1"/>
  <c r="D20" i="12" s="1"/>
  <c r="D34" i="12" s="1"/>
  <c r="C15" i="12"/>
  <c r="F14" i="12"/>
  <c r="E14" i="12"/>
  <c r="E13" i="12"/>
  <c r="F13" i="12" s="1"/>
  <c r="E12" i="12"/>
  <c r="F12" i="12"/>
  <c r="E11" i="12"/>
  <c r="F11" i="12"/>
  <c r="D73" i="11"/>
  <c r="C73" i="11"/>
  <c r="E72" i="11"/>
  <c r="F72" i="11" s="1"/>
  <c r="E71" i="11"/>
  <c r="F71" i="11" s="1"/>
  <c r="E70" i="11"/>
  <c r="F70" i="11"/>
  <c r="F67" i="11"/>
  <c r="E67" i="11"/>
  <c r="E64" i="11"/>
  <c r="F64" i="11" s="1"/>
  <c r="E63" i="11"/>
  <c r="F63" i="11"/>
  <c r="D61" i="11"/>
  <c r="D65" i="11"/>
  <c r="C61" i="11"/>
  <c r="F60" i="11"/>
  <c r="E60" i="11"/>
  <c r="E59" i="11"/>
  <c r="F59" i="11"/>
  <c r="D56" i="11"/>
  <c r="C56" i="11"/>
  <c r="E55" i="11"/>
  <c r="F55" i="11" s="1"/>
  <c r="F54" i="11"/>
  <c r="E54" i="11"/>
  <c r="E53" i="11"/>
  <c r="F53" i="11"/>
  <c r="F52" i="11"/>
  <c r="E52" i="11"/>
  <c r="E51" i="11"/>
  <c r="F51" i="11" s="1"/>
  <c r="E50" i="11"/>
  <c r="F50" i="11" s="1"/>
  <c r="A50" i="11"/>
  <c r="A51" i="11"/>
  <c r="A52" i="11" s="1"/>
  <c r="A53" i="11" s="1"/>
  <c r="A54" i="11" s="1"/>
  <c r="A55" i="11" s="1"/>
  <c r="E49" i="11"/>
  <c r="F49" i="11"/>
  <c r="E40" i="11"/>
  <c r="F40" i="11" s="1"/>
  <c r="D38" i="11"/>
  <c r="D41" i="11" s="1"/>
  <c r="C38" i="11"/>
  <c r="E37" i="11"/>
  <c r="F37" i="11" s="1"/>
  <c r="E36" i="11"/>
  <c r="F36" i="11" s="1"/>
  <c r="E33" i="11"/>
  <c r="F33" i="11"/>
  <c r="E32" i="11"/>
  <c r="F32" i="11" s="1"/>
  <c r="F31" i="11"/>
  <c r="E31" i="11"/>
  <c r="D29" i="11"/>
  <c r="C29" i="11"/>
  <c r="E28" i="11"/>
  <c r="F28" i="11" s="1"/>
  <c r="F27" i="11"/>
  <c r="E27" i="11"/>
  <c r="F26" i="11"/>
  <c r="E26" i="11"/>
  <c r="F25" i="11"/>
  <c r="E25" i="11"/>
  <c r="D22" i="11"/>
  <c r="C22" i="11"/>
  <c r="E21" i="11"/>
  <c r="F21" i="11" s="1"/>
  <c r="E20" i="11"/>
  <c r="F20" i="11" s="1"/>
  <c r="E19" i="11"/>
  <c r="F19" i="11"/>
  <c r="E18" i="11"/>
  <c r="F18" i="11" s="1"/>
  <c r="F17" i="11"/>
  <c r="E17" i="11"/>
  <c r="E16" i="11"/>
  <c r="F16" i="11" s="1"/>
  <c r="E15" i="11"/>
  <c r="F15" i="11"/>
  <c r="E14" i="11"/>
  <c r="F14" i="11" s="1"/>
  <c r="E13" i="11"/>
  <c r="F13" i="11" s="1"/>
  <c r="D120" i="10"/>
  <c r="C120" i="10"/>
  <c r="F120" i="10" s="1"/>
  <c r="D119" i="10"/>
  <c r="C119" i="10"/>
  <c r="F119" i="10" s="1"/>
  <c r="D118" i="10"/>
  <c r="C118" i="10"/>
  <c r="F118" i="10" s="1"/>
  <c r="D117" i="10"/>
  <c r="C117" i="10"/>
  <c r="F117" i="10" s="1"/>
  <c r="D116" i="10"/>
  <c r="C116" i="10"/>
  <c r="F116" i="10"/>
  <c r="D115" i="10"/>
  <c r="E115" i="10" s="1"/>
  <c r="C115" i="10"/>
  <c r="F115" i="10"/>
  <c r="D114" i="10"/>
  <c r="C114" i="10"/>
  <c r="F114" i="10" s="1"/>
  <c r="D113" i="10"/>
  <c r="C113" i="10"/>
  <c r="F113" i="10" s="1"/>
  <c r="D112" i="10"/>
  <c r="D121" i="10" s="1"/>
  <c r="C112" i="10"/>
  <c r="F112" i="10" s="1"/>
  <c r="D108" i="10"/>
  <c r="C108" i="10"/>
  <c r="F108" i="10"/>
  <c r="D107" i="10"/>
  <c r="C107" i="10"/>
  <c r="F107" i="10" s="1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D96" i="10"/>
  <c r="E96" i="10" s="1"/>
  <c r="C96" i="10"/>
  <c r="F96" i="10"/>
  <c r="D95" i="10"/>
  <c r="C95" i="10"/>
  <c r="F95" i="10" s="1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D84" i="10"/>
  <c r="C84" i="10"/>
  <c r="F84" i="10" s="1"/>
  <c r="D83" i="10"/>
  <c r="C83" i="10"/>
  <c r="F83" i="10" s="1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D72" i="10"/>
  <c r="C72" i="10"/>
  <c r="F72" i="10"/>
  <c r="D71" i="10"/>
  <c r="C71" i="10"/>
  <c r="F71" i="10" s="1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D60" i="10"/>
  <c r="C60" i="10"/>
  <c r="F60" i="10"/>
  <c r="D59" i="10"/>
  <c r="E59" i="10" s="1"/>
  <c r="C59" i="10"/>
  <c r="F59" i="10" s="1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D48" i="10"/>
  <c r="C48" i="10"/>
  <c r="F48" i="10" s="1"/>
  <c r="D47" i="10"/>
  <c r="E47" i="10" s="1"/>
  <c r="C47" i="10"/>
  <c r="F47" i="10" s="1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D36" i="10"/>
  <c r="C36" i="10"/>
  <c r="F36" i="10" s="1"/>
  <c r="D35" i="10"/>
  <c r="C35" i="10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D24" i="10"/>
  <c r="C24" i="10"/>
  <c r="F24" i="10" s="1"/>
  <c r="D23" i="10"/>
  <c r="C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C206" i="9"/>
  <c r="D205" i="9"/>
  <c r="C205" i="9"/>
  <c r="D204" i="9"/>
  <c r="C204" i="9"/>
  <c r="D203" i="9"/>
  <c r="E203" i="9" s="1"/>
  <c r="F203" i="9" s="1"/>
  <c r="C203" i="9"/>
  <c r="D202" i="9"/>
  <c r="C202" i="9"/>
  <c r="D201" i="9"/>
  <c r="C201" i="9"/>
  <c r="D200" i="9"/>
  <c r="C200" i="9"/>
  <c r="D199" i="9"/>
  <c r="D208" i="9" s="1"/>
  <c r="C199" i="9"/>
  <c r="D198" i="9"/>
  <c r="D207" i="9" s="1"/>
  <c r="E207" i="9" s="1"/>
  <c r="F207" i="9" s="1"/>
  <c r="C198" i="9"/>
  <c r="C207" i="9" s="1"/>
  <c r="D193" i="9"/>
  <c r="C193" i="9"/>
  <c r="D192" i="9"/>
  <c r="C192" i="9"/>
  <c r="F191" i="9"/>
  <c r="E191" i="9"/>
  <c r="F190" i="9"/>
  <c r="E190" i="9"/>
  <c r="E189" i="9"/>
  <c r="F189" i="9" s="1"/>
  <c r="F188" i="9"/>
  <c r="E188" i="9"/>
  <c r="F187" i="9"/>
  <c r="E187" i="9"/>
  <c r="E186" i="9"/>
  <c r="F186" i="9" s="1"/>
  <c r="E185" i="9"/>
  <c r="F185" i="9" s="1"/>
  <c r="F184" i="9"/>
  <c r="E184" i="9"/>
  <c r="F183" i="9"/>
  <c r="E183" i="9"/>
  <c r="D180" i="9"/>
  <c r="C180" i="9"/>
  <c r="D179" i="9"/>
  <c r="E179" i="9" s="1"/>
  <c r="C179" i="9"/>
  <c r="F179" i="9" s="1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D167" i="9"/>
  <c r="E167" i="9" s="1"/>
  <c r="C167" i="9"/>
  <c r="F167" i="9" s="1"/>
  <c r="D166" i="9"/>
  <c r="C166" i="9"/>
  <c r="F166" i="9" s="1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D154" i="9"/>
  <c r="C154" i="9"/>
  <c r="F154" i="9" s="1"/>
  <c r="D153" i="9"/>
  <c r="C153" i="9"/>
  <c r="E153" i="9" s="1"/>
  <c r="F153" i="9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D141" i="9"/>
  <c r="C141" i="9"/>
  <c r="D140" i="9"/>
  <c r="C140" i="9"/>
  <c r="E139" i="9"/>
  <c r="F139" i="9"/>
  <c r="E138" i="9"/>
  <c r="F138" i="9" s="1"/>
  <c r="E137" i="9"/>
  <c r="F137" i="9" s="1"/>
  <c r="E136" i="9"/>
  <c r="F136" i="9" s="1"/>
  <c r="E135" i="9"/>
  <c r="F135" i="9"/>
  <c r="E134" i="9"/>
  <c r="F134" i="9" s="1"/>
  <c r="E133" i="9"/>
  <c r="F133" i="9" s="1"/>
  <c r="E132" i="9"/>
  <c r="F132" i="9" s="1"/>
  <c r="E131" i="9"/>
  <c r="F131" i="9" s="1"/>
  <c r="D128" i="9"/>
  <c r="C128" i="9"/>
  <c r="D127" i="9"/>
  <c r="E127" i="9" s="1"/>
  <c r="F127" i="9" s="1"/>
  <c r="C127" i="9"/>
  <c r="E126" i="9"/>
  <c r="F126" i="9" s="1"/>
  <c r="E125" i="9"/>
  <c r="F125" i="9" s="1"/>
  <c r="E124" i="9"/>
  <c r="F124" i="9" s="1"/>
  <c r="E123" i="9"/>
  <c r="F123" i="9" s="1"/>
  <c r="E122" i="9"/>
  <c r="F122" i="9" s="1"/>
  <c r="E121" i="9"/>
  <c r="F121" i="9" s="1"/>
  <c r="E120" i="9"/>
  <c r="F120" i="9" s="1"/>
  <c r="E119" i="9"/>
  <c r="F119" i="9" s="1"/>
  <c r="E118" i="9"/>
  <c r="F118" i="9" s="1"/>
  <c r="D115" i="9"/>
  <c r="C115" i="9"/>
  <c r="D114" i="9"/>
  <c r="C114" i="9"/>
  <c r="E113" i="9"/>
  <c r="F113" i="9" s="1"/>
  <c r="E112" i="9"/>
  <c r="F112" i="9" s="1"/>
  <c r="E111" i="9"/>
  <c r="F111" i="9" s="1"/>
  <c r="E110" i="9"/>
  <c r="F110" i="9" s="1"/>
  <c r="E109" i="9"/>
  <c r="F109" i="9" s="1"/>
  <c r="E108" i="9"/>
  <c r="F108" i="9" s="1"/>
  <c r="E107" i="9"/>
  <c r="F107" i="9" s="1"/>
  <c r="E106" i="9"/>
  <c r="F106" i="9" s="1"/>
  <c r="E105" i="9"/>
  <c r="F105" i="9" s="1"/>
  <c r="D102" i="9"/>
  <c r="C102" i="9"/>
  <c r="D101" i="9"/>
  <c r="C101" i="9"/>
  <c r="E100" i="9"/>
  <c r="F100" i="9" s="1"/>
  <c r="E99" i="9"/>
  <c r="F99" i="9" s="1"/>
  <c r="E98" i="9"/>
  <c r="F98" i="9" s="1"/>
  <c r="E97" i="9"/>
  <c r="F97" i="9" s="1"/>
  <c r="E96" i="9"/>
  <c r="F96" i="9" s="1"/>
  <c r="E95" i="9"/>
  <c r="F95" i="9" s="1"/>
  <c r="E94" i="9"/>
  <c r="F94" i="9" s="1"/>
  <c r="E93" i="9"/>
  <c r="F93" i="9" s="1"/>
  <c r="E92" i="9"/>
  <c r="F92" i="9" s="1"/>
  <c r="D89" i="9"/>
  <c r="E89" i="9" s="1"/>
  <c r="F89" i="9" s="1"/>
  <c r="C89" i="9"/>
  <c r="D88" i="9"/>
  <c r="C88" i="9"/>
  <c r="F87" i="9"/>
  <c r="E87" i="9"/>
  <c r="F86" i="9"/>
  <c r="E86" i="9"/>
  <c r="E85" i="9"/>
  <c r="F85" i="9" s="1"/>
  <c r="F84" i="9"/>
  <c r="E84" i="9"/>
  <c r="F83" i="9"/>
  <c r="E83" i="9"/>
  <c r="E82" i="9"/>
  <c r="F82" i="9" s="1"/>
  <c r="E81" i="9"/>
  <c r="F81" i="9" s="1"/>
  <c r="F80" i="9"/>
  <c r="E80" i="9"/>
  <c r="F79" i="9"/>
  <c r="E79" i="9"/>
  <c r="D76" i="9"/>
  <c r="C76" i="9"/>
  <c r="D75" i="9"/>
  <c r="E75" i="9" s="1"/>
  <c r="F75" i="9" s="1"/>
  <c r="C75" i="9"/>
  <c r="E74" i="9"/>
  <c r="F74" i="9" s="1"/>
  <c r="E73" i="9"/>
  <c r="F73" i="9" s="1"/>
  <c r="E72" i="9"/>
  <c r="F72" i="9" s="1"/>
  <c r="E71" i="9"/>
  <c r="F71" i="9" s="1"/>
  <c r="E70" i="9"/>
  <c r="F70" i="9" s="1"/>
  <c r="E69" i="9"/>
  <c r="F69" i="9" s="1"/>
  <c r="E68" i="9"/>
  <c r="F68" i="9" s="1"/>
  <c r="E67" i="9"/>
  <c r="F67" i="9" s="1"/>
  <c r="E66" i="9"/>
  <c r="F66" i="9" s="1"/>
  <c r="D63" i="9"/>
  <c r="E63" i="9" s="1"/>
  <c r="C63" i="9"/>
  <c r="F63" i="9" s="1"/>
  <c r="D62" i="9"/>
  <c r="C62" i="9"/>
  <c r="F62" i="9" s="1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E50" i="9" s="1"/>
  <c r="F50" i="9" s="1"/>
  <c r="C50" i="9"/>
  <c r="D49" i="9"/>
  <c r="E49" i="9" s="1"/>
  <c r="C49" i="9"/>
  <c r="F48" i="9"/>
  <c r="E48" i="9"/>
  <c r="E47" i="9"/>
  <c r="F47" i="9" s="1"/>
  <c r="F46" i="9"/>
  <c r="E46" i="9"/>
  <c r="E45" i="9"/>
  <c r="F45" i="9" s="1"/>
  <c r="E44" i="9"/>
  <c r="F44" i="9" s="1"/>
  <c r="F43" i="9"/>
  <c r="E43" i="9"/>
  <c r="F42" i="9"/>
  <c r="E42" i="9"/>
  <c r="E41" i="9"/>
  <c r="F41" i="9" s="1"/>
  <c r="F40" i="9"/>
  <c r="E40" i="9"/>
  <c r="D37" i="9"/>
  <c r="E37" i="9" s="1"/>
  <c r="F37" i="9" s="1"/>
  <c r="C37" i="9"/>
  <c r="D36" i="9"/>
  <c r="E36" i="9"/>
  <c r="F36" i="9" s="1"/>
  <c r="C36" i="9"/>
  <c r="F35" i="9"/>
  <c r="E35" i="9"/>
  <c r="F34" i="9"/>
  <c r="E34" i="9"/>
  <c r="E33" i="9"/>
  <c r="F33" i="9" s="1"/>
  <c r="F32" i="9"/>
  <c r="E32" i="9"/>
  <c r="F31" i="9"/>
  <c r="E31" i="9"/>
  <c r="F30" i="9"/>
  <c r="E30" i="9"/>
  <c r="E29" i="9"/>
  <c r="F29" i="9" s="1"/>
  <c r="F28" i="9"/>
  <c r="E28" i="9"/>
  <c r="F27" i="9"/>
  <c r="E27" i="9"/>
  <c r="D24" i="9"/>
  <c r="C24" i="9"/>
  <c r="D23" i="9"/>
  <c r="C23" i="9"/>
  <c r="F22" i="9"/>
  <c r="E22" i="9"/>
  <c r="E21" i="9"/>
  <c r="F21" i="9" s="1"/>
  <c r="F20" i="9"/>
  <c r="E20" i="9"/>
  <c r="F19" i="9"/>
  <c r="E19" i="9"/>
  <c r="F18" i="9"/>
  <c r="E18" i="9"/>
  <c r="E17" i="9"/>
  <c r="F17" i="9" s="1"/>
  <c r="F16" i="9"/>
  <c r="E16" i="9"/>
  <c r="E15" i="9"/>
  <c r="F15" i="9" s="1"/>
  <c r="E14" i="9"/>
  <c r="F14" i="9" s="1"/>
  <c r="E191" i="8"/>
  <c r="D191" i="8"/>
  <c r="C191" i="8"/>
  <c r="E176" i="8"/>
  <c r="D176" i="8"/>
  <c r="C176" i="8"/>
  <c r="E164" i="8"/>
  <c r="E160" i="8" s="1"/>
  <c r="D164" i="8"/>
  <c r="D160" i="8" s="1"/>
  <c r="D166" i="8" s="1"/>
  <c r="D156" i="8" s="1"/>
  <c r="C164" i="8"/>
  <c r="C160" i="8" s="1"/>
  <c r="C166" i="8" s="1"/>
  <c r="E162" i="8"/>
  <c r="D162" i="8"/>
  <c r="C162" i="8"/>
  <c r="E161" i="8"/>
  <c r="D161" i="8"/>
  <c r="C161" i="8"/>
  <c r="E147" i="8"/>
  <c r="E143" i="8" s="1"/>
  <c r="E149" i="8" s="1"/>
  <c r="D147" i="8"/>
  <c r="C147" i="8"/>
  <c r="C143" i="8" s="1"/>
  <c r="C149" i="8" s="1"/>
  <c r="C140" i="8" s="1"/>
  <c r="E145" i="8"/>
  <c r="D145" i="8"/>
  <c r="C145" i="8"/>
  <c r="E144" i="8"/>
  <c r="D144" i="8"/>
  <c r="C144" i="8"/>
  <c r="D143" i="8"/>
  <c r="D149" i="8" s="1"/>
  <c r="D136" i="8" s="1"/>
  <c r="E126" i="8"/>
  <c r="D126" i="8"/>
  <c r="C126" i="8"/>
  <c r="E119" i="8"/>
  <c r="D119" i="8"/>
  <c r="C119" i="8"/>
  <c r="E108" i="8"/>
  <c r="D108" i="8"/>
  <c r="C108" i="8"/>
  <c r="E107" i="8"/>
  <c r="D107" i="8"/>
  <c r="D109" i="8" s="1"/>
  <c r="D106" i="8" s="1"/>
  <c r="C107" i="8"/>
  <c r="C109" i="8" s="1"/>
  <c r="C106" i="8" s="1"/>
  <c r="E102" i="8"/>
  <c r="E104" i="8" s="1"/>
  <c r="D102" i="8"/>
  <c r="D104" i="8" s="1"/>
  <c r="C102" i="8"/>
  <c r="C104" i="8" s="1"/>
  <c r="E100" i="8"/>
  <c r="D100" i="8"/>
  <c r="C100" i="8"/>
  <c r="E95" i="8"/>
  <c r="E94" i="8" s="1"/>
  <c r="D95" i="8"/>
  <c r="D94" i="8" s="1"/>
  <c r="C95" i="8"/>
  <c r="C94" i="8" s="1"/>
  <c r="E89" i="8"/>
  <c r="D89" i="8"/>
  <c r="C89" i="8"/>
  <c r="E87" i="8"/>
  <c r="D87" i="8"/>
  <c r="C87" i="8"/>
  <c r="E84" i="8"/>
  <c r="D84" i="8"/>
  <c r="C84" i="8"/>
  <c r="E83" i="8"/>
  <c r="D83" i="8"/>
  <c r="C83" i="8"/>
  <c r="C79" i="8" s="1"/>
  <c r="E75" i="8"/>
  <c r="D75" i="8"/>
  <c r="C75" i="8"/>
  <c r="E74" i="8"/>
  <c r="D74" i="8"/>
  <c r="C74" i="8"/>
  <c r="E67" i="8"/>
  <c r="D67" i="8"/>
  <c r="C67" i="8"/>
  <c r="E38" i="8"/>
  <c r="E43" i="8" s="1"/>
  <c r="D38" i="8"/>
  <c r="C38" i="8"/>
  <c r="C43" i="8" s="1"/>
  <c r="C57" i="8"/>
  <c r="C62" i="8" s="1"/>
  <c r="E34" i="8"/>
  <c r="E33" i="8"/>
  <c r="D33" i="8"/>
  <c r="D34" i="8"/>
  <c r="E26" i="8"/>
  <c r="D26" i="8"/>
  <c r="C26" i="8"/>
  <c r="E13" i="8"/>
  <c r="E25" i="8" s="1"/>
  <c r="D13" i="8"/>
  <c r="D15" i="8" s="1"/>
  <c r="C13" i="8"/>
  <c r="E186" i="7"/>
  <c r="F186" i="7" s="1"/>
  <c r="D183" i="7"/>
  <c r="C183" i="7"/>
  <c r="F182" i="7"/>
  <c r="E182" i="7"/>
  <c r="E181" i="7"/>
  <c r="F181" i="7"/>
  <c r="F180" i="7"/>
  <c r="E180" i="7"/>
  <c r="E179" i="7"/>
  <c r="F179" i="7" s="1"/>
  <c r="E178" i="7"/>
  <c r="F178" i="7"/>
  <c r="F177" i="7"/>
  <c r="E177" i="7"/>
  <c r="E176" i="7"/>
  <c r="F176" i="7" s="1"/>
  <c r="E175" i="7"/>
  <c r="F175" i="7" s="1"/>
  <c r="E174" i="7"/>
  <c r="F174" i="7" s="1"/>
  <c r="E173" i="7"/>
  <c r="F173" i="7"/>
  <c r="F172" i="7"/>
  <c r="E172" i="7"/>
  <c r="E171" i="7"/>
  <c r="F171" i="7" s="1"/>
  <c r="E170" i="7"/>
  <c r="F170" i="7"/>
  <c r="D167" i="7"/>
  <c r="C167" i="7"/>
  <c r="F166" i="7"/>
  <c r="E166" i="7"/>
  <c r="F165" i="7"/>
  <c r="E165" i="7"/>
  <c r="E164" i="7"/>
  <c r="F164" i="7"/>
  <c r="F163" i="7"/>
  <c r="E163" i="7"/>
  <c r="F162" i="7"/>
  <c r="E162" i="7"/>
  <c r="F161" i="7"/>
  <c r="E161" i="7"/>
  <c r="F160" i="7"/>
  <c r="E160" i="7"/>
  <c r="E159" i="7"/>
  <c r="F159" i="7" s="1"/>
  <c r="F158" i="7"/>
  <c r="E158" i="7"/>
  <c r="E157" i="7"/>
  <c r="F157" i="7" s="1"/>
  <c r="E156" i="7"/>
  <c r="F156" i="7"/>
  <c r="E155" i="7"/>
  <c r="F155" i="7" s="1"/>
  <c r="F154" i="7"/>
  <c r="E154" i="7"/>
  <c r="F153" i="7"/>
  <c r="E153" i="7"/>
  <c r="E152" i="7"/>
  <c r="F152" i="7"/>
  <c r="E151" i="7"/>
  <c r="F151" i="7" s="1"/>
  <c r="E150" i="7"/>
  <c r="F150" i="7"/>
  <c r="F149" i="7"/>
  <c r="E149" i="7"/>
  <c r="E148" i="7"/>
  <c r="F148" i="7"/>
  <c r="E147" i="7"/>
  <c r="F147" i="7" s="1"/>
  <c r="E146" i="7"/>
  <c r="F146" i="7"/>
  <c r="E145" i="7"/>
  <c r="F145" i="7" s="1"/>
  <c r="E144" i="7"/>
  <c r="F144" i="7" s="1"/>
  <c r="F143" i="7"/>
  <c r="E143" i="7"/>
  <c r="E142" i="7"/>
  <c r="F142" i="7" s="1"/>
  <c r="E141" i="7"/>
  <c r="F141" i="7" s="1"/>
  <c r="E140" i="7"/>
  <c r="F140" i="7"/>
  <c r="E139" i="7"/>
  <c r="F139" i="7"/>
  <c r="E138" i="7"/>
  <c r="F138" i="7" s="1"/>
  <c r="E137" i="7"/>
  <c r="F137" i="7" s="1"/>
  <c r="E136" i="7"/>
  <c r="F136" i="7"/>
  <c r="E135" i="7"/>
  <c r="F135" i="7" s="1"/>
  <c r="E134" i="7"/>
  <c r="F134" i="7"/>
  <c r="E133" i="7"/>
  <c r="F133" i="7" s="1"/>
  <c r="D130" i="7"/>
  <c r="C130" i="7"/>
  <c r="E129" i="7"/>
  <c r="F129" i="7" s="1"/>
  <c r="E128" i="7"/>
  <c r="F128" i="7"/>
  <c r="E127" i="7"/>
  <c r="F127" i="7" s="1"/>
  <c r="E126" i="7"/>
  <c r="F126" i="7"/>
  <c r="E125" i="7"/>
  <c r="F125" i="7"/>
  <c r="E124" i="7"/>
  <c r="F124" i="7" s="1"/>
  <c r="D121" i="7"/>
  <c r="C121" i="7"/>
  <c r="F120" i="7"/>
  <c r="E120" i="7"/>
  <c r="E119" i="7"/>
  <c r="F119" i="7"/>
  <c r="E118" i="7"/>
  <c r="F118" i="7" s="1"/>
  <c r="E117" i="7"/>
  <c r="F117" i="7" s="1"/>
  <c r="E116" i="7"/>
  <c r="F116" i="7" s="1"/>
  <c r="E115" i="7"/>
  <c r="F115" i="7" s="1"/>
  <c r="E114" i="7"/>
  <c r="F114" i="7" s="1"/>
  <c r="E113" i="7"/>
  <c r="F113" i="7" s="1"/>
  <c r="E112" i="7"/>
  <c r="F112" i="7"/>
  <c r="E111" i="7"/>
  <c r="F111" i="7"/>
  <c r="E110" i="7"/>
  <c r="F110" i="7"/>
  <c r="E109" i="7"/>
  <c r="F109" i="7" s="1"/>
  <c r="E108" i="7"/>
  <c r="F108" i="7"/>
  <c r="E107" i="7"/>
  <c r="F107" i="7" s="1"/>
  <c r="E106" i="7"/>
  <c r="F106" i="7" s="1"/>
  <c r="E105" i="7"/>
  <c r="F105" i="7" s="1"/>
  <c r="E104" i="7"/>
  <c r="F104" i="7" s="1"/>
  <c r="E103" i="7"/>
  <c r="F103" i="7"/>
  <c r="E93" i="7"/>
  <c r="F93" i="7"/>
  <c r="D90" i="7"/>
  <c r="C90" i="7"/>
  <c r="E89" i="7"/>
  <c r="F89" i="7" s="1"/>
  <c r="E88" i="7"/>
  <c r="F88" i="7"/>
  <c r="F87" i="7"/>
  <c r="E87" i="7"/>
  <c r="E86" i="7"/>
  <c r="F86" i="7" s="1"/>
  <c r="F85" i="7"/>
  <c r="E85" i="7"/>
  <c r="E84" i="7"/>
  <c r="F84" i="7"/>
  <c r="E83" i="7"/>
  <c r="F83" i="7" s="1"/>
  <c r="E82" i="7"/>
  <c r="F82" i="7" s="1"/>
  <c r="F81" i="7"/>
  <c r="E81" i="7"/>
  <c r="E80" i="7"/>
  <c r="F80" i="7" s="1"/>
  <c r="F79" i="7"/>
  <c r="E79" i="7"/>
  <c r="E78" i="7"/>
  <c r="F78" i="7" s="1"/>
  <c r="F77" i="7"/>
  <c r="E77" i="7"/>
  <c r="E76" i="7"/>
  <c r="F76" i="7" s="1"/>
  <c r="E75" i="7"/>
  <c r="F75" i="7"/>
  <c r="E74" i="7"/>
  <c r="F74" i="7" s="1"/>
  <c r="E73" i="7"/>
  <c r="F73" i="7"/>
  <c r="F72" i="7"/>
  <c r="E72" i="7"/>
  <c r="F71" i="7"/>
  <c r="E71" i="7"/>
  <c r="E70" i="7"/>
  <c r="F70" i="7" s="1"/>
  <c r="E69" i="7"/>
  <c r="F69" i="7" s="1"/>
  <c r="E68" i="7"/>
  <c r="F68" i="7" s="1"/>
  <c r="E67" i="7"/>
  <c r="F67" i="7" s="1"/>
  <c r="E66" i="7"/>
  <c r="F66" i="7" s="1"/>
  <c r="E65" i="7"/>
  <c r="F65" i="7"/>
  <c r="E64" i="7"/>
  <c r="F64" i="7"/>
  <c r="E63" i="7"/>
  <c r="F63" i="7" s="1"/>
  <c r="F62" i="7"/>
  <c r="E62" i="7"/>
  <c r="D59" i="7"/>
  <c r="C59" i="7"/>
  <c r="E58" i="7"/>
  <c r="F58" i="7" s="1"/>
  <c r="E57" i="7"/>
  <c r="F57" i="7" s="1"/>
  <c r="E56" i="7"/>
  <c r="F56" i="7" s="1"/>
  <c r="E55" i="7"/>
  <c r="F55" i="7" s="1"/>
  <c r="E54" i="7"/>
  <c r="F54" i="7" s="1"/>
  <c r="E53" i="7"/>
  <c r="F53" i="7" s="1"/>
  <c r="E50" i="7"/>
  <c r="F50" i="7" s="1"/>
  <c r="E47" i="7"/>
  <c r="F47" i="7" s="1"/>
  <c r="F44" i="7"/>
  <c r="E44" i="7"/>
  <c r="D41" i="7"/>
  <c r="C41" i="7"/>
  <c r="F40" i="7"/>
  <c r="E40" i="7"/>
  <c r="E39" i="7"/>
  <c r="F39" i="7" s="1"/>
  <c r="E38" i="7"/>
  <c r="F38" i="7" s="1"/>
  <c r="D35" i="7"/>
  <c r="C35" i="7"/>
  <c r="E34" i="7"/>
  <c r="F34" i="7" s="1"/>
  <c r="E33" i="7"/>
  <c r="F33" i="7" s="1"/>
  <c r="D30" i="7"/>
  <c r="C30" i="7"/>
  <c r="E29" i="7"/>
  <c r="F29" i="7" s="1"/>
  <c r="E28" i="7"/>
  <c r="F28" i="7" s="1"/>
  <c r="E27" i="7"/>
  <c r="F27" i="7" s="1"/>
  <c r="D24" i="7"/>
  <c r="C24" i="7"/>
  <c r="E24" i="7" s="1"/>
  <c r="E23" i="7"/>
  <c r="F23" i="7" s="1"/>
  <c r="E22" i="7"/>
  <c r="F22" i="7" s="1"/>
  <c r="E21" i="7"/>
  <c r="F21" i="7" s="1"/>
  <c r="D18" i="7"/>
  <c r="E18" i="7" s="1"/>
  <c r="C18" i="7"/>
  <c r="E17" i="7"/>
  <c r="F17" i="7" s="1"/>
  <c r="E16" i="7"/>
  <c r="F16" i="7" s="1"/>
  <c r="E15" i="7"/>
  <c r="F15" i="7" s="1"/>
  <c r="D179" i="6"/>
  <c r="C179" i="6"/>
  <c r="E178" i="6"/>
  <c r="F178" i="6"/>
  <c r="F177" i="6"/>
  <c r="E177" i="6"/>
  <c r="E176" i="6"/>
  <c r="F176" i="6"/>
  <c r="E175" i="6"/>
  <c r="F175" i="6" s="1"/>
  <c r="E174" i="6"/>
  <c r="F174" i="6" s="1"/>
  <c r="E173" i="6"/>
  <c r="F173" i="6"/>
  <c r="E172" i="6"/>
  <c r="F172" i="6"/>
  <c r="F171" i="6"/>
  <c r="E171" i="6"/>
  <c r="E170" i="6"/>
  <c r="F170" i="6" s="1"/>
  <c r="E169" i="6"/>
  <c r="F169" i="6"/>
  <c r="E168" i="6"/>
  <c r="F168" i="6"/>
  <c r="D166" i="6"/>
  <c r="C166" i="6"/>
  <c r="E166" i="6" s="1"/>
  <c r="F166" i="6" s="1"/>
  <c r="E165" i="6"/>
  <c r="F165" i="6" s="1"/>
  <c r="F164" i="6"/>
  <c r="E164" i="6"/>
  <c r="E163" i="6"/>
  <c r="F163" i="6"/>
  <c r="E162" i="6"/>
  <c r="F162" i="6" s="1"/>
  <c r="E161" i="6"/>
  <c r="F161" i="6" s="1"/>
  <c r="E160" i="6"/>
  <c r="F160" i="6"/>
  <c r="E159" i="6"/>
  <c r="F159" i="6" s="1"/>
  <c r="F158" i="6"/>
  <c r="E158" i="6"/>
  <c r="E157" i="6"/>
  <c r="F157" i="6"/>
  <c r="E156" i="6"/>
  <c r="F156" i="6"/>
  <c r="E155" i="6"/>
  <c r="F155" i="6" s="1"/>
  <c r="D153" i="6"/>
  <c r="C153" i="6"/>
  <c r="E152" i="6"/>
  <c r="F152" i="6" s="1"/>
  <c r="F151" i="6"/>
  <c r="E151" i="6"/>
  <c r="E150" i="6"/>
  <c r="F150" i="6" s="1"/>
  <c r="E149" i="6"/>
  <c r="F149" i="6" s="1"/>
  <c r="E148" i="6"/>
  <c r="F148" i="6"/>
  <c r="E147" i="6"/>
  <c r="F147" i="6" s="1"/>
  <c r="E146" i="6"/>
  <c r="F146" i="6"/>
  <c r="F145" i="6"/>
  <c r="E145" i="6"/>
  <c r="E144" i="6"/>
  <c r="F144" i="6"/>
  <c r="E143" i="6"/>
  <c r="F143" i="6" s="1"/>
  <c r="E142" i="6"/>
  <c r="F142" i="6"/>
  <c r="D137" i="6"/>
  <c r="C137" i="6"/>
  <c r="E136" i="6"/>
  <c r="F136" i="6"/>
  <c r="F135" i="6"/>
  <c r="E135" i="6"/>
  <c r="E134" i="6"/>
  <c r="F134" i="6"/>
  <c r="E133" i="6"/>
  <c r="F133" i="6" s="1"/>
  <c r="E132" i="6"/>
  <c r="F132" i="6"/>
  <c r="E131" i="6"/>
  <c r="F131" i="6"/>
  <c r="E130" i="6"/>
  <c r="F130" i="6"/>
  <c r="F129" i="6"/>
  <c r="E129" i="6"/>
  <c r="E128" i="6"/>
  <c r="F128" i="6"/>
  <c r="E127" i="6"/>
  <c r="F127" i="6"/>
  <c r="E126" i="6"/>
  <c r="F126" i="6"/>
  <c r="D124" i="6"/>
  <c r="C124" i="6"/>
  <c r="E123" i="6"/>
  <c r="F123" i="6"/>
  <c r="F122" i="6"/>
  <c r="E122" i="6"/>
  <c r="E121" i="6"/>
  <c r="F121" i="6"/>
  <c r="E120" i="6"/>
  <c r="F120" i="6" s="1"/>
  <c r="E119" i="6"/>
  <c r="F119" i="6"/>
  <c r="E118" i="6"/>
  <c r="F118" i="6"/>
  <c r="E117" i="6"/>
  <c r="F117" i="6" s="1"/>
  <c r="F116" i="6"/>
  <c r="E116" i="6"/>
  <c r="E115" i="6"/>
  <c r="F115" i="6"/>
  <c r="E114" i="6"/>
  <c r="F114" i="6"/>
  <c r="E113" i="6"/>
  <c r="F113" i="6" s="1"/>
  <c r="D111" i="6"/>
  <c r="C111" i="6"/>
  <c r="E110" i="6"/>
  <c r="F110" i="6"/>
  <c r="F109" i="6"/>
  <c r="E109" i="6"/>
  <c r="E108" i="6"/>
  <c r="F108" i="6" s="1"/>
  <c r="E107" i="6"/>
  <c r="F107" i="6" s="1"/>
  <c r="E106" i="6"/>
  <c r="F106" i="6" s="1"/>
  <c r="E105" i="6"/>
  <c r="F105" i="6" s="1"/>
  <c r="E104" i="6"/>
  <c r="F104" i="6" s="1"/>
  <c r="F103" i="6"/>
  <c r="E103" i="6"/>
  <c r="E102" i="6"/>
  <c r="F102" i="6" s="1"/>
  <c r="E101" i="6"/>
  <c r="F101" i="6" s="1"/>
  <c r="E100" i="6"/>
  <c r="F100" i="6" s="1"/>
  <c r="D94" i="6"/>
  <c r="C94" i="6"/>
  <c r="D93" i="6"/>
  <c r="C93" i="6"/>
  <c r="F93" i="6" s="1"/>
  <c r="D92" i="6"/>
  <c r="C92" i="6"/>
  <c r="D91" i="6"/>
  <c r="E91" i="6" s="1"/>
  <c r="F91" i="6" s="1"/>
  <c r="C91" i="6"/>
  <c r="D90" i="6"/>
  <c r="C90" i="6"/>
  <c r="D89" i="6"/>
  <c r="C89" i="6"/>
  <c r="D88" i="6"/>
  <c r="C88" i="6"/>
  <c r="D87" i="6"/>
  <c r="E87" i="6" s="1"/>
  <c r="C87" i="6"/>
  <c r="F87" i="6" s="1"/>
  <c r="D86" i="6"/>
  <c r="C86" i="6"/>
  <c r="D85" i="6"/>
  <c r="C85" i="6"/>
  <c r="D84" i="6"/>
  <c r="C84" i="6"/>
  <c r="D81" i="6"/>
  <c r="E81" i="6" s="1"/>
  <c r="C81" i="6"/>
  <c r="E80" i="6"/>
  <c r="F80" i="6" s="1"/>
  <c r="F79" i="6"/>
  <c r="E79" i="6"/>
  <c r="E78" i="6"/>
  <c r="F78" i="6" s="1"/>
  <c r="E77" i="6"/>
  <c r="F77" i="6" s="1"/>
  <c r="E76" i="6"/>
  <c r="F76" i="6" s="1"/>
  <c r="E75" i="6"/>
  <c r="F75" i="6" s="1"/>
  <c r="E74" i="6"/>
  <c r="F74" i="6" s="1"/>
  <c r="F73" i="6"/>
  <c r="E73" i="6"/>
  <c r="E72" i="6"/>
  <c r="F72" i="6" s="1"/>
  <c r="E71" i="6"/>
  <c r="F71" i="6" s="1"/>
  <c r="E70" i="6"/>
  <c r="F70" i="6" s="1"/>
  <c r="D68" i="6"/>
  <c r="C68" i="6"/>
  <c r="E68" i="6" s="1"/>
  <c r="F68" i="6" s="1"/>
  <c r="E67" i="6"/>
  <c r="F67" i="6" s="1"/>
  <c r="F66" i="6"/>
  <c r="E66" i="6"/>
  <c r="E65" i="6"/>
  <c r="F65" i="6" s="1"/>
  <c r="E64" i="6"/>
  <c r="F64" i="6" s="1"/>
  <c r="E63" i="6"/>
  <c r="F63" i="6" s="1"/>
  <c r="F62" i="6"/>
  <c r="E62" i="6"/>
  <c r="E61" i="6"/>
  <c r="F61" i="6" s="1"/>
  <c r="F60" i="6"/>
  <c r="E60" i="6"/>
  <c r="F59" i="6"/>
  <c r="E59" i="6"/>
  <c r="E58" i="6"/>
  <c r="F58" i="6" s="1"/>
  <c r="E57" i="6"/>
  <c r="F57" i="6" s="1"/>
  <c r="D51" i="6"/>
  <c r="C51" i="6"/>
  <c r="D50" i="6"/>
  <c r="C50" i="6"/>
  <c r="D49" i="6"/>
  <c r="C49" i="6"/>
  <c r="D48" i="6"/>
  <c r="C48" i="6"/>
  <c r="D47" i="6"/>
  <c r="E47" i="6" s="1"/>
  <c r="F47" i="6" s="1"/>
  <c r="C47" i="6"/>
  <c r="D46" i="6"/>
  <c r="E46" i="6" s="1"/>
  <c r="C46" i="6"/>
  <c r="D45" i="6"/>
  <c r="C45" i="6"/>
  <c r="D44" i="6"/>
  <c r="C44" i="6"/>
  <c r="E44" i="6" s="1"/>
  <c r="D43" i="6"/>
  <c r="C43" i="6"/>
  <c r="D42" i="6"/>
  <c r="C42" i="6"/>
  <c r="D41" i="6"/>
  <c r="E41" i="6" s="1"/>
  <c r="F41" i="6" s="1"/>
  <c r="C41" i="6"/>
  <c r="D38" i="6"/>
  <c r="E38" i="6" s="1"/>
  <c r="C38" i="6"/>
  <c r="E37" i="6"/>
  <c r="F37" i="6" s="1"/>
  <c r="F36" i="6"/>
  <c r="E36" i="6"/>
  <c r="E35" i="6"/>
  <c r="F35" i="6" s="1"/>
  <c r="E34" i="6"/>
  <c r="F34" i="6" s="1"/>
  <c r="E33" i="6"/>
  <c r="F33" i="6" s="1"/>
  <c r="E32" i="6"/>
  <c r="F32" i="6" s="1"/>
  <c r="E31" i="6"/>
  <c r="F31" i="6" s="1"/>
  <c r="F30" i="6"/>
  <c r="E30" i="6"/>
  <c r="E29" i="6"/>
  <c r="F29" i="6" s="1"/>
  <c r="E28" i="6"/>
  <c r="F28" i="6" s="1"/>
  <c r="E27" i="6"/>
  <c r="F27" i="6" s="1"/>
  <c r="D25" i="6"/>
  <c r="E25" i="6" s="1"/>
  <c r="C25" i="6"/>
  <c r="E24" i="6"/>
  <c r="F24" i="6" s="1"/>
  <c r="F23" i="6"/>
  <c r="E23" i="6"/>
  <c r="F22" i="6"/>
  <c r="E22" i="6"/>
  <c r="E21" i="6"/>
  <c r="F21" i="6" s="1"/>
  <c r="E20" i="6"/>
  <c r="F20" i="6" s="1"/>
  <c r="E19" i="6"/>
  <c r="F19" i="6" s="1"/>
  <c r="F18" i="6"/>
  <c r="E18" i="6"/>
  <c r="F17" i="6"/>
  <c r="E17" i="6"/>
  <c r="E16" i="6"/>
  <c r="F16" i="6" s="1"/>
  <c r="E15" i="6"/>
  <c r="F15" i="6" s="1"/>
  <c r="F14" i="6"/>
  <c r="E14" i="6"/>
  <c r="E51" i="5"/>
  <c r="F51" i="5" s="1"/>
  <c r="D48" i="5"/>
  <c r="C48" i="5"/>
  <c r="E47" i="5"/>
  <c r="F47" i="5" s="1"/>
  <c r="E46" i="5"/>
  <c r="F46" i="5" s="1"/>
  <c r="D41" i="5"/>
  <c r="C41" i="5"/>
  <c r="E40" i="5"/>
  <c r="F40" i="5" s="1"/>
  <c r="F39" i="5"/>
  <c r="E39" i="5"/>
  <c r="E38" i="5"/>
  <c r="F38" i="5" s="1"/>
  <c r="D33" i="5"/>
  <c r="C33" i="5"/>
  <c r="E32" i="5"/>
  <c r="F32" i="5"/>
  <c r="E31" i="5"/>
  <c r="F31" i="5" s="1"/>
  <c r="E30" i="5"/>
  <c r="F30" i="5" s="1"/>
  <c r="F29" i="5"/>
  <c r="E29" i="5"/>
  <c r="E28" i="5"/>
  <c r="F28" i="5"/>
  <c r="E27" i="5"/>
  <c r="F27" i="5" s="1"/>
  <c r="E26" i="5"/>
  <c r="F26" i="5" s="1"/>
  <c r="E25" i="5"/>
  <c r="F25" i="5"/>
  <c r="E24" i="5"/>
  <c r="F24" i="5" s="1"/>
  <c r="E20" i="5"/>
  <c r="F20" i="5" s="1"/>
  <c r="E19" i="5"/>
  <c r="F19" i="5" s="1"/>
  <c r="E17" i="5"/>
  <c r="F17" i="5"/>
  <c r="D16" i="5"/>
  <c r="D18" i="5"/>
  <c r="D21" i="5" s="1"/>
  <c r="D35" i="5" s="1"/>
  <c r="D43" i="5" s="1"/>
  <c r="D50" i="5" s="1"/>
  <c r="C16" i="5"/>
  <c r="C18" i="5" s="1"/>
  <c r="F15" i="5"/>
  <c r="E15" i="5"/>
  <c r="E14" i="5"/>
  <c r="F14" i="5" s="1"/>
  <c r="E13" i="5"/>
  <c r="F13" i="5" s="1"/>
  <c r="E12" i="5"/>
  <c r="F12" i="5" s="1"/>
  <c r="D73" i="4"/>
  <c r="C73" i="4"/>
  <c r="E72" i="4"/>
  <c r="F72" i="4" s="1"/>
  <c r="E71" i="4"/>
  <c r="F71" i="4" s="1"/>
  <c r="E70" i="4"/>
  <c r="F70" i="4" s="1"/>
  <c r="F67" i="4"/>
  <c r="E67" i="4"/>
  <c r="E64" i="4"/>
  <c r="F64" i="4" s="1"/>
  <c r="F63" i="4"/>
  <c r="E63" i="4"/>
  <c r="D61" i="4"/>
  <c r="C61" i="4"/>
  <c r="F60" i="4"/>
  <c r="E60" i="4"/>
  <c r="E59" i="4"/>
  <c r="F59" i="4" s="1"/>
  <c r="D56" i="4"/>
  <c r="E56" i="4" s="1"/>
  <c r="F56" i="4" s="1"/>
  <c r="C56" i="4"/>
  <c r="F55" i="4"/>
  <c r="E55" i="4"/>
  <c r="F54" i="4"/>
  <c r="E54" i="4"/>
  <c r="E53" i="4"/>
  <c r="F53" i="4" s="1"/>
  <c r="F52" i="4"/>
  <c r="E52" i="4"/>
  <c r="E51" i="4"/>
  <c r="F51" i="4" s="1"/>
  <c r="E50" i="4"/>
  <c r="F50" i="4" s="1"/>
  <c r="A50" i="4"/>
  <c r="A51" i="4" s="1"/>
  <c r="A52" i="4" s="1"/>
  <c r="A53" i="4" s="1"/>
  <c r="A54" i="4" s="1"/>
  <c r="A55" i="4" s="1"/>
  <c r="E49" i="4"/>
  <c r="F49" i="4" s="1"/>
  <c r="E40" i="4"/>
  <c r="F40" i="4" s="1"/>
  <c r="D38" i="4"/>
  <c r="E38" i="4" s="1"/>
  <c r="C38" i="4"/>
  <c r="C41" i="4" s="1"/>
  <c r="E37" i="4"/>
  <c r="F37" i="4" s="1"/>
  <c r="E36" i="4"/>
  <c r="F36" i="4" s="1"/>
  <c r="E33" i="4"/>
  <c r="F33" i="4" s="1"/>
  <c r="E32" i="4"/>
  <c r="F32" i="4" s="1"/>
  <c r="F31" i="4"/>
  <c r="E31" i="4"/>
  <c r="D29" i="4"/>
  <c r="C29" i="4"/>
  <c r="E28" i="4"/>
  <c r="F28" i="4" s="1"/>
  <c r="F27" i="4"/>
  <c r="E27" i="4"/>
  <c r="F26" i="4"/>
  <c r="E26" i="4"/>
  <c r="F25" i="4"/>
  <c r="E25" i="4"/>
  <c r="D22" i="4"/>
  <c r="C22" i="4"/>
  <c r="E21" i="4"/>
  <c r="F21" i="4" s="1"/>
  <c r="F20" i="4"/>
  <c r="E20" i="4"/>
  <c r="E19" i="4"/>
  <c r="F19" i="4" s="1"/>
  <c r="E18" i="4"/>
  <c r="F18" i="4" s="1"/>
  <c r="F17" i="4"/>
  <c r="E17" i="4"/>
  <c r="F16" i="4"/>
  <c r="E16" i="4"/>
  <c r="E15" i="4"/>
  <c r="F15" i="4" s="1"/>
  <c r="E14" i="4"/>
  <c r="F14" i="4" s="1"/>
  <c r="E13" i="4"/>
  <c r="F13" i="4" s="1"/>
  <c r="D34" i="22"/>
  <c r="D23" i="22"/>
  <c r="E22" i="22"/>
  <c r="D41" i="20"/>
  <c r="E19" i="20"/>
  <c r="F19" i="20" s="1"/>
  <c r="C20" i="20"/>
  <c r="E36" i="20"/>
  <c r="F36" i="20" s="1"/>
  <c r="C39" i="20"/>
  <c r="C40" i="20"/>
  <c r="E43" i="20"/>
  <c r="E44" i="20"/>
  <c r="E45" i="20"/>
  <c r="F45" i="20" s="1"/>
  <c r="C49" i="19"/>
  <c r="D283" i="18"/>
  <c r="D22" i="18"/>
  <c r="E21" i="18"/>
  <c r="C33" i="18"/>
  <c r="D43" i="18"/>
  <c r="E54" i="18"/>
  <c r="C289" i="18"/>
  <c r="C71" i="18"/>
  <c r="C76" i="18" s="1"/>
  <c r="C259" i="18" s="1"/>
  <c r="C65" i="18"/>
  <c r="C66" i="18" s="1"/>
  <c r="C175" i="18"/>
  <c r="E175" i="18" s="1"/>
  <c r="C144" i="18"/>
  <c r="C145" i="18" s="1"/>
  <c r="E139" i="18"/>
  <c r="C163" i="18"/>
  <c r="E163" i="18" s="1"/>
  <c r="C189" i="18"/>
  <c r="C211" i="18"/>
  <c r="C234" i="18"/>
  <c r="E229" i="18"/>
  <c r="C283" i="18"/>
  <c r="C284" i="18"/>
  <c r="D44" i="18"/>
  <c r="D156" i="18"/>
  <c r="E151" i="18"/>
  <c r="E265" i="18"/>
  <c r="D261" i="18"/>
  <c r="D189" i="18"/>
  <c r="E189" i="18" s="1"/>
  <c r="E188" i="18"/>
  <c r="E195" i="18"/>
  <c r="D210" i="18"/>
  <c r="E205" i="18"/>
  <c r="E215" i="18"/>
  <c r="D217" i="18"/>
  <c r="E231" i="18"/>
  <c r="D242" i="18"/>
  <c r="E251" i="18"/>
  <c r="E314" i="18"/>
  <c r="D326" i="18"/>
  <c r="E20" i="17"/>
  <c r="F20" i="17" s="1"/>
  <c r="D21" i="17"/>
  <c r="D31" i="17"/>
  <c r="D48" i="17"/>
  <c r="D60" i="17"/>
  <c r="E85" i="17"/>
  <c r="F85" i="17" s="1"/>
  <c r="E173" i="17"/>
  <c r="D77" i="17"/>
  <c r="E77" i="17" s="1"/>
  <c r="E94" i="17"/>
  <c r="F94" i="17" s="1"/>
  <c r="D207" i="17"/>
  <c r="D208" i="17" s="1"/>
  <c r="E95" i="17"/>
  <c r="F95" i="17" s="1"/>
  <c r="E100" i="17"/>
  <c r="F100" i="17" s="1"/>
  <c r="E101" i="17"/>
  <c r="F101" i="17"/>
  <c r="C102" i="17"/>
  <c r="E109" i="17"/>
  <c r="F109" i="17" s="1"/>
  <c r="E120" i="17"/>
  <c r="F120" i="17" s="1"/>
  <c r="E123" i="17"/>
  <c r="F123" i="17" s="1"/>
  <c r="C124" i="17"/>
  <c r="E124" i="17" s="1"/>
  <c r="E129" i="17"/>
  <c r="F129" i="17" s="1"/>
  <c r="C137" i="17"/>
  <c r="E144" i="17"/>
  <c r="F144" i="17" s="1"/>
  <c r="E164" i="17"/>
  <c r="F164" i="17" s="1"/>
  <c r="E170" i="17"/>
  <c r="F170" i="17" s="1"/>
  <c r="C173" i="17"/>
  <c r="C280" i="17"/>
  <c r="E191" i="17"/>
  <c r="F191" i="17"/>
  <c r="C283" i="17"/>
  <c r="E203" i="17"/>
  <c r="F203" i="17" s="1"/>
  <c r="C205" i="17"/>
  <c r="E223" i="17"/>
  <c r="F223" i="17" s="1"/>
  <c r="E230" i="17"/>
  <c r="F230" i="17" s="1"/>
  <c r="C264" i="17"/>
  <c r="C267" i="17"/>
  <c r="C21" i="17"/>
  <c r="D124" i="17"/>
  <c r="E155" i="17"/>
  <c r="F155" i="17" s="1"/>
  <c r="E165" i="17"/>
  <c r="F165" i="17" s="1"/>
  <c r="E171" i="17"/>
  <c r="F171" i="17" s="1"/>
  <c r="E172" i="17"/>
  <c r="F172" i="17" s="1"/>
  <c r="C278" i="17"/>
  <c r="E189" i="17"/>
  <c r="F189" i="17" s="1"/>
  <c r="E280" i="17"/>
  <c r="E283" i="17"/>
  <c r="D286" i="17"/>
  <c r="C285" i="17"/>
  <c r="E204" i="17"/>
  <c r="F204" i="17" s="1"/>
  <c r="E229" i="17"/>
  <c r="F229" i="17" s="1"/>
  <c r="E237" i="17"/>
  <c r="F237" i="17" s="1"/>
  <c r="C239" i="17"/>
  <c r="C306" i="17"/>
  <c r="E306" i="17" s="1"/>
  <c r="E250" i="17"/>
  <c r="F250" i="17" s="1"/>
  <c r="D190" i="17"/>
  <c r="D205" i="17"/>
  <c r="E205" i="17" s="1"/>
  <c r="D206" i="17"/>
  <c r="D214" i="17"/>
  <c r="D215" i="17"/>
  <c r="D261" i="17"/>
  <c r="D262" i="17"/>
  <c r="D264" i="17"/>
  <c r="D267" i="17"/>
  <c r="D269" i="17"/>
  <c r="D270" i="17" s="1"/>
  <c r="E270" i="17" s="1"/>
  <c r="D274" i="17"/>
  <c r="D300" i="17" s="1"/>
  <c r="E19" i="16"/>
  <c r="F19" i="16" s="1"/>
  <c r="E16" i="15"/>
  <c r="F16" i="15" s="1"/>
  <c r="E23" i="15"/>
  <c r="F23" i="15" s="1"/>
  <c r="E37" i="15"/>
  <c r="E45" i="15"/>
  <c r="F45" i="15"/>
  <c r="E50" i="15"/>
  <c r="F50" i="15" s="1"/>
  <c r="E60" i="15"/>
  <c r="F60" i="15" s="1"/>
  <c r="E65" i="15"/>
  <c r="F65" i="15" s="1"/>
  <c r="E92" i="15"/>
  <c r="F92" i="15"/>
  <c r="E100" i="15"/>
  <c r="F100" i="15" s="1"/>
  <c r="E107" i="15"/>
  <c r="F107" i="15"/>
  <c r="F36" i="14"/>
  <c r="F38" i="14" s="1"/>
  <c r="F40" i="14" s="1"/>
  <c r="C33" i="14"/>
  <c r="C36" i="14"/>
  <c r="C38" i="14" s="1"/>
  <c r="C40" i="14" s="1"/>
  <c r="E33" i="14"/>
  <c r="E36" i="14" s="1"/>
  <c r="E38" i="14" s="1"/>
  <c r="E40" i="14" s="1"/>
  <c r="H17" i="14"/>
  <c r="E15" i="13"/>
  <c r="C48" i="13"/>
  <c r="C42" i="13"/>
  <c r="E48" i="13"/>
  <c r="E42" i="13" s="1"/>
  <c r="C17" i="12"/>
  <c r="E32" i="12"/>
  <c r="F32" i="12" s="1"/>
  <c r="D75" i="11"/>
  <c r="E22" i="11"/>
  <c r="F22" i="11" s="1"/>
  <c r="E29" i="11"/>
  <c r="F29" i="11" s="1"/>
  <c r="E38" i="11"/>
  <c r="E56" i="11"/>
  <c r="F56" i="11"/>
  <c r="E73" i="11"/>
  <c r="F73" i="11" s="1"/>
  <c r="E24" i="10"/>
  <c r="E36" i="10"/>
  <c r="E48" i="10"/>
  <c r="E60" i="10"/>
  <c r="E71" i="10"/>
  <c r="E72" i="10"/>
  <c r="E83" i="10"/>
  <c r="E95" i="10"/>
  <c r="E107" i="10"/>
  <c r="E108" i="10"/>
  <c r="E112" i="10"/>
  <c r="E113" i="10"/>
  <c r="E114" i="10"/>
  <c r="E116" i="10"/>
  <c r="E117" i="10"/>
  <c r="E119" i="10"/>
  <c r="E120" i="10"/>
  <c r="C121" i="10"/>
  <c r="F121" i="10" s="1"/>
  <c r="C122" i="10"/>
  <c r="F122" i="10"/>
  <c r="F76" i="9"/>
  <c r="E76" i="9"/>
  <c r="E88" i="9"/>
  <c r="F88" i="9" s="1"/>
  <c r="E102" i="9"/>
  <c r="F102" i="9" s="1"/>
  <c r="E114" i="9"/>
  <c r="F114" i="9" s="1"/>
  <c r="E128" i="9"/>
  <c r="F128" i="9" s="1"/>
  <c r="E140" i="9"/>
  <c r="F140" i="9" s="1"/>
  <c r="E193" i="9"/>
  <c r="F193" i="9" s="1"/>
  <c r="E201" i="9"/>
  <c r="F201" i="9" s="1"/>
  <c r="E205" i="9"/>
  <c r="F205" i="9" s="1"/>
  <c r="E101" i="9"/>
  <c r="F101" i="9" s="1"/>
  <c r="E115" i="9"/>
  <c r="F115" i="9" s="1"/>
  <c r="E141" i="9"/>
  <c r="F141" i="9" s="1"/>
  <c r="E154" i="9"/>
  <c r="E192" i="9"/>
  <c r="F192" i="9" s="1"/>
  <c r="E198" i="9"/>
  <c r="F198" i="9" s="1"/>
  <c r="E200" i="9"/>
  <c r="F200" i="9" s="1"/>
  <c r="F202" i="9"/>
  <c r="E202" i="9"/>
  <c r="E204" i="9"/>
  <c r="F204" i="9" s="1"/>
  <c r="E206" i="9"/>
  <c r="F206" i="9" s="1"/>
  <c r="C88" i="8"/>
  <c r="C90" i="8" s="1"/>
  <c r="C86" i="8" s="1"/>
  <c r="C77" i="8"/>
  <c r="C71" i="8"/>
  <c r="E88" i="8"/>
  <c r="E90" i="8" s="1"/>
  <c r="E77" i="8"/>
  <c r="E71" i="8" s="1"/>
  <c r="C25" i="8"/>
  <c r="C27" i="8" s="1"/>
  <c r="C15" i="8"/>
  <c r="E27" i="8"/>
  <c r="E21" i="8" s="1"/>
  <c r="E15" i="8"/>
  <c r="E24" i="8" s="1"/>
  <c r="E20" i="8" s="1"/>
  <c r="E109" i="8"/>
  <c r="E106" i="8"/>
  <c r="C49" i="8"/>
  <c r="E49" i="8"/>
  <c r="E130" i="7"/>
  <c r="F130" i="7" s="1"/>
  <c r="E167" i="7"/>
  <c r="E183" i="7"/>
  <c r="F183" i="7"/>
  <c r="E121" i="7"/>
  <c r="F121" i="7" s="1"/>
  <c r="E85" i="6"/>
  <c r="E89" i="6"/>
  <c r="F89" i="6" s="1"/>
  <c r="E93" i="6"/>
  <c r="E84" i="6"/>
  <c r="F84" i="6" s="1"/>
  <c r="E86" i="6"/>
  <c r="F86" i="6" s="1"/>
  <c r="E88" i="6"/>
  <c r="F88" i="6" s="1"/>
  <c r="E90" i="6"/>
  <c r="F90" i="6" s="1"/>
  <c r="E92" i="6"/>
  <c r="F92" i="6"/>
  <c r="E94" i="6"/>
  <c r="F94" i="6" s="1"/>
  <c r="E111" i="6"/>
  <c r="F111" i="6" s="1"/>
  <c r="E124" i="6"/>
  <c r="F124" i="6" s="1"/>
  <c r="E137" i="6"/>
  <c r="F137" i="6"/>
  <c r="E153" i="6"/>
  <c r="F153" i="6" s="1"/>
  <c r="E33" i="5"/>
  <c r="F33" i="5" s="1"/>
  <c r="E41" i="5"/>
  <c r="F41" i="5"/>
  <c r="D41" i="4"/>
  <c r="E41" i="4" s="1"/>
  <c r="F41" i="4" s="1"/>
  <c r="D65" i="4"/>
  <c r="D54" i="22"/>
  <c r="D46" i="22"/>
  <c r="D40" i="22"/>
  <c r="D36" i="22"/>
  <c r="D30" i="22"/>
  <c r="E53" i="22"/>
  <c r="E45" i="22"/>
  <c r="E39" i="22"/>
  <c r="E35" i="22"/>
  <c r="E29" i="22"/>
  <c r="E112" i="22" s="1"/>
  <c r="C41" i="20"/>
  <c r="E39" i="20"/>
  <c r="F39" i="20" s="1"/>
  <c r="E40" i="20"/>
  <c r="F40" i="20" s="1"/>
  <c r="C77" i="18"/>
  <c r="C124" i="18" s="1"/>
  <c r="D330" i="18"/>
  <c r="E156" i="18"/>
  <c r="D168" i="18"/>
  <c r="D157" i="18"/>
  <c r="E157" i="18" s="1"/>
  <c r="D258" i="18"/>
  <c r="D100" i="18"/>
  <c r="D98" i="18"/>
  <c r="D96" i="18"/>
  <c r="D89" i="18"/>
  <c r="D87" i="18"/>
  <c r="D85" i="18"/>
  <c r="D83" i="18"/>
  <c r="D99" i="18"/>
  <c r="D95" i="18"/>
  <c r="D88" i="18"/>
  <c r="D84" i="18"/>
  <c r="D101" i="18"/>
  <c r="D97" i="18"/>
  <c r="D86" i="18"/>
  <c r="E43" i="18"/>
  <c r="C294" i="18"/>
  <c r="E22" i="18"/>
  <c r="D241" i="18"/>
  <c r="D234" i="18"/>
  <c r="E234" i="18"/>
  <c r="E210" i="18"/>
  <c r="D211" i="18"/>
  <c r="D180" i="18"/>
  <c r="C295" i="18"/>
  <c r="E283" i="18"/>
  <c r="E264" i="17"/>
  <c r="F264" i="17" s="1"/>
  <c r="D271" i="17"/>
  <c r="D268" i="17"/>
  <c r="D263" i="17"/>
  <c r="D255" i="17"/>
  <c r="E215" i="17"/>
  <c r="F215" i="17" s="1"/>
  <c r="C126" i="17"/>
  <c r="C127" i="17" s="1"/>
  <c r="C207" i="17"/>
  <c r="C138" i="17"/>
  <c r="E137" i="17"/>
  <c r="F137" i="17" s="1"/>
  <c r="D125" i="17"/>
  <c r="D32" i="17"/>
  <c r="D62" i="17" s="1"/>
  <c r="D63" i="17" s="1"/>
  <c r="E267" i="17"/>
  <c r="F267" i="17" s="1"/>
  <c r="D272" i="17"/>
  <c r="D273" i="17" s="1"/>
  <c r="D254" i="17"/>
  <c r="D216" i="17"/>
  <c r="C288" i="17"/>
  <c r="C270" i="17"/>
  <c r="F205" i="17"/>
  <c r="C286" i="17"/>
  <c r="E286" i="17" s="1"/>
  <c r="F286" i="17" s="1"/>
  <c r="F283" i="17"/>
  <c r="F280" i="17"/>
  <c r="F173" i="17"/>
  <c r="F124" i="17"/>
  <c r="C103" i="17"/>
  <c r="D61" i="17"/>
  <c r="D174" i="17" s="1"/>
  <c r="D126" i="17"/>
  <c r="D127" i="17" s="1"/>
  <c r="E21" i="17"/>
  <c r="F21" i="17" s="1"/>
  <c r="D49" i="17"/>
  <c r="H33" i="14"/>
  <c r="H36" i="14"/>
  <c r="H38" i="14" s="1"/>
  <c r="H40" i="14" s="1"/>
  <c r="E24" i="13"/>
  <c r="E20" i="13"/>
  <c r="E17" i="13"/>
  <c r="E28" i="13" s="1"/>
  <c r="C20" i="12"/>
  <c r="C139" i="8"/>
  <c r="C21" i="8"/>
  <c r="E140" i="8"/>
  <c r="E138" i="8"/>
  <c r="E136" i="8"/>
  <c r="E137" i="8"/>
  <c r="E139" i="8"/>
  <c r="E135" i="8"/>
  <c r="C24" i="8"/>
  <c r="C17" i="8"/>
  <c r="C28" i="8" s="1"/>
  <c r="D75" i="4"/>
  <c r="D43" i="4"/>
  <c r="E37" i="22"/>
  <c r="D56" i="22"/>
  <c r="D48" i="22"/>
  <c r="D38" i="22"/>
  <c r="E211" i="18"/>
  <c r="D181" i="18"/>
  <c r="D90" i="18"/>
  <c r="D91" i="18"/>
  <c r="D102" i="18"/>
  <c r="D103" i="18" s="1"/>
  <c r="C126" i="18"/>
  <c r="C122" i="18"/>
  <c r="C115" i="18"/>
  <c r="C113" i="18"/>
  <c r="C111" i="18"/>
  <c r="C109" i="18"/>
  <c r="C125" i="18"/>
  <c r="C121" i="18"/>
  <c r="C110" i="18"/>
  <c r="C127" i="18"/>
  <c r="C123" i="18"/>
  <c r="C112" i="18"/>
  <c r="D50" i="17"/>
  <c r="D70" i="17" s="1"/>
  <c r="D175" i="17"/>
  <c r="D176" i="17" s="1"/>
  <c r="E176" i="17" s="1"/>
  <c r="D140" i="17"/>
  <c r="D304" i="17"/>
  <c r="E138" i="17"/>
  <c r="F138" i="17" s="1"/>
  <c r="C208" i="17"/>
  <c r="C34" i="12"/>
  <c r="C42" i="12" s="1"/>
  <c r="C49" i="12" s="1"/>
  <c r="C112" i="8"/>
  <c r="C111" i="8" s="1"/>
  <c r="C128" i="18"/>
  <c r="D141" i="17"/>
  <c r="C129" i="18"/>
  <c r="D322" i="17"/>
  <c r="D210" i="17" l="1"/>
  <c r="D211" i="17" s="1"/>
  <c r="D209" i="17"/>
  <c r="C99" i="8"/>
  <c r="C101" i="8" s="1"/>
  <c r="C98" i="8" s="1"/>
  <c r="C22" i="8"/>
  <c r="C181" i="18"/>
  <c r="E181" i="18" s="1"/>
  <c r="C169" i="18"/>
  <c r="E145" i="18"/>
  <c r="E34" i="12"/>
  <c r="F34" i="12" s="1"/>
  <c r="D42" i="12"/>
  <c r="C21" i="5"/>
  <c r="C35" i="5" s="1"/>
  <c r="E35" i="5" s="1"/>
  <c r="F35" i="5" s="1"/>
  <c r="C194" i="17"/>
  <c r="C196" i="17" s="1"/>
  <c r="C266" i="17"/>
  <c r="C265" i="17" s="1"/>
  <c r="C282" i="17"/>
  <c r="C281" i="17" s="1"/>
  <c r="D89" i="17"/>
  <c r="E88" i="17"/>
  <c r="F41" i="7"/>
  <c r="D17" i="8"/>
  <c r="D24" i="8"/>
  <c r="E166" i="9"/>
  <c r="E121" i="10"/>
  <c r="E199" i="9"/>
  <c r="C320" i="18"/>
  <c r="E320" i="18" s="1"/>
  <c r="E316" i="18"/>
  <c r="C136" i="8"/>
  <c r="C152" i="8"/>
  <c r="C157" i="8"/>
  <c r="C156" i="8"/>
  <c r="C154" i="8"/>
  <c r="C199" i="17"/>
  <c r="C290" i="17"/>
  <c r="C274" i="17"/>
  <c r="E274" i="17" s="1"/>
  <c r="C200" i="17"/>
  <c r="E32" i="17"/>
  <c r="F32" i="17" s="1"/>
  <c r="C137" i="8"/>
  <c r="E17" i="12"/>
  <c r="F17" i="12" s="1"/>
  <c r="E20" i="12"/>
  <c r="F20" i="12" s="1"/>
  <c r="C135" i="8"/>
  <c r="C141" i="8" s="1"/>
  <c r="D284" i="18"/>
  <c r="E284" i="18" s="1"/>
  <c r="E46" i="20"/>
  <c r="E48" i="5"/>
  <c r="F48" i="5" s="1"/>
  <c r="F81" i="6"/>
  <c r="C208" i="9"/>
  <c r="E208" i="9" s="1"/>
  <c r="F199" i="9"/>
  <c r="F35" i="10"/>
  <c r="E35" i="10"/>
  <c r="G31" i="14"/>
  <c r="I31" i="14" s="1"/>
  <c r="G33" i="14"/>
  <c r="I17" i="14"/>
  <c r="C89" i="17"/>
  <c r="C91" i="17" s="1"/>
  <c r="F88" i="17"/>
  <c r="E110" i="17"/>
  <c r="F110" i="17" s="1"/>
  <c r="C227" i="17"/>
  <c r="E227" i="17" s="1"/>
  <c r="F227" i="17" s="1"/>
  <c r="E226" i="17"/>
  <c r="F226" i="17" s="1"/>
  <c r="C46" i="20"/>
  <c r="F44" i="20"/>
  <c r="F180" i="9"/>
  <c r="E180" i="9"/>
  <c r="E179" i="6"/>
  <c r="F179" i="6" s="1"/>
  <c r="F23" i="16"/>
  <c r="C159" i="17"/>
  <c r="C192" i="17"/>
  <c r="C245" i="18"/>
  <c r="C253" i="18"/>
  <c r="E141" i="8"/>
  <c r="C138" i="8"/>
  <c r="C15" i="13"/>
  <c r="E221" i="18"/>
  <c r="E73" i="4"/>
  <c r="E41" i="7"/>
  <c r="D95" i="7"/>
  <c r="E118" i="10"/>
  <c r="E23" i="16"/>
  <c r="D159" i="17"/>
  <c r="D192" i="17"/>
  <c r="E158" i="17"/>
  <c r="F158" i="17" s="1"/>
  <c r="E188" i="17"/>
  <c r="F188" i="17" s="1"/>
  <c r="C254" i="17"/>
  <c r="E254" i="17" s="1"/>
  <c r="F254" i="17" s="1"/>
  <c r="C261" i="17"/>
  <c r="C190" i="17"/>
  <c r="C206" i="17"/>
  <c r="C214" i="17"/>
  <c r="C277" i="17"/>
  <c r="D290" i="17"/>
  <c r="D199" i="17"/>
  <c r="E199" i="17" s="1"/>
  <c r="E198" i="17"/>
  <c r="F198" i="17" s="1"/>
  <c r="D200" i="17"/>
  <c r="C330" i="18"/>
  <c r="E326" i="18"/>
  <c r="E208" i="17"/>
  <c r="E220" i="18"/>
  <c r="D244" i="18"/>
  <c r="E244" i="18" s="1"/>
  <c r="D235" i="18"/>
  <c r="E218" i="18"/>
  <c r="C217" i="18"/>
  <c r="E45" i="6"/>
  <c r="F45" i="6" s="1"/>
  <c r="E49" i="6"/>
  <c r="F49" i="6" s="1"/>
  <c r="E90" i="7"/>
  <c r="F90" i="7" s="1"/>
  <c r="E61" i="11"/>
  <c r="F61" i="11" s="1"/>
  <c r="C65" i="11"/>
  <c r="E58" i="17"/>
  <c r="F58" i="17" s="1"/>
  <c r="E301" i="18"/>
  <c r="E101" i="22"/>
  <c r="E102" i="22"/>
  <c r="D33" i="18"/>
  <c r="E32" i="18"/>
  <c r="C105" i="17"/>
  <c r="C106" i="17" s="1"/>
  <c r="E41" i="20"/>
  <c r="C153" i="8"/>
  <c r="C222" i="18"/>
  <c r="C263" i="18"/>
  <c r="C52" i="6"/>
  <c r="E84" i="10"/>
  <c r="F73" i="15"/>
  <c r="E75" i="15"/>
  <c r="F75" i="15" s="1"/>
  <c r="D287" i="17"/>
  <c r="D284" i="17"/>
  <c r="D77" i="22"/>
  <c r="D101" i="22"/>
  <c r="D103" i="22" s="1"/>
  <c r="C210" i="17"/>
  <c r="E210" i="17" s="1"/>
  <c r="E16" i="5"/>
  <c r="F16" i="5" s="1"/>
  <c r="C168" i="18"/>
  <c r="E168" i="18" s="1"/>
  <c r="C180" i="18"/>
  <c r="E180" i="18" s="1"/>
  <c r="F73" i="4"/>
  <c r="E175" i="17"/>
  <c r="F175" i="17" s="1"/>
  <c r="D139" i="17"/>
  <c r="C140" i="17"/>
  <c r="C116" i="18"/>
  <c r="C117" i="18" s="1"/>
  <c r="C131" i="18" s="1"/>
  <c r="E18" i="5"/>
  <c r="F18" i="5" s="1"/>
  <c r="E17" i="8"/>
  <c r="C114" i="18"/>
  <c r="E31" i="17"/>
  <c r="F31" i="17" s="1"/>
  <c r="E207" i="17"/>
  <c r="E144" i="18"/>
  <c r="C155" i="8"/>
  <c r="E15" i="12"/>
  <c r="F15" i="12" s="1"/>
  <c r="F18" i="7"/>
  <c r="F38" i="11"/>
  <c r="C41" i="11"/>
  <c r="F37" i="15"/>
  <c r="E36" i="17"/>
  <c r="F36" i="17" s="1"/>
  <c r="D37" i="17"/>
  <c r="E37" i="17" s="1"/>
  <c r="F37" i="17" s="1"/>
  <c r="E33" i="18"/>
  <c r="E51" i="6"/>
  <c r="F51" i="6" s="1"/>
  <c r="E76" i="17"/>
  <c r="F76" i="17" s="1"/>
  <c r="D181" i="17"/>
  <c r="D239" i="17"/>
  <c r="E239" i="17" s="1"/>
  <c r="F239" i="17" s="1"/>
  <c r="D222" i="18"/>
  <c r="E86" i="8"/>
  <c r="E285" i="17"/>
  <c r="F285" i="17" s="1"/>
  <c r="F44" i="6"/>
  <c r="E48" i="6"/>
  <c r="D48" i="13"/>
  <c r="D42" i="13" s="1"/>
  <c r="E44" i="17"/>
  <c r="F44" i="17" s="1"/>
  <c r="E178" i="18"/>
  <c r="E278" i="18"/>
  <c r="E290" i="18"/>
  <c r="E293" i="18"/>
  <c r="D102" i="22"/>
  <c r="E330" i="18"/>
  <c r="F41" i="20"/>
  <c r="E22" i="4"/>
  <c r="F22" i="4" s="1"/>
  <c r="E50" i="6"/>
  <c r="E166" i="8"/>
  <c r="E23" i="9"/>
  <c r="F23" i="9" s="1"/>
  <c r="E62" i="9"/>
  <c r="C61" i="13"/>
  <c r="C57" i="13" s="1"/>
  <c r="E50" i="13"/>
  <c r="E296" i="17"/>
  <c r="F296" i="17" s="1"/>
  <c r="E299" i="17"/>
  <c r="F299" i="17" s="1"/>
  <c r="E72" i="18"/>
  <c r="E176" i="18"/>
  <c r="E230" i="18"/>
  <c r="E287" i="18"/>
  <c r="D22" i="22"/>
  <c r="C77" i="22"/>
  <c r="D88" i="22"/>
  <c r="F38" i="6"/>
  <c r="D95" i="6"/>
  <c r="D188" i="7"/>
  <c r="F24" i="9"/>
  <c r="D122" i="10"/>
  <c r="E122" i="10" s="1"/>
  <c r="D33" i="14"/>
  <c r="D36" i="14" s="1"/>
  <c r="D38" i="14" s="1"/>
  <c r="D40" i="14" s="1"/>
  <c r="E53" i="17"/>
  <c r="F53" i="17" s="1"/>
  <c r="C252" i="18"/>
  <c r="C254" i="18" s="1"/>
  <c r="C20" i="8"/>
  <c r="F38" i="4"/>
  <c r="F25" i="6"/>
  <c r="E43" i="6"/>
  <c r="F43" i="6" s="1"/>
  <c r="F50" i="6"/>
  <c r="C95" i="6"/>
  <c r="E57" i="8"/>
  <c r="E62" i="8" s="1"/>
  <c r="E24" i="9"/>
  <c r="D50" i="13"/>
  <c r="E242" i="18"/>
  <c r="C235" i="18"/>
  <c r="E61" i="4"/>
  <c r="F61" i="4" s="1"/>
  <c r="D79" i="8"/>
  <c r="D25" i="13"/>
  <c r="D27" i="13" s="1"/>
  <c r="D21" i="13" s="1"/>
  <c r="E80" i="13"/>
  <c r="E77" i="13" s="1"/>
  <c r="E243" i="18"/>
  <c r="F176" i="17"/>
  <c r="E70" i="13"/>
  <c r="E72" i="13" s="1"/>
  <c r="E69" i="13" s="1"/>
  <c r="E22" i="13"/>
  <c r="D105" i="18"/>
  <c r="F270" i="17"/>
  <c r="E127" i="17"/>
  <c r="F127" i="17" s="1"/>
  <c r="D148" i="17"/>
  <c r="E95" i="6"/>
  <c r="F95" i="6" s="1"/>
  <c r="F207" i="17"/>
  <c r="D169" i="18"/>
  <c r="E169" i="18" s="1"/>
  <c r="E47" i="22"/>
  <c r="F85" i="6"/>
  <c r="F208" i="17"/>
  <c r="E55" i="22"/>
  <c r="C300" i="17"/>
  <c r="C43" i="4"/>
  <c r="E35" i="7"/>
  <c r="F35" i="7"/>
  <c r="F210" i="17"/>
  <c r="E126" i="17"/>
  <c r="F126" i="17" s="1"/>
  <c r="E29" i="4"/>
  <c r="F29" i="4" s="1"/>
  <c r="E42" i="6"/>
  <c r="F42" i="6" s="1"/>
  <c r="D52" i="6"/>
  <c r="F46" i="6"/>
  <c r="D157" i="8"/>
  <c r="D155" i="8"/>
  <c r="D153" i="8"/>
  <c r="D154" i="8"/>
  <c r="D152" i="8"/>
  <c r="F43" i="20"/>
  <c r="C188" i="7"/>
  <c r="F167" i="7"/>
  <c r="D53" i="8"/>
  <c r="D43" i="8"/>
  <c r="D57" i="8"/>
  <c r="D62" i="8" s="1"/>
  <c r="D49" i="8"/>
  <c r="F23" i="10"/>
  <c r="E23" i="10"/>
  <c r="D24" i="13"/>
  <c r="D20" i="13" s="1"/>
  <c r="D17" i="13"/>
  <c r="D28" i="13" s="1"/>
  <c r="E108" i="22"/>
  <c r="E109" i="22"/>
  <c r="E30" i="7"/>
  <c r="F30" i="7" s="1"/>
  <c r="C33" i="22"/>
  <c r="C34" i="22"/>
  <c r="C22" i="22"/>
  <c r="C23" i="22"/>
  <c r="F274" i="17"/>
  <c r="F24" i="7"/>
  <c r="F48" i="6"/>
  <c r="C95" i="7"/>
  <c r="E59" i="7"/>
  <c r="F59" i="7" s="1"/>
  <c r="D77" i="8"/>
  <c r="D71" i="8" s="1"/>
  <c r="D88" i="8"/>
  <c r="D90" i="8" s="1"/>
  <c r="D86" i="8" s="1"/>
  <c r="E79" i="8"/>
  <c r="D137" i="8"/>
  <c r="D135" i="8"/>
  <c r="D140" i="8"/>
  <c r="D138" i="8"/>
  <c r="D139" i="8"/>
  <c r="E66" i="17"/>
  <c r="F66" i="17" s="1"/>
  <c r="D68" i="17"/>
  <c r="E68" i="17" s="1"/>
  <c r="F68" i="17" s="1"/>
  <c r="D103" i="17"/>
  <c r="E102" i="17"/>
  <c r="F102" i="17" s="1"/>
  <c r="E135" i="17"/>
  <c r="F135" i="17" s="1"/>
  <c r="C146" i="17"/>
  <c r="E145" i="17"/>
  <c r="F145" i="17" s="1"/>
  <c r="E179" i="17"/>
  <c r="F179" i="17" s="1"/>
  <c r="C181" i="17"/>
  <c r="E278" i="17"/>
  <c r="F278" i="17" s="1"/>
  <c r="D279" i="17"/>
  <c r="D288" i="17"/>
  <c r="E269" i="17"/>
  <c r="F269" i="17"/>
  <c r="D25" i="8"/>
  <c r="D27" i="8" s="1"/>
  <c r="C53" i="8"/>
  <c r="E59" i="17"/>
  <c r="F59" i="17" s="1"/>
  <c r="C44" i="18"/>
  <c r="E302" i="18"/>
  <c r="D303" i="18"/>
  <c r="E53" i="8"/>
  <c r="F49" i="9"/>
  <c r="F23" i="17"/>
  <c r="C48" i="17"/>
  <c r="F47" i="17"/>
  <c r="C262" i="17"/>
  <c r="C255" i="17"/>
  <c r="E245" i="18"/>
  <c r="C65" i="4"/>
  <c r="E65" i="4" s="1"/>
  <c r="F52" i="17"/>
  <c r="D111" i="17"/>
  <c r="E111" i="17" s="1"/>
  <c r="F111" i="17" s="1"/>
  <c r="E69" i="18"/>
  <c r="F31" i="14"/>
  <c r="H31" i="14" s="1"/>
  <c r="E89" i="17"/>
  <c r="F89" i="17" s="1"/>
  <c r="D43" i="11"/>
  <c r="C60" i="17"/>
  <c r="D289" i="18"/>
  <c r="E289" i="18" s="1"/>
  <c r="D65" i="18"/>
  <c r="D71" i="18"/>
  <c r="E71" i="18" s="1"/>
  <c r="C37" i="19"/>
  <c r="C38" i="19" s="1"/>
  <c r="C127" i="19" s="1"/>
  <c r="C129" i="19" s="1"/>
  <c r="C133" i="19" s="1"/>
  <c r="C33" i="19"/>
  <c r="C102" i="22"/>
  <c r="C103" i="22" s="1"/>
  <c r="E23" i="22"/>
  <c r="E216" i="18"/>
  <c r="D240" i="18"/>
  <c r="F35" i="17"/>
  <c r="D110" i="22" l="1"/>
  <c r="D29" i="22"/>
  <c r="D39" i="22"/>
  <c r="D53" i="22"/>
  <c r="D45" i="22"/>
  <c r="D35" i="22"/>
  <c r="C75" i="11"/>
  <c r="E65" i="11"/>
  <c r="F65" i="11" s="1"/>
  <c r="E235" i="18"/>
  <c r="D76" i="18"/>
  <c r="E21" i="5"/>
  <c r="F21" i="5" s="1"/>
  <c r="E140" i="17"/>
  <c r="F140" i="17" s="1"/>
  <c r="C141" i="17"/>
  <c r="C161" i="17"/>
  <c r="C162" i="17" s="1"/>
  <c r="D112" i="8"/>
  <c r="D111" i="8" s="1"/>
  <c r="D28" i="8"/>
  <c r="D99" i="8" s="1"/>
  <c r="D101" i="8" s="1"/>
  <c r="D98" i="8" s="1"/>
  <c r="E157" i="8"/>
  <c r="E155" i="8"/>
  <c r="E153" i="8"/>
  <c r="E156" i="8"/>
  <c r="E154" i="8"/>
  <c r="E152" i="8"/>
  <c r="D223" i="18"/>
  <c r="E222" i="18"/>
  <c r="D109" i="22"/>
  <c r="D111" i="22"/>
  <c r="D108" i="22"/>
  <c r="D113" i="22"/>
  <c r="C304" i="17"/>
  <c r="E214" i="17"/>
  <c r="F214" i="17"/>
  <c r="C216" i="17"/>
  <c r="E216" i="17" s="1"/>
  <c r="F216" i="17" s="1"/>
  <c r="D193" i="17"/>
  <c r="E192" i="17"/>
  <c r="F192" i="17" s="1"/>
  <c r="C24" i="13"/>
  <c r="C20" i="13" s="1"/>
  <c r="C17" i="13"/>
  <c r="C28" i="13" s="1"/>
  <c r="F199" i="17"/>
  <c r="E290" i="17"/>
  <c r="F290" i="17"/>
  <c r="C43" i="5"/>
  <c r="C246" i="18"/>
  <c r="C223" i="18"/>
  <c r="C247" i="18" s="1"/>
  <c r="E206" i="17"/>
  <c r="F206" i="17" s="1"/>
  <c r="D161" i="17"/>
  <c r="D160" i="17"/>
  <c r="E159" i="17"/>
  <c r="F159" i="17" s="1"/>
  <c r="F208" i="9"/>
  <c r="D91" i="17"/>
  <c r="D90" i="17"/>
  <c r="E42" i="12"/>
  <c r="F42" i="12" s="1"/>
  <c r="D49" i="12"/>
  <c r="E49" i="12" s="1"/>
  <c r="F49" i="12" s="1"/>
  <c r="E41" i="11"/>
  <c r="F41" i="11" s="1"/>
  <c r="C43" i="11"/>
  <c r="C158" i="8"/>
  <c r="E103" i="22"/>
  <c r="E190" i="17"/>
  <c r="F190" i="17"/>
  <c r="C92" i="17"/>
  <c r="E52" i="6"/>
  <c r="F52" i="6" s="1"/>
  <c r="E112" i="8"/>
  <c r="E111" i="8" s="1"/>
  <c r="E28" i="8"/>
  <c r="C241" i="18"/>
  <c r="E241" i="18" s="1"/>
  <c r="E217" i="18"/>
  <c r="C271" i="17"/>
  <c r="C268" i="17"/>
  <c r="E261" i="17"/>
  <c r="F261" i="17" s="1"/>
  <c r="E277" i="17"/>
  <c r="F277" i="17" s="1"/>
  <c r="C287" i="17"/>
  <c r="E287" i="17" s="1"/>
  <c r="C284" i="17"/>
  <c r="E284" i="17" s="1"/>
  <c r="F284" i="17" s="1"/>
  <c r="C279" i="17"/>
  <c r="E279" i="17" s="1"/>
  <c r="F279" i="17" s="1"/>
  <c r="E43" i="11"/>
  <c r="F43" i="11" s="1"/>
  <c r="C108" i="22"/>
  <c r="C109" i="22"/>
  <c r="G36" i="14"/>
  <c r="G38" i="14" s="1"/>
  <c r="G40" i="14" s="1"/>
  <c r="I33" i="14"/>
  <c r="I36" i="14" s="1"/>
  <c r="I38" i="14" s="1"/>
  <c r="I40" i="14" s="1"/>
  <c r="F46" i="20"/>
  <c r="E200" i="17"/>
  <c r="F200" i="17" s="1"/>
  <c r="D21" i="8"/>
  <c r="D20" i="8"/>
  <c r="D22" i="8"/>
  <c r="E146" i="17"/>
  <c r="F146" i="17"/>
  <c r="E95" i="7"/>
  <c r="F95" i="7" s="1"/>
  <c r="C39" i="22"/>
  <c r="C29" i="22"/>
  <c r="C35" i="22"/>
  <c r="C110" i="22"/>
  <c r="C53" i="22"/>
  <c r="C45" i="22"/>
  <c r="E188" i="7"/>
  <c r="F188" i="7" s="1"/>
  <c r="E300" i="17"/>
  <c r="F300" i="17" s="1"/>
  <c r="C50" i="5"/>
  <c r="E43" i="5"/>
  <c r="F43" i="5" s="1"/>
  <c r="C61" i="17"/>
  <c r="E60" i="17"/>
  <c r="F60" i="17" s="1"/>
  <c r="D259" i="18"/>
  <c r="E76" i="18"/>
  <c r="E303" i="18"/>
  <c r="D306" i="18"/>
  <c r="C272" i="17"/>
  <c r="E262" i="17"/>
  <c r="F262" i="17"/>
  <c r="C263" i="17"/>
  <c r="C86" i="18"/>
  <c r="E86" i="18" s="1"/>
  <c r="C89" i="18"/>
  <c r="E89" i="18" s="1"/>
  <c r="C84" i="18"/>
  <c r="C85" i="18"/>
  <c r="E85" i="18" s="1"/>
  <c r="C258" i="18"/>
  <c r="C101" i="18"/>
  <c r="E101" i="18" s="1"/>
  <c r="C98" i="18"/>
  <c r="E98" i="18" s="1"/>
  <c r="C99" i="18"/>
  <c r="E99" i="18" s="1"/>
  <c r="C87" i="18"/>
  <c r="E87" i="18" s="1"/>
  <c r="C95" i="18"/>
  <c r="C100" i="18"/>
  <c r="E100" i="18" s="1"/>
  <c r="C88" i="18"/>
  <c r="E88" i="18" s="1"/>
  <c r="C96" i="18"/>
  <c r="C97" i="18"/>
  <c r="E97" i="18" s="1"/>
  <c r="C83" i="18"/>
  <c r="E44" i="18"/>
  <c r="D141" i="8"/>
  <c r="E255" i="17"/>
  <c r="F255" i="17" s="1"/>
  <c r="E288" i="17"/>
  <c r="F288" i="17" s="1"/>
  <c r="D291" i="17"/>
  <c r="D289" i="17"/>
  <c r="D70" i="13"/>
  <c r="D72" i="13" s="1"/>
  <c r="D69" i="13" s="1"/>
  <c r="D22" i="13"/>
  <c r="D294" i="18"/>
  <c r="E294" i="18" s="1"/>
  <c r="D246" i="18"/>
  <c r="E246" i="18" s="1"/>
  <c r="D66" i="18"/>
  <c r="E65" i="18"/>
  <c r="D77" i="18"/>
  <c r="E181" i="17"/>
  <c r="F181" i="17" s="1"/>
  <c r="C36" i="22"/>
  <c r="C40" i="22"/>
  <c r="C30" i="22"/>
  <c r="C54" i="22"/>
  <c r="C46" i="22"/>
  <c r="C111" i="22"/>
  <c r="E240" i="18"/>
  <c r="D252" i="18"/>
  <c r="D253" i="18"/>
  <c r="E253" i="18" s="1"/>
  <c r="E111" i="22"/>
  <c r="E54" i="22"/>
  <c r="E30" i="22"/>
  <c r="E46" i="22"/>
  <c r="E40" i="22"/>
  <c r="E36" i="22"/>
  <c r="C90" i="17"/>
  <c r="C125" i="17"/>
  <c r="C49" i="17"/>
  <c r="E48" i="17"/>
  <c r="C195" i="17"/>
  <c r="F48" i="17"/>
  <c r="C160" i="17"/>
  <c r="D105" i="17"/>
  <c r="E103" i="17"/>
  <c r="F103" i="17" s="1"/>
  <c r="D104" i="17"/>
  <c r="E43" i="4"/>
  <c r="F43" i="4" s="1"/>
  <c r="C75" i="4"/>
  <c r="F65" i="4"/>
  <c r="D158" i="8"/>
  <c r="E268" i="17" l="1"/>
  <c r="F268" i="17"/>
  <c r="C324" i="17"/>
  <c r="C113" i="17"/>
  <c r="E161" i="17"/>
  <c r="F161" i="17" s="1"/>
  <c r="D162" i="17"/>
  <c r="F304" i="17"/>
  <c r="E304" i="17"/>
  <c r="C197" i="17"/>
  <c r="C183" i="17"/>
  <c r="C323" i="17"/>
  <c r="F75" i="11"/>
  <c r="E75" i="11"/>
  <c r="C148" i="17"/>
  <c r="C211" i="17"/>
  <c r="C322" i="17"/>
  <c r="E322" i="17" s="1"/>
  <c r="F322" i="17" s="1"/>
  <c r="E141" i="17"/>
  <c r="F141" i="17" s="1"/>
  <c r="E271" i="17"/>
  <c r="F271" i="17"/>
  <c r="C70" i="13"/>
  <c r="C72" i="13" s="1"/>
  <c r="C69" i="13" s="1"/>
  <c r="C22" i="13"/>
  <c r="E158" i="8"/>
  <c r="D92" i="17"/>
  <c r="E92" i="17" s="1"/>
  <c r="F92" i="17" s="1"/>
  <c r="E91" i="17"/>
  <c r="F91" i="17" s="1"/>
  <c r="E193" i="17"/>
  <c r="F193" i="17" s="1"/>
  <c r="D266" i="17"/>
  <c r="D282" i="17"/>
  <c r="D194" i="17"/>
  <c r="F287" i="17"/>
  <c r="C289" i="17"/>
  <c r="C291" i="17"/>
  <c r="C305" i="17" s="1"/>
  <c r="E99" i="8"/>
  <c r="E101" i="8" s="1"/>
  <c r="E98" i="8" s="1"/>
  <c r="E22" i="8"/>
  <c r="D55" i="22"/>
  <c r="D37" i="22"/>
  <c r="D112" i="22"/>
  <c r="D47" i="22"/>
  <c r="E223" i="18"/>
  <c r="E289" i="17"/>
  <c r="E83" i="18"/>
  <c r="E38" i="22"/>
  <c r="E113" i="22"/>
  <c r="E56" i="22"/>
  <c r="E48" i="22"/>
  <c r="E66" i="18"/>
  <c r="D247" i="18"/>
  <c r="E247" i="18" s="1"/>
  <c r="D295" i="18"/>
  <c r="E295" i="18" s="1"/>
  <c r="C62" i="17"/>
  <c r="F61" i="17"/>
  <c r="C104" i="17"/>
  <c r="C209" i="17"/>
  <c r="C139" i="17"/>
  <c r="E61" i="17"/>
  <c r="C174" i="17"/>
  <c r="C38" i="22"/>
  <c r="C56" i="22"/>
  <c r="C48" i="22"/>
  <c r="C113" i="22"/>
  <c r="C102" i="18"/>
  <c r="E102" i="18" s="1"/>
  <c r="E96" i="18"/>
  <c r="E258" i="18"/>
  <c r="C264" i="18"/>
  <c r="C266" i="18" s="1"/>
  <c r="C267" i="18" s="1"/>
  <c r="C273" i="17"/>
  <c r="F272" i="17"/>
  <c r="E272" i="17"/>
  <c r="C50" i="17"/>
  <c r="E49" i="17"/>
  <c r="F49" i="17" s="1"/>
  <c r="E306" i="18"/>
  <c r="D310" i="18"/>
  <c r="E310" i="18" s="1"/>
  <c r="E50" i="5"/>
  <c r="F50" i="5"/>
  <c r="E104" i="17"/>
  <c r="E125" i="17"/>
  <c r="F125" i="17" s="1"/>
  <c r="C90" i="18"/>
  <c r="E90" i="18" s="1"/>
  <c r="E84" i="18"/>
  <c r="E90" i="17"/>
  <c r="F90" i="17" s="1"/>
  <c r="E252" i="18"/>
  <c r="D254" i="18"/>
  <c r="E254" i="18" s="1"/>
  <c r="C309" i="17"/>
  <c r="E95" i="18"/>
  <c r="C112" i="22"/>
  <c r="C37" i="22"/>
  <c r="C55" i="22"/>
  <c r="C47" i="22"/>
  <c r="D106" i="17"/>
  <c r="E105" i="17"/>
  <c r="F105" i="17" s="1"/>
  <c r="D263" i="18"/>
  <c r="E259" i="18"/>
  <c r="E75" i="4"/>
  <c r="F75" i="4" s="1"/>
  <c r="E160" i="17"/>
  <c r="F160" i="17"/>
  <c r="D110" i="18"/>
  <c r="D109" i="18"/>
  <c r="D127" i="18"/>
  <c r="E127" i="18" s="1"/>
  <c r="D113" i="18"/>
  <c r="E113" i="18" s="1"/>
  <c r="D111" i="18"/>
  <c r="E111" i="18" s="1"/>
  <c r="D125" i="18"/>
  <c r="E125" i="18" s="1"/>
  <c r="D124" i="18"/>
  <c r="E124" i="18" s="1"/>
  <c r="D115" i="18"/>
  <c r="E115" i="18" s="1"/>
  <c r="D123" i="18"/>
  <c r="E123" i="18" s="1"/>
  <c r="D122" i="18"/>
  <c r="D114" i="18"/>
  <c r="E114" i="18" s="1"/>
  <c r="D112" i="18"/>
  <c r="E112" i="18" s="1"/>
  <c r="D126" i="18"/>
  <c r="E126" i="18" s="1"/>
  <c r="D121" i="18"/>
  <c r="E77" i="18"/>
  <c r="E291" i="17"/>
  <c r="F291" i="17" s="1"/>
  <c r="D305" i="17"/>
  <c r="E263" i="17"/>
  <c r="F263" i="17" s="1"/>
  <c r="E148" i="17" l="1"/>
  <c r="F148" i="17" s="1"/>
  <c r="E194" i="17"/>
  <c r="F194" i="17" s="1"/>
  <c r="D196" i="17"/>
  <c r="D195" i="17"/>
  <c r="E195" i="17" s="1"/>
  <c r="F195" i="17" s="1"/>
  <c r="D183" i="17"/>
  <c r="E162" i="17"/>
  <c r="F162" i="17" s="1"/>
  <c r="D323" i="17"/>
  <c r="E323" i="17" s="1"/>
  <c r="F323" i="17" s="1"/>
  <c r="E266" i="17"/>
  <c r="F266" i="17" s="1"/>
  <c r="D265" i="17"/>
  <c r="E265" i="17" s="1"/>
  <c r="F265" i="17" s="1"/>
  <c r="D281" i="17"/>
  <c r="E281" i="17" s="1"/>
  <c r="F281" i="17" s="1"/>
  <c r="E282" i="17"/>
  <c r="F282" i="17" s="1"/>
  <c r="E183" i="17"/>
  <c r="F183" i="17"/>
  <c r="C325" i="17"/>
  <c r="C91" i="18"/>
  <c r="E211" i="17"/>
  <c r="F211" i="17" s="1"/>
  <c r="F289" i="17"/>
  <c r="C103" i="18"/>
  <c r="E103" i="18" s="1"/>
  <c r="D128" i="18"/>
  <c r="E128" i="18" s="1"/>
  <c r="E122" i="18"/>
  <c r="E109" i="18"/>
  <c r="C269" i="18"/>
  <c r="C268" i="18"/>
  <c r="D309" i="17"/>
  <c r="E305" i="17"/>
  <c r="F305" i="17" s="1"/>
  <c r="D116" i="18"/>
  <c r="E116" i="18" s="1"/>
  <c r="E110" i="18"/>
  <c r="D113" i="17"/>
  <c r="E113" i="17" s="1"/>
  <c r="F113" i="17" s="1"/>
  <c r="D324" i="17"/>
  <c r="E106" i="17"/>
  <c r="F106" i="17" s="1"/>
  <c r="C310" i="17"/>
  <c r="E139" i="17"/>
  <c r="F139" i="17" s="1"/>
  <c r="F104" i="17"/>
  <c r="E273" i="17"/>
  <c r="F273" i="17" s="1"/>
  <c r="C63" i="17"/>
  <c r="E62" i="17"/>
  <c r="F62" i="17"/>
  <c r="E50" i="17"/>
  <c r="F50" i="17" s="1"/>
  <c r="E121" i="18"/>
  <c r="E209" i="17"/>
  <c r="F209" i="17" s="1"/>
  <c r="E263" i="18"/>
  <c r="D264" i="18"/>
  <c r="F174" i="17"/>
  <c r="E174" i="17"/>
  <c r="E91" i="18"/>
  <c r="D197" i="17" l="1"/>
  <c r="E197" i="17" s="1"/>
  <c r="F197" i="17" s="1"/>
  <c r="E196" i="17"/>
  <c r="F196" i="17" s="1"/>
  <c r="C105" i="18"/>
  <c r="E105" i="18" s="1"/>
  <c r="D117" i="18"/>
  <c r="E117" i="18" s="1"/>
  <c r="C312" i="17"/>
  <c r="C271" i="18"/>
  <c r="D310" i="17"/>
  <c r="E309" i="17"/>
  <c r="F309" i="17" s="1"/>
  <c r="E324" i="17"/>
  <c r="F324" i="17" s="1"/>
  <c r="D325" i="17"/>
  <c r="E325" i="17" s="1"/>
  <c r="F325" i="17" s="1"/>
  <c r="D129" i="18"/>
  <c r="E129" i="18" s="1"/>
  <c r="E63" i="17"/>
  <c r="F63" i="17" s="1"/>
  <c r="E264" i="18"/>
  <c r="D266" i="18"/>
  <c r="C70" i="17"/>
  <c r="C313" i="17" l="1"/>
  <c r="D131" i="18"/>
  <c r="E131" i="18" s="1"/>
  <c r="E266" i="18"/>
  <c r="D267" i="18"/>
  <c r="E70" i="17"/>
  <c r="F70" i="17" s="1"/>
  <c r="D312" i="17"/>
  <c r="E310" i="17"/>
  <c r="F310" i="17" s="1"/>
  <c r="E312" i="17" l="1"/>
  <c r="F312" i="17" s="1"/>
  <c r="D313" i="17"/>
  <c r="E267" i="18"/>
  <c r="D268" i="18"/>
  <c r="D269" i="18"/>
  <c r="E269" i="18" s="1"/>
  <c r="C251" i="17"/>
  <c r="C314" i="17"/>
  <c r="C315" i="17"/>
  <c r="C256" i="17"/>
  <c r="C318" i="17" l="1"/>
  <c r="D271" i="18"/>
  <c r="E271" i="18" s="1"/>
  <c r="E268" i="18"/>
  <c r="E313" i="17"/>
  <c r="F313" i="17" s="1"/>
  <c r="D315" i="17"/>
  <c r="E315" i="17" s="1"/>
  <c r="F315" i="17" s="1"/>
  <c r="D314" i="17"/>
  <c r="D251" i="17"/>
  <c r="E251" i="17" s="1"/>
  <c r="F251" i="17" s="1"/>
  <c r="D256" i="17"/>
  <c r="C257" i="17"/>
  <c r="E314" i="17" l="1"/>
  <c r="F314" i="17" s="1"/>
  <c r="D318" i="17"/>
  <c r="E318" i="17" s="1"/>
  <c r="E256" i="17"/>
  <c r="F256" i="17" s="1"/>
  <c r="D257" i="17"/>
  <c r="E257" i="17" s="1"/>
  <c r="F257" i="17" s="1"/>
  <c r="F318" i="17"/>
</calcChain>
</file>

<file path=xl/sharedStrings.xml><?xml version="1.0" encoding="utf-8"?>
<sst xmlns="http://schemas.openxmlformats.org/spreadsheetml/2006/main" count="2335" uniqueCount="1009">
  <si>
    <t>STAMFORD HOSPITAL</t>
  </si>
  <si>
    <t>TWELVE MONTHS ACTUAL FILING</t>
  </si>
  <si>
    <t>FISCAL YEAR 2016</t>
  </si>
  <si>
    <t>REPORT 100 - HOSPITAL BALANCE SHEET INFORMATION</t>
  </si>
  <si>
    <t>FY 2015</t>
  </si>
  <si>
    <t>FY 2016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</si>
  <si>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</si>
  <si>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</si>
  <si>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</si>
  <si>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</si>
  <si>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</si>
  <si>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</si>
  <si>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</si>
  <si>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</si>
  <si>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</si>
  <si>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</si>
  <si>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</si>
  <si>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</si>
  <si>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</si>
  <si>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</si>
  <si>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</si>
  <si>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</si>
  <si>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</si>
  <si>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</si>
  <si>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</si>
  <si>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</si>
  <si>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</si>
  <si>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</si>
  <si>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</si>
  <si>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</si>
  <si>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</si>
  <si>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</si>
  <si>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</si>
  <si>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</si>
  <si>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</si>
  <si>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</si>
  <si>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</si>
  <si>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</si>
  <si>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</si>
  <si>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</si>
  <si>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</si>
  <si>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</si>
  <si>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</si>
  <si>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</si>
  <si>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</si>
  <si>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</si>
  <si>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</si>
  <si>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</si>
  <si>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</si>
  <si>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</si>
  <si>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</si>
  <si>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</si>
  <si>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</si>
  <si>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</si>
  <si>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</si>
  <si>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</si>
  <si>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</si>
  <si>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</si>
  <si>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</si>
  <si>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</si>
  <si>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</si>
  <si>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</si>
  <si>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</si>
  <si>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</si>
  <si>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</si>
  <si>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</si>
  <si>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</si>
  <si>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</si>
  <si>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</si>
  <si>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</si>
  <si>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</si>
  <si>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</si>
  <si>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</si>
  <si>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</si>
  <si>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</si>
  <si>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</si>
  <si>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</si>
  <si>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</si>
  <si>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</si>
  <si>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</si>
  <si>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</si>
  <si>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</si>
  <si>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</si>
  <si>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</si>
  <si>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</si>
  <si>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</si>
  <si>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</si>
  <si>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</si>
  <si>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</si>
  <si>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</si>
  <si>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</si>
  <si>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</si>
  <si>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</si>
  <si>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</si>
  <si>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</si>
  <si>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</si>
  <si>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</si>
  <si>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</si>
  <si>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</si>
  <si>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</si>
  <si>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</si>
  <si>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</si>
  <si>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</si>
  <si>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</si>
  <si>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</si>
  <si>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</si>
  <si>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</si>
  <si>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2015                ACTUAL</t>
  </si>
  <si>
    <t>FY 2016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</si>
  <si>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</si>
  <si>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</si>
  <si>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</si>
  <si>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</si>
  <si>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</si>
  <si>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</si>
  <si>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</si>
  <si>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</si>
  <si>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</si>
  <si>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</si>
  <si>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</si>
  <si>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</si>
  <si>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</si>
  <si>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</si>
  <si>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</si>
  <si>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</si>
  <si>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</si>
  <si>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</si>
  <si>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</si>
  <si>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</si>
  <si>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</si>
  <si>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</si>
  <si>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</si>
  <si>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</si>
  <si>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</si>
  <si>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</si>
  <si>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</si>
  <si>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</si>
  <si>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</si>
  <si>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</si>
  <si>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</si>
  <si>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</si>
  <si>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</si>
  <si>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</si>
  <si>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</si>
  <si>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</si>
  <si>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</si>
  <si>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</si>
  <si>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</si>
  <si>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</si>
  <si>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</si>
  <si>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</si>
  <si>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</si>
  <si>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</si>
  <si>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</si>
  <si>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</si>
  <si>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</si>
  <si>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</si>
  <si>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</si>
  <si>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</si>
  <si>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</si>
  <si>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</si>
  <si>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</si>
  <si>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</si>
  <si>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</si>
  <si>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</si>
  <si>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</si>
  <si>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</si>
  <si>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</si>
  <si>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</si>
  <si>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</si>
  <si>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</si>
  <si>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</si>
  <si>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</si>
  <si>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</si>
  <si>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</si>
  <si>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</si>
  <si>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</si>
  <si>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</si>
  <si>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</si>
  <si>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</si>
  <si>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</si>
  <si>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</si>
  <si>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</si>
  <si>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</si>
  <si>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</si>
  <si>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</si>
  <si>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</si>
  <si>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</si>
  <si>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</si>
  <si>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</si>
  <si>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</si>
  <si>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</si>
  <si>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</si>
  <si>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</si>
  <si>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</si>
  <si>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</si>
  <si>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</si>
  <si>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</si>
  <si>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</si>
  <si>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</si>
  <si>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</si>
  <si>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</si>
  <si>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</si>
  <si>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</si>
  <si>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</si>
  <si>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</si>
  <si>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</si>
  <si>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</si>
  <si>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</si>
  <si>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</si>
  <si>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</si>
  <si>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</si>
  <si>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</si>
  <si>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</si>
  <si>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</si>
  <si>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</si>
  <si>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</si>
  <si>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</si>
  <si>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</si>
  <si>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</si>
  <si>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</si>
  <si>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</si>
  <si>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</si>
  <si>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</si>
  <si>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</si>
  <si>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</si>
  <si>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</si>
  <si>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</si>
  <si>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</si>
  <si>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</si>
  <si>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</si>
  <si>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</si>
  <si>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</si>
  <si>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</si>
  <si>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</si>
  <si>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</si>
  <si>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</si>
  <si>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</si>
  <si>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</si>
  <si>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</si>
  <si>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</si>
  <si>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</si>
  <si>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</si>
  <si>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</si>
  <si>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</si>
  <si>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</si>
  <si>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</si>
  <si>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</si>
  <si>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</si>
  <si>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</si>
  <si>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</si>
  <si>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</si>
  <si>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</si>
  <si>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</si>
  <si>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</si>
  <si>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</si>
  <si>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</si>
  <si>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</si>
  <si>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</si>
  <si>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</si>
  <si>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</si>
  <si>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</si>
  <si>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</si>
  <si>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</si>
  <si>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</si>
  <si>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</si>
  <si>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</si>
  <si>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</si>
  <si>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</si>
  <si>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</si>
  <si>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</si>
  <si>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</si>
  <si>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</si>
  <si>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</si>
  <si>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</si>
  <si>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</si>
  <si>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</si>
  <si>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</si>
  <si>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</si>
  <si>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</si>
  <si>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</si>
  <si>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</si>
  <si>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</si>
  <si>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</si>
  <si>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</si>
  <si>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</si>
  <si>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</si>
  <si>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</si>
  <si>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</si>
  <si>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</si>
  <si>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</si>
  <si>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</si>
  <si>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</si>
  <si>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</si>
  <si>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</si>
  <si>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</si>
  <si>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</si>
  <si>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</si>
  <si>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</si>
  <si>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</si>
  <si>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</si>
  <si>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</si>
  <si>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</si>
  <si>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</si>
  <si>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</si>
  <si>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</si>
  <si>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</si>
  <si>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</si>
  <si>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</si>
  <si>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</si>
  <si>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</si>
  <si>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</si>
  <si>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</si>
  <si>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</si>
  <si>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2016</t>
  </si>
  <si>
    <t>REPORT 185 - HOSPITAL FINANCIAL AND STATISTICAL DATA ANALYSIS</t>
  </si>
  <si>
    <t xml:space="preserve">      FY 2014</t>
  </si>
  <si>
    <t xml:space="preserve">      FY 2015</t>
  </si>
  <si>
    <t xml:space="preserve">      FY 2016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</si>
  <si>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</si>
  <si>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</si>
  <si>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</si>
  <si>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</si>
  <si>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</si>
  <si>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</si>
  <si>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</si>
  <si>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</si>
  <si>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</si>
  <si>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</si>
  <si>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</si>
  <si>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</si>
  <si>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</si>
  <si>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</si>
  <si>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</si>
  <si>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</si>
  <si>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</si>
  <si>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</si>
  <si>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</si>
  <si>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</si>
  <si>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</si>
  <si>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</si>
  <si>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</si>
  <si>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</si>
  <si>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</si>
  <si>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</si>
  <si>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</si>
  <si>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</si>
  <si>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</si>
  <si>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</si>
  <si>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</si>
  <si>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</si>
  <si>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</si>
  <si>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</si>
  <si>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</si>
  <si>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</si>
  <si>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</si>
  <si>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</si>
  <si>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</si>
  <si>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</si>
  <si>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</si>
  <si>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</si>
  <si>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</si>
  <si>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</si>
  <si>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</si>
  <si>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</si>
  <si>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</si>
  <si>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</si>
  <si>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</si>
  <si>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</si>
  <si>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</si>
  <si>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</si>
  <si>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</si>
  <si>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</si>
  <si>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</si>
  <si>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</si>
  <si>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</si>
  <si>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</si>
  <si>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</si>
  <si>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</si>
  <si>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</si>
  <si>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</si>
  <si>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</si>
  <si>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</si>
  <si>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</si>
  <si>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</si>
  <si>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</si>
  <si>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</si>
  <si>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</si>
  <si>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</si>
  <si>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</si>
  <si>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</si>
  <si>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</si>
  <si>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</si>
  <si>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</si>
  <si>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</si>
  <si>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</si>
  <si>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</si>
  <si>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</si>
  <si>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</si>
  <si>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</si>
  <si>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</si>
  <si>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</si>
  <si>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</si>
  <si>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</si>
  <si>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</si>
  <si>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</si>
  <si>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</si>
  <si>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</si>
  <si>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</si>
  <si>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</si>
  <si>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</si>
  <si>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</si>
  <si>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</si>
  <si>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</si>
  <si>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</si>
  <si>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</si>
  <si>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</si>
  <si>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</si>
  <si>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</si>
  <si>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</si>
  <si>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</si>
  <si>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</si>
  <si>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</si>
  <si>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</si>
  <si>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</si>
  <si>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</si>
  <si>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</si>
  <si>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</si>
  <si>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</si>
  <si>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</si>
  <si>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</si>
  <si>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</si>
  <si>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</si>
  <si>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</si>
  <si>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</si>
  <si>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</si>
  <si>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2015 ACTUAL</t>
  </si>
  <si>
    <t>FY 2016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</si>
  <si>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</si>
  <si>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</si>
  <si>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</si>
  <si>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</si>
  <si>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</si>
  <si>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</si>
  <si>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</si>
  <si>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</si>
  <si>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</si>
  <si>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</si>
  <si>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</si>
  <si>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</si>
  <si>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</si>
  <si>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</si>
  <si>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</si>
  <si>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</si>
  <si>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</si>
  <si>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</si>
  <si>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</si>
  <si>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</si>
  <si>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</si>
  <si>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</si>
  <si>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</si>
  <si>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</si>
  <si>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</si>
  <si>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</si>
  <si>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</si>
  <si>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</si>
  <si>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</si>
  <si>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</si>
  <si>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</si>
  <si>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</si>
  <si>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</si>
  <si>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</si>
  <si>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</si>
  <si>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</si>
  <si>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2015 ACTUAL     </t>
  </si>
  <si>
    <t xml:space="preserve">      FY 2016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</si>
  <si>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</si>
  <si>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</si>
  <si>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</si>
  <si>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</si>
  <si>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</si>
  <si>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</si>
  <si>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</si>
  <si>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</si>
  <si>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</si>
  <si>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</si>
  <si>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</si>
  <si>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</si>
  <si>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</si>
  <si>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</si>
  <si>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</si>
  <si>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</si>
  <si>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</si>
  <si>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</si>
  <si>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</si>
  <si>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</si>
  <si>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</si>
  <si>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</si>
  <si>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</si>
  <si>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</si>
  <si>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STAMFORD HEALTH INC (FORMERLY STAMFORD HEALTH SYSTEM, INC)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</si>
  <si>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</si>
  <si>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</si>
  <si>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</si>
  <si>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</si>
  <si>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2014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</si>
  <si>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</si>
  <si>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</si>
  <si>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</si>
  <si>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</si>
  <si>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</si>
  <si>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</si>
  <si>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</si>
  <si>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</si>
  <si>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</si>
  <si>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</si>
  <si>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</si>
  <si>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</si>
  <si>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</si>
  <si>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</si>
  <si>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</si>
  <si>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</si>
  <si>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</si>
  <si>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</si>
  <si>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</si>
  <si>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</si>
  <si>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</si>
  <si>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</si>
  <si>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</si>
  <si>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</si>
  <si>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</si>
  <si>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</si>
  <si>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</si>
  <si>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</si>
  <si>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</si>
  <si>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</si>
  <si>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</si>
  <si>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</si>
  <si>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</si>
  <si>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</si>
  <si>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</si>
  <si>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</si>
  <si>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</si>
  <si>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</si>
  <si>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</si>
  <si>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</si>
  <si>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</si>
  <si>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</si>
  <si>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</si>
  <si>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</si>
  <si>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</si>
  <si>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</si>
  <si>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</si>
  <si>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</si>
  <si>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</si>
  <si>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</si>
  <si>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</si>
  <si>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</si>
  <si>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</si>
  <si>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</si>
  <si>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</si>
  <si>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</si>
  <si>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</si>
  <si>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</si>
  <si>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</si>
  <si>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</si>
  <si>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</si>
  <si>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</si>
  <si>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</si>
  <si>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</si>
  <si>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</si>
  <si>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</si>
  <si>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</si>
  <si>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</si>
  <si>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</si>
  <si>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</si>
  <si>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</si>
  <si>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</si>
  <si>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</si>
  <si>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</si>
  <si>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</si>
  <si>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</si>
  <si>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</si>
  <si>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</si>
  <si>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</si>
  <si>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</si>
  <si>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</si>
  <si>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</si>
  <si>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</si>
  <si>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</si>
  <si>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</si>
  <si>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</si>
  <si>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</si>
  <si>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</si>
  <si>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</si>
  <si>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</si>
  <si>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</si>
  <si>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</si>
  <si>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</si>
  <si>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</si>
  <si>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</si>
  <si>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</si>
  <si>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</si>
  <si>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</si>
  <si>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</si>
  <si>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</si>
  <si>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</si>
  <si>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</si>
  <si>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</si>
  <si>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</si>
  <si>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</si>
  <si>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</si>
  <si>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</si>
  <si>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</si>
  <si>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</si>
  <si>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</si>
  <si>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</si>
  <si>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</si>
  <si>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</si>
  <si>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</si>
  <si>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</si>
  <si>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Stamford Hospital</t>
  </si>
  <si>
    <t>Tully Health Center</t>
  </si>
  <si>
    <t>Total Outpatient Surgical Procedures(A)</t>
  </si>
  <si>
    <t>Total Outpatient Endoscopy Procedures(B)</t>
  </si>
  <si>
    <t>Outpatient Hospital Emergency Room Visits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</si>
  <si>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</si>
  <si>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</si>
  <si>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</si>
  <si>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</si>
  <si>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</si>
  <si>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</si>
  <si>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</si>
  <si>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</si>
  <si>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</si>
  <si>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</si>
  <si>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</si>
  <si>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</si>
  <si>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</si>
  <si>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</si>
  <si>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</si>
  <si>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</si>
  <si>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</si>
  <si>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</si>
  <si>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</si>
  <si>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</si>
  <si>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</si>
  <si>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</si>
  <si>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</si>
  <si>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</si>
  <si>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</si>
  <si>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</si>
  <si>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</si>
  <si>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</si>
  <si>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</si>
  <si>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</si>
  <si>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</si>
  <si>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</si>
  <si>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</si>
  <si>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</si>
  <si>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</si>
  <si>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</si>
  <si>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</si>
  <si>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</si>
  <si>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</si>
  <si>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</si>
  <si>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</si>
  <si>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</si>
  <si>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</si>
  <si>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</si>
  <si>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</si>
  <si>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</si>
  <si>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</si>
  <si>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</si>
  <si>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</si>
  <si>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</si>
  <si>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</si>
  <si>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</si>
  <si>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</si>
  <si>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</si>
  <si>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</si>
  <si>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</si>
  <si>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</si>
  <si>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</si>
  <si>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</si>
  <si>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</si>
  <si>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</si>
  <si>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</si>
  <si>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</si>
  <si>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</si>
  <si>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</si>
  <si>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</si>
  <si>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</si>
  <si>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</si>
  <si>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</si>
  <si>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</si>
  <si>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</si>
  <si>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</si>
  <si>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</si>
  <si>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</si>
  <si>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</si>
  <si>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</si>
  <si>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</si>
  <si>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</si>
  <si>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</si>
  <si>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</si>
  <si>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</si>
  <si>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</si>
  <si>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</si>
  <si>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</si>
  <si>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</si>
  <si>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</si>
  <si>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</si>
  <si>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</si>
  <si>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</si>
  <si>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</si>
  <si>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</si>
  <si>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</si>
  <si>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</si>
  <si>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</si>
  <si>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</si>
  <si>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</si>
  <si>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</si>
  <si>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</si>
  <si>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</si>
  <si>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</si>
  <si>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</si>
  <si>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</si>
  <si>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</si>
  <si>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</si>
  <si>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</si>
  <si>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</si>
  <si>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</si>
  <si>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</si>
  <si>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</si>
  <si>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</si>
  <si>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</si>
  <si>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</si>
  <si>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</si>
  <si>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</si>
  <si>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</si>
  <si>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</si>
  <si>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</si>
  <si>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</si>
  <si>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</si>
  <si>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</si>
  <si>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</si>
  <si>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</si>
  <si>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</si>
  <si>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</si>
  <si>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</si>
  <si>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</si>
  <si>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</si>
  <si>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</si>
  <si>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</si>
  <si>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</si>
  <si>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</si>
  <si>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</si>
  <si>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</si>
  <si>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</si>
  <si>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</si>
  <si>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</si>
  <si>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</si>
  <si>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</si>
  <si>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</si>
  <si>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</si>
  <si>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</si>
  <si>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</si>
  <si>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</si>
  <si>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</si>
  <si>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2016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</si>
  <si>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</si>
  <si>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</si>
  <si>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2015</t>
    </r>
  </si>
  <si>
    <r>
      <t xml:space="preserve">ACTUAL            </t>
    </r>
    <r>
      <rPr>
        <b/>
        <u/>
        <sz val="12"/>
        <rFont val="Arial"/>
        <family val="2"/>
      </rPr>
      <t>FY 2016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</si>
  <si>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</si>
  <si>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</si>
  <si>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</si>
  <si>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</si>
  <si>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</si>
  <si>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</si>
  <si>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</si>
  <si>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</si>
  <si>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</si>
  <si>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</si>
  <si>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</si>
  <si>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</si>
  <si>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</si>
  <si>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</si>
  <si>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</si>
  <si>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</si>
  <si>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</si>
  <si>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</si>
  <si>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</si>
  <si>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</si>
  <si>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</si>
  <si>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</si>
  <si>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</si>
  <si>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</si>
  <si>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</si>
  <si>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</si>
  <si>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</si>
  <si>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</si>
  <si>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</si>
  <si>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</si>
  <si>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</si>
  <si>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</si>
  <si>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</si>
  <si>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</si>
  <si>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</si>
  <si>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</si>
  <si>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</si>
  <si>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</si>
  <si>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</si>
  <si>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</si>
  <si>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</si>
  <si>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</si>
  <si>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</si>
  <si>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</si>
  <si>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</si>
  <si>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</si>
  <si>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</si>
  <si>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</si>
  <si>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</si>
  <si>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</si>
  <si>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</si>
  <si>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</si>
  <si>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</si>
  <si>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</si>
  <si>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</si>
  <si>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</si>
  <si>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</si>
  <si>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</si>
  <si>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</si>
  <si>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</si>
  <si>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</si>
  <si>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</si>
  <si>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</si>
  <si>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</si>
  <si>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</si>
  <si>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</si>
  <si>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</si>
  <si>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</si>
  <si>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</si>
  <si>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</si>
  <si>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</si>
  <si>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</si>
  <si>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</si>
  <si>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</si>
  <si>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</si>
  <si>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</si>
  <si>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</si>
  <si>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</si>
  <si>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</si>
  <si>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</si>
  <si>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</si>
  <si>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</si>
  <si>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</si>
  <si>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</si>
  <si>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</si>
  <si>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</si>
  <si>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</si>
  <si>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</si>
  <si>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</si>
  <si>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</si>
  <si>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</si>
  <si>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</si>
  <si>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</si>
  <si>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</si>
  <si>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</si>
  <si>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</si>
  <si>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</si>
  <si>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2016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</si>
  <si>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</si>
  <si>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</si>
  <si>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</si>
  <si>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</si>
  <si>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</si>
  <si>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</si>
  <si>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</si>
  <si>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</si>
  <si>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</si>
  <si>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</si>
  <si>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</si>
  <si>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</si>
  <si>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</si>
  <si>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</si>
  <si>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</si>
  <si>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</si>
  <si>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</si>
  <si>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</si>
  <si>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</si>
  <si>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</si>
  <si>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</si>
  <si>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</si>
  <si>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</si>
  <si>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</si>
  <si>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</si>
  <si>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</si>
  <si>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</si>
  <si>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</si>
  <si>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</si>
  <si>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</si>
  <si>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</si>
  <si>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</si>
  <si>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</si>
  <si>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</si>
  <si>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</si>
  <si>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</si>
  <si>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</si>
  <si>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</si>
  <si>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</si>
  <si>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</si>
  <si>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</si>
  <si>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</si>
  <si>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</si>
  <si>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</si>
  <si>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</si>
  <si>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</si>
  <si>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</si>
  <si>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</si>
  <si>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</si>
  <si>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</si>
  <si>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</si>
  <si>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</si>
  <si>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</si>
  <si>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</si>
  <si>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</si>
  <si>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2014</t>
    </r>
  </si>
  <si>
    <r>
      <t xml:space="preserve">ACTUAL          </t>
    </r>
    <r>
      <rPr>
        <b/>
        <u/>
        <sz val="14"/>
        <rFont val="Arial"/>
        <family val="2"/>
      </rPr>
      <t>FY 2015</t>
    </r>
  </si>
  <si>
    <r>
      <t xml:space="preserve">ACTUAL          </t>
    </r>
    <r>
      <rPr>
        <b/>
        <u/>
        <sz val="14"/>
        <rFont val="Arial"/>
        <family val="2"/>
      </rPr>
      <t>FY 2016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</si>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</sst>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6" xfId="7" applyFill="1" applyBorder="1" applyAlignment="1">
      <alignment horizontal="center"/>
    </xf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7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4" fillId="0" borderId="12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zoomScale="75" zoomScaleSheetLayoutView="75" workbookViewId="0">
      <selection sqref="A1:F1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3" width="17.85546875" style="1" bestFit="1" customWidth="1"/>
    <col min="4" max="4" width="18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127288000</v>
      </c>
      <c r="D13" s="22">
        <v>123543000</v>
      </c>
      <c r="E13" s="22">
        <f t="shared" ref="E13:E22" si="0">D13-C13</f>
        <v>-3745000</v>
      </c>
      <c r="F13" s="23">
        <f t="shared" ref="F13:F22" si="1">IF(C13=0,0,E13/C13)</f>
        <v>-2.9421469423669161E-2</v>
      </c>
    </row>
    <row r="14" spans="1:8" ht="24" customHeight="1" x14ac:dyDescent="0.2">
      <c r="A14" s="20">
        <v>2</v>
      </c>
      <c r="B14" s="21" t="s">
        <v>17</v>
      </c>
      <c r="C14" s="22">
        <v>53000</v>
      </c>
      <c r="D14" s="22">
        <v>45000</v>
      </c>
      <c r="E14" s="22">
        <f t="shared" si="0"/>
        <v>-8000</v>
      </c>
      <c r="F14" s="23">
        <f t="shared" si="1"/>
        <v>-0.15094339622641509</v>
      </c>
    </row>
    <row r="15" spans="1:8" ht="24" customHeight="1" x14ac:dyDescent="0.2">
      <c r="A15" s="20">
        <v>3</v>
      </c>
      <c r="B15" s="21" t="s">
        <v>18</v>
      </c>
      <c r="C15" s="22">
        <v>72727000</v>
      </c>
      <c r="D15" s="22">
        <v>73153000</v>
      </c>
      <c r="E15" s="22">
        <f t="shared" si="0"/>
        <v>426000</v>
      </c>
      <c r="F15" s="23">
        <f t="shared" si="1"/>
        <v>5.8575219657073718E-3</v>
      </c>
    </row>
    <row r="16" spans="1:8" ht="24" customHeight="1" x14ac:dyDescent="0.2">
      <c r="A16" s="20">
        <v>4</v>
      </c>
      <c r="B16" s="21" t="s">
        <v>19</v>
      </c>
      <c r="C16" s="22">
        <v>103000</v>
      </c>
      <c r="D16" s="22">
        <v>100000</v>
      </c>
      <c r="E16" s="22">
        <f t="shared" si="0"/>
        <v>-3000</v>
      </c>
      <c r="F16" s="23">
        <f t="shared" si="1"/>
        <v>-2.9126213592233011E-2</v>
      </c>
    </row>
    <row r="17" spans="1:11" ht="24" customHeight="1" x14ac:dyDescent="0.2">
      <c r="A17" s="20">
        <v>5</v>
      </c>
      <c r="B17" s="21" t="s">
        <v>20</v>
      </c>
      <c r="C17" s="22">
        <v>0</v>
      </c>
      <c r="D17" s="22">
        <v>0</v>
      </c>
      <c r="E17" s="22">
        <f t="shared" si="0"/>
        <v>0</v>
      </c>
      <c r="F17" s="23">
        <f t="shared" si="1"/>
        <v>0</v>
      </c>
    </row>
    <row r="18" spans="1:11" ht="24" customHeight="1" x14ac:dyDescent="0.2">
      <c r="A18" s="20">
        <v>6</v>
      </c>
      <c r="B18" s="21" t="s">
        <v>21</v>
      </c>
      <c r="C18" s="22">
        <v>265000</v>
      </c>
      <c r="D18" s="22">
        <v>46000</v>
      </c>
      <c r="E18" s="22">
        <f t="shared" si="0"/>
        <v>-219000</v>
      </c>
      <c r="F18" s="23">
        <f t="shared" si="1"/>
        <v>-0.82641509433962268</v>
      </c>
    </row>
    <row r="19" spans="1:11" ht="24" customHeight="1" x14ac:dyDescent="0.2">
      <c r="A19" s="20">
        <v>7</v>
      </c>
      <c r="B19" s="21" t="s">
        <v>22</v>
      </c>
      <c r="C19" s="22">
        <v>7430000</v>
      </c>
      <c r="D19" s="22">
        <v>7590000</v>
      </c>
      <c r="E19" s="22">
        <f t="shared" si="0"/>
        <v>160000</v>
      </c>
      <c r="F19" s="23">
        <f t="shared" si="1"/>
        <v>2.1534320323014805E-2</v>
      </c>
    </row>
    <row r="20" spans="1:11" ht="24" customHeight="1" x14ac:dyDescent="0.2">
      <c r="A20" s="20">
        <v>8</v>
      </c>
      <c r="B20" s="21" t="s">
        <v>23</v>
      </c>
      <c r="C20" s="22">
        <v>7573000</v>
      </c>
      <c r="D20" s="22">
        <v>6057000</v>
      </c>
      <c r="E20" s="22">
        <f t="shared" si="0"/>
        <v>-1516000</v>
      </c>
      <c r="F20" s="23">
        <f t="shared" si="1"/>
        <v>-0.20018486729169419</v>
      </c>
    </row>
    <row r="21" spans="1:11" ht="24" customHeight="1" x14ac:dyDescent="0.2">
      <c r="A21" s="20">
        <v>9</v>
      </c>
      <c r="B21" s="21" t="s">
        <v>24</v>
      </c>
      <c r="C21" s="22">
        <v>10491000</v>
      </c>
      <c r="D21" s="22">
        <v>7713000</v>
      </c>
      <c r="E21" s="22">
        <f t="shared" si="0"/>
        <v>-2778000</v>
      </c>
      <c r="F21" s="23">
        <f t="shared" si="1"/>
        <v>-0.2647983986273949</v>
      </c>
    </row>
    <row r="22" spans="1:11" ht="24" customHeight="1" x14ac:dyDescent="0.25">
      <c r="A22" s="24"/>
      <c r="B22" s="25" t="s">
        <v>25</v>
      </c>
      <c r="C22" s="26">
        <f>SUM(C13:C21)</f>
        <v>225930000</v>
      </c>
      <c r="D22" s="26">
        <f>SUM(D13:D21)</f>
        <v>218247000</v>
      </c>
      <c r="E22" s="26">
        <f t="shared" si="0"/>
        <v>-7683000</v>
      </c>
      <c r="F22" s="27">
        <f t="shared" si="1"/>
        <v>-3.400610808657549E-2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0</v>
      </c>
      <c r="D25" s="22">
        <v>55952000</v>
      </c>
      <c r="E25" s="22">
        <f>D25-C25</f>
        <v>55952000</v>
      </c>
      <c r="F25" s="23">
        <f>IF(C25=0,0,E25/C25)</f>
        <v>0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0</v>
      </c>
      <c r="D26" s="22">
        <v>0</v>
      </c>
      <c r="E26" s="22">
        <f>D26-C26</f>
        <v>0</v>
      </c>
      <c r="F26" s="23">
        <f>IF(C26=0,0,E26/C26)</f>
        <v>0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0</v>
      </c>
      <c r="D27" s="22">
        <v>0</v>
      </c>
      <c r="E27" s="22">
        <f>D27-C27</f>
        <v>0</v>
      </c>
      <c r="F27" s="23">
        <f>IF(C27=0,0,E27/C27)</f>
        <v>0</v>
      </c>
    </row>
    <row r="28" spans="1:11" ht="24" customHeight="1" x14ac:dyDescent="0.2">
      <c r="A28" s="20">
        <v>4</v>
      </c>
      <c r="B28" s="21" t="s">
        <v>31</v>
      </c>
      <c r="C28" s="22">
        <v>26337000</v>
      </c>
      <c r="D28" s="22">
        <v>23564000</v>
      </c>
      <c r="E28" s="22">
        <f>D28-C28</f>
        <v>-2773000</v>
      </c>
      <c r="F28" s="23">
        <f>IF(C28=0,0,E28/C28)</f>
        <v>-0.10528913695561377</v>
      </c>
    </row>
    <row r="29" spans="1:11" ht="24" customHeight="1" x14ac:dyDescent="0.25">
      <c r="A29" s="24"/>
      <c r="B29" s="25" t="s">
        <v>32</v>
      </c>
      <c r="C29" s="26">
        <f>SUM(C25:C28)</f>
        <v>26337000</v>
      </c>
      <c r="D29" s="26">
        <f>SUM(D25:D28)</f>
        <v>79516000</v>
      </c>
      <c r="E29" s="26">
        <f>D29-C29</f>
        <v>53179000</v>
      </c>
      <c r="F29" s="27">
        <f>IF(C29=0,0,E29/C29)</f>
        <v>2.0191745453164751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0</v>
      </c>
      <c r="D31" s="22">
        <v>0</v>
      </c>
      <c r="E31" s="22">
        <f>D31-C31</f>
        <v>0</v>
      </c>
      <c r="F31" s="23">
        <f>IF(C31=0,0,E31/C31)</f>
        <v>0</v>
      </c>
    </row>
    <row r="32" spans="1:11" ht="24" customHeight="1" x14ac:dyDescent="0.2">
      <c r="A32" s="20">
        <v>6</v>
      </c>
      <c r="B32" s="21" t="s">
        <v>34</v>
      </c>
      <c r="C32" s="22">
        <v>83859000</v>
      </c>
      <c r="D32" s="22">
        <v>63455000</v>
      </c>
      <c r="E32" s="22">
        <f>D32-C32</f>
        <v>-20404000</v>
      </c>
      <c r="F32" s="23">
        <f>IF(C32=0,0,E32/C32)</f>
        <v>-0.243313180457673</v>
      </c>
    </row>
    <row r="33" spans="1:8" ht="24" customHeight="1" x14ac:dyDescent="0.2">
      <c r="A33" s="20">
        <v>7</v>
      </c>
      <c r="B33" s="21" t="s">
        <v>35</v>
      </c>
      <c r="C33" s="22">
        <v>32063000</v>
      </c>
      <c r="D33" s="22">
        <v>34232000</v>
      </c>
      <c r="E33" s="22">
        <f>D33-C33</f>
        <v>2169000</v>
      </c>
      <c r="F33" s="23">
        <f>IF(C33=0,0,E33/C33)</f>
        <v>6.7648067866388051E-2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570171000</v>
      </c>
      <c r="D36" s="22">
        <v>1002506000</v>
      </c>
      <c r="E36" s="22">
        <f>D36-C36</f>
        <v>432335000</v>
      </c>
      <c r="F36" s="23">
        <f>IF(C36=0,0,E36/C36)</f>
        <v>0.75825497964645694</v>
      </c>
    </row>
    <row r="37" spans="1:8" ht="24" customHeight="1" x14ac:dyDescent="0.2">
      <c r="A37" s="20">
        <v>2</v>
      </c>
      <c r="B37" s="21" t="s">
        <v>39</v>
      </c>
      <c r="C37" s="22">
        <v>373304000</v>
      </c>
      <c r="D37" s="22">
        <v>371976000</v>
      </c>
      <c r="E37" s="22">
        <f>D37-C37</f>
        <v>-1328000</v>
      </c>
      <c r="F37" s="23">
        <f>IF(C37=0,0,E37/C37)</f>
        <v>-3.5574223689004134E-3</v>
      </c>
    </row>
    <row r="38" spans="1:8" ht="24" customHeight="1" x14ac:dyDescent="0.25">
      <c r="A38" s="24"/>
      <c r="B38" s="25" t="s">
        <v>40</v>
      </c>
      <c r="C38" s="26">
        <f>C36-C37</f>
        <v>196867000</v>
      </c>
      <c r="D38" s="26">
        <f>D36-D37</f>
        <v>630530000</v>
      </c>
      <c r="E38" s="26">
        <f>D38-C38</f>
        <v>433663000</v>
      </c>
      <c r="F38" s="27">
        <f>IF(C38=0,0,E38/C38)</f>
        <v>2.2028222099183714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340910000</v>
      </c>
      <c r="D40" s="22">
        <v>10303000</v>
      </c>
      <c r="E40" s="22">
        <f>D40-C40</f>
        <v>-330607000</v>
      </c>
      <c r="F40" s="23">
        <f>IF(C40=0,0,E40/C40)</f>
        <v>-0.96977794725880728</v>
      </c>
    </row>
    <row r="41" spans="1:8" ht="24" customHeight="1" x14ac:dyDescent="0.25">
      <c r="A41" s="24"/>
      <c r="B41" s="25" t="s">
        <v>42</v>
      </c>
      <c r="C41" s="26">
        <f>+C38+C40</f>
        <v>537777000</v>
      </c>
      <c r="D41" s="26">
        <f>+D38+D40</f>
        <v>640833000</v>
      </c>
      <c r="E41" s="26">
        <f>D41-C41</f>
        <v>103056000</v>
      </c>
      <c r="F41" s="27">
        <f>IF(C41=0,0,E41/C41)</f>
        <v>0.19163333500688948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905966000</v>
      </c>
      <c r="D43" s="26">
        <f>D22+D29+D31+D32+D33+D41</f>
        <v>1036283000</v>
      </c>
      <c r="E43" s="26">
        <f>D43-C43</f>
        <v>130317000</v>
      </c>
      <c r="F43" s="27">
        <f>IF(C43=0,0,E43/C43)</f>
        <v>0.14384314643154378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77183000</v>
      </c>
      <c r="D49" s="22">
        <v>79387000</v>
      </c>
      <c r="E49" s="22">
        <f t="shared" ref="E49:E56" si="2">D49-C49</f>
        <v>2204000</v>
      </c>
      <c r="F49" s="23">
        <f t="shared" ref="F49:F56" si="3">IF(C49=0,0,E49/C49)</f>
        <v>2.8555510928572354E-2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11627000</v>
      </c>
      <c r="D50" s="22">
        <v>11781000</v>
      </c>
      <c r="E50" s="22">
        <f t="shared" si="2"/>
        <v>154000</v>
      </c>
      <c r="F50" s="23">
        <f t="shared" si="3"/>
        <v>1.3245033112582781E-2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7801000</v>
      </c>
      <c r="D51" s="22">
        <v>5359000</v>
      </c>
      <c r="E51" s="22">
        <f t="shared" si="2"/>
        <v>-2442000</v>
      </c>
      <c r="F51" s="23">
        <f t="shared" si="3"/>
        <v>-0.31303679015510832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0</v>
      </c>
      <c r="D52" s="22">
        <v>0</v>
      </c>
      <c r="E52" s="22">
        <f t="shared" si="2"/>
        <v>0</v>
      </c>
      <c r="F52" s="23">
        <f t="shared" si="3"/>
        <v>0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5693000</v>
      </c>
      <c r="D53" s="22">
        <v>7345000</v>
      </c>
      <c r="E53" s="22">
        <f t="shared" si="2"/>
        <v>1652000</v>
      </c>
      <c r="F53" s="23">
        <f t="shared" si="3"/>
        <v>0.29018092394168277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0</v>
      </c>
      <c r="D54" s="22">
        <v>0</v>
      </c>
      <c r="E54" s="22">
        <f t="shared" si="2"/>
        <v>0</v>
      </c>
      <c r="F54" s="23">
        <f t="shared" si="3"/>
        <v>0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19702000</v>
      </c>
      <c r="D55" s="22">
        <v>19549000</v>
      </c>
      <c r="E55" s="22">
        <f t="shared" si="2"/>
        <v>-153000</v>
      </c>
      <c r="F55" s="23">
        <f t="shared" si="3"/>
        <v>-7.7657090650695357E-3</v>
      </c>
    </row>
    <row r="56" spans="1:6" ht="24" customHeight="1" x14ac:dyDescent="0.25">
      <c r="A56" s="24"/>
      <c r="B56" s="25" t="s">
        <v>54</v>
      </c>
      <c r="C56" s="26">
        <f>SUM(C49:C55)</f>
        <v>122006000</v>
      </c>
      <c r="D56" s="26">
        <f>SUM(D49:D55)</f>
        <v>123421000</v>
      </c>
      <c r="E56" s="26">
        <f t="shared" si="2"/>
        <v>1415000</v>
      </c>
      <c r="F56" s="27">
        <f t="shared" si="3"/>
        <v>1.1597790272609544E-2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362280000</v>
      </c>
      <c r="D59" s="22">
        <v>401228000</v>
      </c>
      <c r="E59" s="22">
        <f>D59-C59</f>
        <v>38948000</v>
      </c>
      <c r="F59" s="23">
        <f>IF(C59=0,0,E59/C59)</f>
        <v>0.10750800485812079</v>
      </c>
    </row>
    <row r="60" spans="1:6" ht="24" customHeight="1" x14ac:dyDescent="0.2">
      <c r="A60" s="20">
        <v>2</v>
      </c>
      <c r="B60" s="21" t="s">
        <v>57</v>
      </c>
      <c r="C60" s="22">
        <v>0</v>
      </c>
      <c r="D60" s="22">
        <v>0</v>
      </c>
      <c r="E60" s="22">
        <f>D60-C60</f>
        <v>0</v>
      </c>
      <c r="F60" s="23">
        <f>IF(C60=0,0,E60/C60)</f>
        <v>0</v>
      </c>
    </row>
    <row r="61" spans="1:6" ht="24" customHeight="1" x14ac:dyDescent="0.25">
      <c r="A61" s="24"/>
      <c r="B61" s="25" t="s">
        <v>58</v>
      </c>
      <c r="C61" s="26">
        <f>SUM(C59:C60)</f>
        <v>362280000</v>
      </c>
      <c r="D61" s="26">
        <f>SUM(D59:D60)</f>
        <v>401228000</v>
      </c>
      <c r="E61" s="26">
        <f>D61-C61</f>
        <v>38948000</v>
      </c>
      <c r="F61" s="27">
        <f>IF(C61=0,0,E61/C61)</f>
        <v>0.10750800485812079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77424000</v>
      </c>
      <c r="D63" s="22">
        <v>112003000</v>
      </c>
      <c r="E63" s="22">
        <f>D63-C63</f>
        <v>34579000</v>
      </c>
      <c r="F63" s="23">
        <f>IF(C63=0,0,E63/C63)</f>
        <v>0.44661861954949372</v>
      </c>
    </row>
    <row r="64" spans="1:6" ht="24" customHeight="1" x14ac:dyDescent="0.2">
      <c r="A64" s="20">
        <v>4</v>
      </c>
      <c r="B64" s="21" t="s">
        <v>60</v>
      </c>
      <c r="C64" s="22">
        <v>34782000</v>
      </c>
      <c r="D64" s="22">
        <v>32811000</v>
      </c>
      <c r="E64" s="22">
        <f>D64-C64</f>
        <v>-1971000</v>
      </c>
      <c r="F64" s="23">
        <f>IF(C64=0,0,E64/C64)</f>
        <v>-5.6667241676729339E-2</v>
      </c>
    </row>
    <row r="65" spans="1:6" ht="24" customHeight="1" x14ac:dyDescent="0.25">
      <c r="A65" s="24"/>
      <c r="B65" s="25" t="s">
        <v>61</v>
      </c>
      <c r="C65" s="26">
        <f>SUM(C61:C64)</f>
        <v>474486000</v>
      </c>
      <c r="D65" s="26">
        <f>SUM(D61:D64)</f>
        <v>546042000</v>
      </c>
      <c r="E65" s="26">
        <f>D65-C65</f>
        <v>71556000</v>
      </c>
      <c r="F65" s="27">
        <f>IF(C65=0,0,E65/C65)</f>
        <v>0.15080740000758716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218717000</v>
      </c>
      <c r="D70" s="22">
        <v>283719000</v>
      </c>
      <c r="E70" s="22">
        <f>D70-C70</f>
        <v>65002000</v>
      </c>
      <c r="F70" s="23">
        <f>IF(C70=0,0,E70/C70)</f>
        <v>0.29719683426528343</v>
      </c>
    </row>
    <row r="71" spans="1:6" ht="24" customHeight="1" x14ac:dyDescent="0.2">
      <c r="A71" s="20">
        <v>2</v>
      </c>
      <c r="B71" s="21" t="s">
        <v>65</v>
      </c>
      <c r="C71" s="22">
        <v>82312000</v>
      </c>
      <c r="D71" s="22">
        <v>21655000</v>
      </c>
      <c r="E71" s="22">
        <f>D71-C71</f>
        <v>-60657000</v>
      </c>
      <c r="F71" s="23">
        <f>IF(C71=0,0,E71/C71)</f>
        <v>-0.7369156380600641</v>
      </c>
    </row>
    <row r="72" spans="1:6" ht="24" customHeight="1" x14ac:dyDescent="0.2">
      <c r="A72" s="20">
        <v>3</v>
      </c>
      <c r="B72" s="21" t="s">
        <v>66</v>
      </c>
      <c r="C72" s="22">
        <v>8445000</v>
      </c>
      <c r="D72" s="22">
        <v>61446000</v>
      </c>
      <c r="E72" s="22">
        <f>D72-C72</f>
        <v>53001000</v>
      </c>
      <c r="F72" s="23">
        <f>IF(C72=0,0,E72/C72)</f>
        <v>6.2760213143872114</v>
      </c>
    </row>
    <row r="73" spans="1:6" ht="24" customHeight="1" x14ac:dyDescent="0.25">
      <c r="A73" s="20"/>
      <c r="B73" s="25" t="s">
        <v>67</v>
      </c>
      <c r="C73" s="26">
        <f>SUM(C70:C72)</f>
        <v>309474000</v>
      </c>
      <c r="D73" s="26">
        <f>SUM(D70:D72)</f>
        <v>366820000</v>
      </c>
      <c r="E73" s="26">
        <f>D73-C73</f>
        <v>57346000</v>
      </c>
      <c r="F73" s="27">
        <f>IF(C73=0,0,E73/C73)</f>
        <v>0.18530151159709701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905966000</v>
      </c>
      <c r="D75" s="26">
        <f>D56+D65+D67+D73</f>
        <v>1036283000</v>
      </c>
      <c r="E75" s="26">
        <f>D75-C75</f>
        <v>130317000</v>
      </c>
      <c r="F75" s="27">
        <f>IF(C75=0,0,E75/C75)</f>
        <v>0.14384314643154378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9" fitToHeight="0" orientation="portrait" horizontalDpi="1200" verticalDpi="1200" r:id="rId1"/>
  <headerFooter>
    <oddHeader>&amp;LOFFICE OF HEALTH CARE ACCESS&amp;CTWELVE MONTHS ACTUAL FILING&amp;RSTAMFORD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zoomScale="70" zoomScaleSheetLayoutView="75" workbookViewId="0">
      <selection activeCell="E80" sqref="E80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496036287</v>
      </c>
      <c r="D11" s="76">
        <v>521110947</v>
      </c>
      <c r="E11" s="76">
        <v>544620837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25832166</v>
      </c>
      <c r="D12" s="185">
        <v>19319772</v>
      </c>
      <c r="E12" s="185">
        <v>18922568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521868453</v>
      </c>
      <c r="D13" s="76">
        <f>+D11+D12</f>
        <v>540430719</v>
      </c>
      <c r="E13" s="76">
        <f>+E11+E12</f>
        <v>563543405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513310031</v>
      </c>
      <c r="D14" s="185">
        <v>525445808</v>
      </c>
      <c r="E14" s="185">
        <v>558411539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8558422</v>
      </c>
      <c r="D15" s="76">
        <f>+D13-D14</f>
        <v>14984911</v>
      </c>
      <c r="E15" s="76">
        <f>+E13-E14</f>
        <v>5131866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8978023</v>
      </c>
      <c r="D16" s="185">
        <v>-2577936</v>
      </c>
      <c r="E16" s="185">
        <v>5470059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17536445</v>
      </c>
      <c r="D17" s="76">
        <f>D15+D16</f>
        <v>12406975</v>
      </c>
      <c r="E17" s="76">
        <f>E15+E16</f>
        <v>10601925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1.6122216849754505E-2</v>
      </c>
      <c r="D20" s="189">
        <f>IF(+D27=0,0,+D24/+D27)</f>
        <v>2.786061813498137E-2</v>
      </c>
      <c r="E20" s="189">
        <f>IF(+E27=0,0,+E24/+E27)</f>
        <v>9.0188832508891221E-3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1.691265442251895E-2</v>
      </c>
      <c r="D21" s="189">
        <f>IF(+D27=0,0,+D26/+D27)</f>
        <v>-4.7930141508629141E-3</v>
      </c>
      <c r="E21" s="189">
        <f>IF(+E27=0,0,+E26/+E27)</f>
        <v>9.6132329831829771E-3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3.3034871272273454E-2</v>
      </c>
      <c r="D22" s="189">
        <f>IF(+D27=0,0,+D28/+D27)</f>
        <v>2.3067603984118456E-2</v>
      </c>
      <c r="E22" s="189">
        <f>IF(+E27=0,0,+E28/+E27)</f>
        <v>1.8632116234072099E-2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8558422</v>
      </c>
      <c r="D24" s="76">
        <f>+D15</f>
        <v>14984911</v>
      </c>
      <c r="E24" s="76">
        <f>+E15</f>
        <v>5131866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521868453</v>
      </c>
      <c r="D25" s="76">
        <f>+D13</f>
        <v>540430719</v>
      </c>
      <c r="E25" s="76">
        <f>+E13</f>
        <v>563543405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8978023</v>
      </c>
      <c r="D26" s="76">
        <f>+D16</f>
        <v>-2577936</v>
      </c>
      <c r="E26" s="76">
        <f>+E16</f>
        <v>5470059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530846476</v>
      </c>
      <c r="D27" s="76">
        <f>SUM(D25:D26)</f>
        <v>537852783</v>
      </c>
      <c r="E27" s="76">
        <f>SUM(E25:E26)</f>
        <v>569013464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17536445</v>
      </c>
      <c r="D28" s="76">
        <f>+D17</f>
        <v>12406975</v>
      </c>
      <c r="E28" s="76">
        <f>+E17</f>
        <v>10601925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339225000</v>
      </c>
      <c r="D31" s="76">
        <v>344214000</v>
      </c>
      <c r="E31" s="76">
        <v>411293000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409047000</v>
      </c>
      <c r="D32" s="76">
        <v>437379000</v>
      </c>
      <c r="E32" s="76">
        <v>496802000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17902000</v>
      </c>
      <c r="D33" s="76">
        <f>+D32-C32</f>
        <v>28332000</v>
      </c>
      <c r="E33" s="76">
        <f>+E32-D32</f>
        <v>59423000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1.0457000000000001</v>
      </c>
      <c r="D34" s="193">
        <f>IF(C32=0,0,+D33/C32)</f>
        <v>6.9263434275278882E-2</v>
      </c>
      <c r="E34" s="193">
        <f>IF(D32=0,0,+E33/D32)</f>
        <v>0.13586157543000463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1.4800005713102287</v>
      </c>
      <c r="D38" s="338">
        <f>IF(+D40=0,0,+D39/+D40)</f>
        <v>1.5892501439358344</v>
      </c>
      <c r="E38" s="338">
        <f>IF(+E40=0,0,+E39/+E40)</f>
        <v>1.4883325026377283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207243000</v>
      </c>
      <c r="D39" s="341">
        <v>240150000</v>
      </c>
      <c r="E39" s="341">
        <v>229931000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140029000</v>
      </c>
      <c r="D40" s="341">
        <v>151109000</v>
      </c>
      <c r="E40" s="341">
        <v>154489000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82.070960117745898</v>
      </c>
      <c r="D42" s="343">
        <f>IF((D48/365)=0,0,+D45/(D48/365))</f>
        <v>98.503364802729806</v>
      </c>
      <c r="E42" s="343">
        <f>IF((E48/365)=0,0,+E45/(E48/365))</f>
        <v>90.444982232962602</v>
      </c>
    </row>
    <row r="43" spans="1:14" ht="24" customHeight="1" x14ac:dyDescent="0.2">
      <c r="A43" s="339">
        <v>5</v>
      </c>
      <c r="B43" s="344" t="s">
        <v>16</v>
      </c>
      <c r="C43" s="345">
        <v>109623000</v>
      </c>
      <c r="D43" s="345">
        <v>134849000</v>
      </c>
      <c r="E43" s="345">
        <v>129578000</v>
      </c>
    </row>
    <row r="44" spans="1:14" ht="24" customHeight="1" x14ac:dyDescent="0.2">
      <c r="A44" s="339">
        <v>6</v>
      </c>
      <c r="B44" s="346" t="s">
        <v>17</v>
      </c>
      <c r="C44" s="345">
        <v>58000</v>
      </c>
      <c r="D44" s="345">
        <v>53000</v>
      </c>
      <c r="E44" s="345">
        <v>45000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109681000</v>
      </c>
      <c r="D45" s="341">
        <f>+D43+D44</f>
        <v>134902000</v>
      </c>
      <c r="E45" s="341">
        <f>+E43+E44</f>
        <v>129623000</v>
      </c>
    </row>
    <row r="46" spans="1:14" ht="24" customHeight="1" x14ac:dyDescent="0.2">
      <c r="A46" s="339">
        <v>8</v>
      </c>
      <c r="B46" s="340" t="s">
        <v>334</v>
      </c>
      <c r="C46" s="341">
        <f>+C14</f>
        <v>513310031</v>
      </c>
      <c r="D46" s="341">
        <f>+D14</f>
        <v>525445808</v>
      </c>
      <c r="E46" s="341">
        <f>+E14</f>
        <v>558411539</v>
      </c>
    </row>
    <row r="47" spans="1:14" ht="24" customHeight="1" x14ac:dyDescent="0.2">
      <c r="A47" s="339">
        <v>9</v>
      </c>
      <c r="B47" s="340" t="s">
        <v>356</v>
      </c>
      <c r="C47" s="341">
        <v>25517943</v>
      </c>
      <c r="D47" s="341">
        <v>25572224</v>
      </c>
      <c r="E47" s="341">
        <v>35304631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487792088</v>
      </c>
      <c r="D48" s="341">
        <f>+D46-D47</f>
        <v>499873584</v>
      </c>
      <c r="E48" s="341">
        <f>+E46-E47</f>
        <v>523106908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43.495840053330618</v>
      </c>
      <c r="D50" s="350">
        <f>IF((D55/365)=0,0,+D54/(D55/365))</f>
        <v>42.615358836436037</v>
      </c>
      <c r="E50" s="350">
        <f>IF((E55/365)=0,0,+E54/(E55/365))</f>
        <v>43.677689842043264</v>
      </c>
    </row>
    <row r="51" spans="1:5" ht="24" customHeight="1" x14ac:dyDescent="0.2">
      <c r="A51" s="339">
        <v>12</v>
      </c>
      <c r="B51" s="344" t="s">
        <v>359</v>
      </c>
      <c r="C51" s="351">
        <v>73832000</v>
      </c>
      <c r="D51" s="351">
        <v>77483000</v>
      </c>
      <c r="E51" s="351">
        <v>77844000</v>
      </c>
    </row>
    <row r="52" spans="1:5" ht="24" customHeight="1" x14ac:dyDescent="0.2">
      <c r="A52" s="339">
        <v>13</v>
      </c>
      <c r="B52" s="344" t="s">
        <v>21</v>
      </c>
      <c r="C52" s="341">
        <v>2838000</v>
      </c>
      <c r="D52" s="341">
        <v>265000</v>
      </c>
      <c r="E52" s="341">
        <v>46000</v>
      </c>
    </row>
    <row r="53" spans="1:5" ht="24" customHeight="1" x14ac:dyDescent="0.2">
      <c r="A53" s="339">
        <v>14</v>
      </c>
      <c r="B53" s="344" t="s">
        <v>49</v>
      </c>
      <c r="C53" s="341">
        <v>17559000</v>
      </c>
      <c r="D53" s="341">
        <v>16906000</v>
      </c>
      <c r="E53" s="341">
        <v>12718000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59111000</v>
      </c>
      <c r="D54" s="352">
        <f>+D51+D52-D53</f>
        <v>60842000</v>
      </c>
      <c r="E54" s="352">
        <f>+E51+E52-E53</f>
        <v>65172000</v>
      </c>
    </row>
    <row r="55" spans="1:5" ht="24" customHeight="1" x14ac:dyDescent="0.2">
      <c r="A55" s="339">
        <v>16</v>
      </c>
      <c r="B55" s="340" t="s">
        <v>75</v>
      </c>
      <c r="C55" s="341">
        <f>+C11</f>
        <v>496036287</v>
      </c>
      <c r="D55" s="341">
        <f>+D11</f>
        <v>521110947</v>
      </c>
      <c r="E55" s="341">
        <f>+E11</f>
        <v>544620837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104.7794465251761</v>
      </c>
      <c r="D57" s="355">
        <f>IF((D61/365)=0,0,+D58/(D61/365))</f>
        <v>110.3374668424167</v>
      </c>
      <c r="E57" s="355">
        <f>IF((E61/365)=0,0,+E58/(E61/365))</f>
        <v>107.79533616864414</v>
      </c>
    </row>
    <row r="58" spans="1:5" ht="24" customHeight="1" x14ac:dyDescent="0.2">
      <c r="A58" s="339">
        <v>18</v>
      </c>
      <c r="B58" s="340" t="s">
        <v>54</v>
      </c>
      <c r="C58" s="353">
        <f>+C40</f>
        <v>140029000</v>
      </c>
      <c r="D58" s="353">
        <f>+D40</f>
        <v>151109000</v>
      </c>
      <c r="E58" s="353">
        <f>+E40</f>
        <v>154489000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513310031</v>
      </c>
      <c r="D59" s="353">
        <f t="shared" si="0"/>
        <v>525445808</v>
      </c>
      <c r="E59" s="353">
        <f t="shared" si="0"/>
        <v>558411539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25517943</v>
      </c>
      <c r="D60" s="356">
        <f t="shared" si="0"/>
        <v>25572224</v>
      </c>
      <c r="E60" s="356">
        <f t="shared" si="0"/>
        <v>35304631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487792088</v>
      </c>
      <c r="D61" s="353">
        <f>+D59-D60</f>
        <v>499873584</v>
      </c>
      <c r="E61" s="353">
        <f>+E59-E60</f>
        <v>523106908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39.289885697819614</v>
      </c>
      <c r="D65" s="357">
        <f>IF(D67=0,0,(D66/D67)*100)</f>
        <v>40.328749490564611</v>
      </c>
      <c r="E65" s="357">
        <f>IF(E67=0,0,(E66/E67)*100)</f>
        <v>40.950057286987203</v>
      </c>
    </row>
    <row r="66" spans="1:5" ht="24" customHeight="1" x14ac:dyDescent="0.2">
      <c r="A66" s="339">
        <v>2</v>
      </c>
      <c r="B66" s="340" t="s">
        <v>67</v>
      </c>
      <c r="C66" s="353">
        <f>+C32</f>
        <v>409047000</v>
      </c>
      <c r="D66" s="353">
        <f>+D32</f>
        <v>437379000</v>
      </c>
      <c r="E66" s="353">
        <f>+E32</f>
        <v>496802000</v>
      </c>
    </row>
    <row r="67" spans="1:5" ht="24" customHeight="1" x14ac:dyDescent="0.2">
      <c r="A67" s="339">
        <v>3</v>
      </c>
      <c r="B67" s="340" t="s">
        <v>43</v>
      </c>
      <c r="C67" s="353">
        <v>1041100000</v>
      </c>
      <c r="D67" s="353">
        <v>1084534000</v>
      </c>
      <c r="E67" s="353">
        <v>1213190000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8.3945991475622073</v>
      </c>
      <c r="D69" s="357">
        <f>IF(D75=0,0,(D72/D75)*100)</f>
        <v>7.3314812491192578</v>
      </c>
      <c r="E69" s="357">
        <f>IF(E75=0,0,(E72/E75)*100)</f>
        <v>8.2607794974780333</v>
      </c>
    </row>
    <row r="70" spans="1:5" ht="24" customHeight="1" x14ac:dyDescent="0.2">
      <c r="A70" s="339">
        <v>5</v>
      </c>
      <c r="B70" s="340" t="s">
        <v>366</v>
      </c>
      <c r="C70" s="353">
        <f>+C28</f>
        <v>17536445</v>
      </c>
      <c r="D70" s="353">
        <f>+D28</f>
        <v>12406975</v>
      </c>
      <c r="E70" s="353">
        <f>+E28</f>
        <v>10601925</v>
      </c>
    </row>
    <row r="71" spans="1:5" ht="24" customHeight="1" x14ac:dyDescent="0.2">
      <c r="A71" s="339">
        <v>6</v>
      </c>
      <c r="B71" s="340" t="s">
        <v>356</v>
      </c>
      <c r="C71" s="356">
        <f>+C47</f>
        <v>25517943</v>
      </c>
      <c r="D71" s="356">
        <f>+D47</f>
        <v>25572224</v>
      </c>
      <c r="E71" s="356">
        <f>+E47</f>
        <v>35304631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43054388</v>
      </c>
      <c r="D72" s="353">
        <f>+D70+D71</f>
        <v>37979199</v>
      </c>
      <c r="E72" s="353">
        <f>+E70+E71</f>
        <v>45906556</v>
      </c>
    </row>
    <row r="73" spans="1:5" ht="24" customHeight="1" x14ac:dyDescent="0.2">
      <c r="A73" s="339">
        <v>8</v>
      </c>
      <c r="B73" s="340" t="s">
        <v>54</v>
      </c>
      <c r="C73" s="341">
        <f>+C40</f>
        <v>140029000</v>
      </c>
      <c r="D73" s="341">
        <f>+D40</f>
        <v>151109000</v>
      </c>
      <c r="E73" s="341">
        <f>+E40</f>
        <v>154489000</v>
      </c>
    </row>
    <row r="74" spans="1:5" ht="24" customHeight="1" x14ac:dyDescent="0.2">
      <c r="A74" s="339">
        <v>9</v>
      </c>
      <c r="B74" s="340" t="s">
        <v>58</v>
      </c>
      <c r="C74" s="353">
        <v>372853000</v>
      </c>
      <c r="D74" s="353">
        <v>366920000</v>
      </c>
      <c r="E74" s="353">
        <v>401228000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512882000</v>
      </c>
      <c r="D75" s="341">
        <f>+D73+D74</f>
        <v>518029000</v>
      </c>
      <c r="E75" s="341">
        <f>+E73+E74</f>
        <v>555717000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47.685509655966236</v>
      </c>
      <c r="D77" s="359">
        <f>IF(D80=0,0,(D78/D80)*100)</f>
        <v>45.619850329292959</v>
      </c>
      <c r="E77" s="359">
        <f>IF(E80=0,0,(E78/E80)*100)</f>
        <v>44.678685567297308</v>
      </c>
    </row>
    <row r="78" spans="1:5" ht="24" customHeight="1" x14ac:dyDescent="0.2">
      <c r="A78" s="339">
        <v>12</v>
      </c>
      <c r="B78" s="340" t="s">
        <v>58</v>
      </c>
      <c r="C78" s="341">
        <f>+C74</f>
        <v>372853000</v>
      </c>
      <c r="D78" s="341">
        <f>+D74</f>
        <v>366920000</v>
      </c>
      <c r="E78" s="341">
        <f>+E74</f>
        <v>401228000</v>
      </c>
    </row>
    <row r="79" spans="1:5" ht="24" customHeight="1" x14ac:dyDescent="0.2">
      <c r="A79" s="339">
        <v>13</v>
      </c>
      <c r="B79" s="340" t="s">
        <v>67</v>
      </c>
      <c r="C79" s="341">
        <f>+C32</f>
        <v>409047000</v>
      </c>
      <c r="D79" s="341">
        <f>+D32</f>
        <v>437379000</v>
      </c>
      <c r="E79" s="341">
        <f>+E32</f>
        <v>496802000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781900000</v>
      </c>
      <c r="D80" s="341">
        <f>+D78+D79</f>
        <v>804299000</v>
      </c>
      <c r="E80" s="341">
        <f>+E78+E79</f>
        <v>898030000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74" fitToHeight="0" orientation="portrait" horizontalDpi="1200" verticalDpi="1200" r:id="rId1"/>
  <headerFooter>
    <oddHeader>_x000D_
                &amp;L&amp;8OFFICE OF HEALTH CARE ACCESS&amp;C&amp;8TWELVE MONTHS ACTUAL FILING&amp;R&amp;8STAMFORD HEALTH INC (FORMERLY STAMFORD HEALTH SYSTEM, INC)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75" zoomScaleSheetLayoutView="75" workbookViewId="0">
      <selection activeCell="C8" sqref="C8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40635</v>
      </c>
      <c r="D11" s="376">
        <v>8606</v>
      </c>
      <c r="E11" s="376">
        <v>8708</v>
      </c>
      <c r="F11" s="377">
        <v>135</v>
      </c>
      <c r="G11" s="377">
        <v>186</v>
      </c>
      <c r="H11" s="378">
        <f>IF(F11=0,0,$C11/(F11*365))</f>
        <v>0.8246575342465754</v>
      </c>
      <c r="I11" s="378">
        <f>IF(G11=0,0,$C11/(G11*365))</f>
        <v>0.59854175872735305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1786</v>
      </c>
      <c r="D13" s="376">
        <v>201</v>
      </c>
      <c r="E13" s="376">
        <v>0</v>
      </c>
      <c r="F13" s="377">
        <v>5</v>
      </c>
      <c r="G13" s="377">
        <v>16</v>
      </c>
      <c r="H13" s="378">
        <f>IF(F13=0,0,$C13/(F13*365))</f>
        <v>0.97863013698630141</v>
      </c>
      <c r="I13" s="378">
        <f>IF(G13=0,0,$C13/(G13*365))</f>
        <v>0.30582191780821916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0</v>
      </c>
      <c r="D15" s="376">
        <v>0</v>
      </c>
      <c r="E15" s="376">
        <v>0</v>
      </c>
      <c r="F15" s="377">
        <v>0</v>
      </c>
      <c r="G15" s="377">
        <v>0</v>
      </c>
      <c r="H15" s="378">
        <f t="shared" ref="H15:I17" si="0">IF(F15=0,0,$C15/(F15*365))</f>
        <v>0</v>
      </c>
      <c r="I15" s="378">
        <f t="shared" si="0"/>
        <v>0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5850</v>
      </c>
      <c r="D16" s="376">
        <v>620</v>
      </c>
      <c r="E16" s="376">
        <v>625</v>
      </c>
      <c r="F16" s="377">
        <v>17</v>
      </c>
      <c r="G16" s="377">
        <v>20</v>
      </c>
      <c r="H16" s="378">
        <f t="shared" si="0"/>
        <v>0.94278807413376309</v>
      </c>
      <c r="I16" s="378">
        <f t="shared" si="0"/>
        <v>0.80136986301369861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5850</v>
      </c>
      <c r="D17" s="381">
        <f>SUM(D15:D16)</f>
        <v>620</v>
      </c>
      <c r="E17" s="381">
        <f>SUM(E15:E16)</f>
        <v>625</v>
      </c>
      <c r="F17" s="381">
        <f>SUM(F15:F16)</f>
        <v>17</v>
      </c>
      <c r="G17" s="381">
        <f>SUM(G15:G16)</f>
        <v>20</v>
      </c>
      <c r="H17" s="382">
        <f t="shared" si="0"/>
        <v>0.94278807413376309</v>
      </c>
      <c r="I17" s="382">
        <f t="shared" si="0"/>
        <v>0.80136986301369861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5081</v>
      </c>
      <c r="D19" s="376">
        <v>368</v>
      </c>
      <c r="E19" s="376">
        <v>370</v>
      </c>
      <c r="F19" s="377">
        <v>15</v>
      </c>
      <c r="G19" s="377">
        <v>17</v>
      </c>
      <c r="H19" s="378">
        <f>IF(F19=0,0,$C19/(F19*365))</f>
        <v>0.92803652968036532</v>
      </c>
      <c r="I19" s="378">
        <f>IF(G19=0,0,$C19/(G19*365))</f>
        <v>0.81885576148267525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8459</v>
      </c>
      <c r="D21" s="376">
        <v>2551</v>
      </c>
      <c r="E21" s="376">
        <v>2531</v>
      </c>
      <c r="F21" s="377">
        <v>24</v>
      </c>
      <c r="G21" s="377">
        <v>32</v>
      </c>
      <c r="H21" s="378">
        <f>IF(F21=0,0,$C21/(F21*365))</f>
        <v>0.96563926940639266</v>
      </c>
      <c r="I21" s="378">
        <f>IF(G21=0,0,$C21/(G21*365))</f>
        <v>0.7242294520547945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6393</v>
      </c>
      <c r="D23" s="376">
        <v>2204</v>
      </c>
      <c r="E23" s="376">
        <v>2263</v>
      </c>
      <c r="F23" s="377">
        <v>18</v>
      </c>
      <c r="G23" s="377">
        <v>25</v>
      </c>
      <c r="H23" s="378">
        <f>IF(F23=0,0,$C23/(F23*365))</f>
        <v>0.97305936073059363</v>
      </c>
      <c r="I23" s="378">
        <f>IF(G23=0,0,$C23/(G23*365))</f>
        <v>0.70060273972602738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2381</v>
      </c>
      <c r="D25" s="376">
        <v>186</v>
      </c>
      <c r="E25" s="376">
        <v>0</v>
      </c>
      <c r="F25" s="377">
        <v>7</v>
      </c>
      <c r="G25" s="377">
        <v>16</v>
      </c>
      <c r="H25" s="378">
        <f>IF(F25=0,0,$C25/(F25*365))</f>
        <v>0.93189823874755384</v>
      </c>
      <c r="I25" s="378">
        <f>IF(G25=0,0,$C25/(G25*365))</f>
        <v>0.40770547945205482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864</v>
      </c>
      <c r="D27" s="376">
        <v>370</v>
      </c>
      <c r="E27" s="376">
        <v>367</v>
      </c>
      <c r="F27" s="377">
        <v>3</v>
      </c>
      <c r="G27" s="377">
        <v>13</v>
      </c>
      <c r="H27" s="378">
        <f>IF(F27=0,0,$C27/(F27*365))</f>
        <v>0.78904109589041094</v>
      </c>
      <c r="I27" s="378">
        <f>IF(G27=0,0,$C27/(G27*365))</f>
        <v>0.182086406743941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65056</v>
      </c>
      <c r="D31" s="384">
        <f>SUM(D10:D29)-D13-D17-D23</f>
        <v>12701</v>
      </c>
      <c r="E31" s="384">
        <f>SUM(E10:E29)-E17-E23</f>
        <v>12601</v>
      </c>
      <c r="F31" s="384">
        <f>SUM(F10:F29)-F17-F23</f>
        <v>206</v>
      </c>
      <c r="G31" s="384">
        <f>SUM(G10:G29)-G17-G23</f>
        <v>300</v>
      </c>
      <c r="H31" s="385">
        <f>IF(F31=0,0,$C31/(F31*365))</f>
        <v>0.86522143902114645</v>
      </c>
      <c r="I31" s="385">
        <f>IF(G31=0,0,$C31/(G31*365))</f>
        <v>0.59411872146118716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71449</v>
      </c>
      <c r="D33" s="384">
        <f>SUM(D10:D29)-D13-D17</f>
        <v>14905</v>
      </c>
      <c r="E33" s="384">
        <f>SUM(E10:E29)-E17</f>
        <v>14864</v>
      </c>
      <c r="F33" s="384">
        <f>SUM(F10:F29)-F17</f>
        <v>224</v>
      </c>
      <c r="G33" s="384">
        <f>SUM(G10:G29)-G17</f>
        <v>325</v>
      </c>
      <c r="H33" s="385">
        <f>IF(F33=0,0,$C33/(F33*365))</f>
        <v>0.87388698630136985</v>
      </c>
      <c r="I33" s="385">
        <f>IF(G33=0,0,$C33/(G33*365))</f>
        <v>0.60230979978925181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71449</v>
      </c>
      <c r="D36" s="384">
        <f t="shared" si="1"/>
        <v>14905</v>
      </c>
      <c r="E36" s="384">
        <f t="shared" si="1"/>
        <v>14864</v>
      </c>
      <c r="F36" s="384">
        <f t="shared" si="1"/>
        <v>224</v>
      </c>
      <c r="G36" s="384">
        <f t="shared" si="1"/>
        <v>325</v>
      </c>
      <c r="H36" s="387">
        <f t="shared" si="1"/>
        <v>0.87388698630136985</v>
      </c>
      <c r="I36" s="387">
        <f t="shared" si="1"/>
        <v>0.60230979978925181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73202</v>
      </c>
      <c r="D37" s="384">
        <v>14847</v>
      </c>
      <c r="E37" s="384">
        <v>14905</v>
      </c>
      <c r="F37" s="386">
        <v>226</v>
      </c>
      <c r="G37" s="386">
        <v>325</v>
      </c>
      <c r="H37" s="385">
        <f>IF(F37=0,0,$C37/(F37*365))</f>
        <v>0.88740453388289486</v>
      </c>
      <c r="I37" s="385">
        <f>IF(G37=0,0,$C37/(G37*365))</f>
        <v>0.61708746048472074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-1753</v>
      </c>
      <c r="D38" s="384">
        <f t="shared" si="2"/>
        <v>58</v>
      </c>
      <c r="E38" s="384">
        <f t="shared" si="2"/>
        <v>-41</v>
      </c>
      <c r="F38" s="384">
        <f t="shared" si="2"/>
        <v>-2</v>
      </c>
      <c r="G38" s="384">
        <f t="shared" si="2"/>
        <v>0</v>
      </c>
      <c r="H38" s="387">
        <f t="shared" si="2"/>
        <v>-1.3517547581525013E-2</v>
      </c>
      <c r="I38" s="387">
        <f t="shared" si="2"/>
        <v>-1.477766069546893E-2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-2.3947433130242342E-2</v>
      </c>
      <c r="D40" s="389">
        <f t="shared" si="3"/>
        <v>3.9065131002896207E-3</v>
      </c>
      <c r="E40" s="389">
        <f t="shared" si="3"/>
        <v>-2.7507547802750757E-3</v>
      </c>
      <c r="F40" s="389">
        <f t="shared" si="3"/>
        <v>-8.8495575221238937E-3</v>
      </c>
      <c r="G40" s="389">
        <f t="shared" si="3"/>
        <v>0</v>
      </c>
      <c r="H40" s="389">
        <f t="shared" si="3"/>
        <v>-1.5232678068905199E-2</v>
      </c>
      <c r="I40" s="389">
        <f t="shared" si="3"/>
        <v>-2.394743313024237E-2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330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paperSize="9" scale="71" orientation="landscape" horizontalDpi="1200" verticalDpi="1200" r:id="rId1"/>
  <headerFooter>
    <oddHeader>&amp;LOFFICE OF HEALTH CARE ACCESS&amp;CTWELVE MONTHS ACTUAL FILING&amp;RSTAMFORD HOSPITAL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SheetLayoutView="90" workbookViewId="0">
      <selection activeCell="B13" sqref="B13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3" t="s">
        <v>0</v>
      </c>
      <c r="B1" s="814"/>
      <c r="C1" s="814"/>
      <c r="D1" s="814"/>
      <c r="E1" s="814"/>
      <c r="F1" s="815"/>
    </row>
    <row r="2" spans="1:16" ht="15.75" customHeight="1" x14ac:dyDescent="0.25">
      <c r="A2" s="813" t="s">
        <v>1</v>
      </c>
      <c r="B2" s="814"/>
      <c r="C2" s="814"/>
      <c r="D2" s="814"/>
      <c r="E2" s="814"/>
      <c r="F2" s="815"/>
    </row>
    <row r="3" spans="1:16" ht="15.75" customHeight="1" x14ac:dyDescent="0.25">
      <c r="A3" s="813" t="s">
        <v>2</v>
      </c>
      <c r="B3" s="814"/>
      <c r="C3" s="814"/>
      <c r="D3" s="814"/>
      <c r="E3" s="814"/>
      <c r="F3" s="815"/>
    </row>
    <row r="4" spans="1:16" ht="15.75" customHeight="1" x14ac:dyDescent="0.25">
      <c r="A4" s="813" t="s">
        <v>553</v>
      </c>
      <c r="B4" s="814"/>
      <c r="C4" s="814"/>
      <c r="D4" s="814"/>
      <c r="E4" s="814"/>
      <c r="F4" s="815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7332</v>
      </c>
      <c r="D12" s="409">
        <v>7634</v>
      </c>
      <c r="E12" s="409">
        <f>+D12-C12</f>
        <v>302</v>
      </c>
      <c r="F12" s="410">
        <f>IF(C12=0,0,+E12/C12)</f>
        <v>4.1189307146753958E-2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10151</v>
      </c>
      <c r="D13" s="409">
        <v>11794</v>
      </c>
      <c r="E13" s="409">
        <f>+D13-C13</f>
        <v>1643</v>
      </c>
      <c r="F13" s="410">
        <f>IF(C13=0,0,+E13/C13)</f>
        <v>0.16185597478080976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12962</v>
      </c>
      <c r="D14" s="409">
        <v>13350</v>
      </c>
      <c r="E14" s="409">
        <f>+D14-C14</f>
        <v>388</v>
      </c>
      <c r="F14" s="410">
        <f>IF(C14=0,0,+E14/C14)</f>
        <v>2.9933652214164479E-2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30445</v>
      </c>
      <c r="D16" s="401">
        <f>SUM(D12:D15)</f>
        <v>32778</v>
      </c>
      <c r="E16" s="401">
        <f>+D16-C16</f>
        <v>2333</v>
      </c>
      <c r="F16" s="402">
        <f>IF(C16=0,0,+E16/C16)</f>
        <v>7.6629988503859423E-2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2260</v>
      </c>
      <c r="D19" s="409">
        <v>2133</v>
      </c>
      <c r="E19" s="409">
        <f>+D19-C19</f>
        <v>-127</v>
      </c>
      <c r="F19" s="410">
        <f>IF(C19=0,0,+E19/C19)</f>
        <v>-5.6194690265486728E-2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9999</v>
      </c>
      <c r="D20" s="409">
        <v>10158</v>
      </c>
      <c r="E20" s="409">
        <f>+D20-C20</f>
        <v>159</v>
      </c>
      <c r="F20" s="410">
        <f>IF(C20=0,0,+E20/C20)</f>
        <v>1.5901590159015901E-2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937</v>
      </c>
      <c r="D21" s="409">
        <v>651</v>
      </c>
      <c r="E21" s="409">
        <f>+D21-C21</f>
        <v>-286</v>
      </c>
      <c r="F21" s="410">
        <f>IF(C21=0,0,+E21/C21)</f>
        <v>-0.30522945570971183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0</v>
      </c>
      <c r="D22" s="409">
        <v>0</v>
      </c>
      <c r="E22" s="409">
        <f>+D22-C22</f>
        <v>0</v>
      </c>
      <c r="F22" s="410">
        <f>IF(C22=0,0,+E22/C22)</f>
        <v>0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13196</v>
      </c>
      <c r="D23" s="401">
        <f>SUM(D19:D22)</f>
        <v>12942</v>
      </c>
      <c r="E23" s="401">
        <f>+D23-C23</f>
        <v>-254</v>
      </c>
      <c r="F23" s="402">
        <f>IF(C23=0,0,+E23/C23)</f>
        <v>-1.924825704759018E-2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0</v>
      </c>
      <c r="D26" s="409">
        <v>0</v>
      </c>
      <c r="E26" s="409">
        <f>+D26-C26</f>
        <v>0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17</v>
      </c>
      <c r="D27" s="409">
        <v>9</v>
      </c>
      <c r="E27" s="409">
        <f>+D27-C27</f>
        <v>-8</v>
      </c>
      <c r="F27" s="410">
        <f>IF(C27=0,0,+E27/C27)</f>
        <v>-0.47058823529411764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17</v>
      </c>
      <c r="D30" s="401">
        <f>SUM(D26:D29)</f>
        <v>9</v>
      </c>
      <c r="E30" s="401">
        <f>+D30-C30</f>
        <v>-8</v>
      </c>
      <c r="F30" s="402">
        <f>IF(C30=0,0,+E30/C30)</f>
        <v>-0.47058823529411764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6</v>
      </c>
      <c r="D33" s="409">
        <v>2</v>
      </c>
      <c r="E33" s="409">
        <f>+D33-C33</f>
        <v>-4</v>
      </c>
      <c r="F33" s="410">
        <f>IF(C33=0,0,+E33/C33)</f>
        <v>-0.66666666666666663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478</v>
      </c>
      <c r="D34" s="409">
        <v>496</v>
      </c>
      <c r="E34" s="409">
        <f>+D34-C34</f>
        <v>18</v>
      </c>
      <c r="F34" s="410">
        <f>IF(C34=0,0,+E34/C34)</f>
        <v>3.7656903765690378E-2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484</v>
      </c>
      <c r="D37" s="401">
        <f>SUM(D33:D36)</f>
        <v>498</v>
      </c>
      <c r="E37" s="401">
        <f>+D37-C37</f>
        <v>14</v>
      </c>
      <c r="F37" s="402">
        <f>IF(C37=0,0,+E37/C37)</f>
        <v>2.8925619834710745E-2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0" t="s">
        <v>566</v>
      </c>
      <c r="C39" s="811"/>
      <c r="D39" s="811"/>
      <c r="E39" s="811"/>
      <c r="F39" s="812"/>
    </row>
    <row r="40" spans="1:16" ht="15.75" customHeight="1" x14ac:dyDescent="0.25">
      <c r="A40" s="136"/>
      <c r="B40" s="810" t="s">
        <v>567</v>
      </c>
      <c r="C40" s="811"/>
      <c r="D40" s="811"/>
      <c r="E40" s="811"/>
      <c r="F40" s="812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361</v>
      </c>
      <c r="D43" s="409">
        <v>397</v>
      </c>
      <c r="E43" s="409">
        <f>+D43-C43</f>
        <v>36</v>
      </c>
      <c r="F43" s="410">
        <f>IF(C43=0,0,+E43/C43)</f>
        <v>9.9722991689750698E-2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9319</v>
      </c>
      <c r="D44" s="409">
        <v>9667</v>
      </c>
      <c r="E44" s="409">
        <f>+D44-C44</f>
        <v>348</v>
      </c>
      <c r="F44" s="410">
        <f>IF(C44=0,0,+E44/C44)</f>
        <v>3.7343062560360553E-2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9680</v>
      </c>
      <c r="D45" s="401">
        <f>SUM(D43:D44)</f>
        <v>10064</v>
      </c>
      <c r="E45" s="401">
        <f>+D45-C45</f>
        <v>384</v>
      </c>
      <c r="F45" s="402">
        <f>IF(C45=0,0,+E45/C45)</f>
        <v>3.9669421487603308E-2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288</v>
      </c>
      <c r="D48" s="409">
        <v>340</v>
      </c>
      <c r="E48" s="409">
        <f>+D48-C48</f>
        <v>52</v>
      </c>
      <c r="F48" s="410">
        <f>IF(C48=0,0,+E48/C48)</f>
        <v>0.18055555555555555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416</v>
      </c>
      <c r="D49" s="409">
        <v>493</v>
      </c>
      <c r="E49" s="409">
        <f>+D49-C49</f>
        <v>77</v>
      </c>
      <c r="F49" s="410">
        <f>IF(C49=0,0,+E49/C49)</f>
        <v>0.18509615384615385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704</v>
      </c>
      <c r="D50" s="401">
        <f>SUM(D48:D49)</f>
        <v>833</v>
      </c>
      <c r="E50" s="401">
        <f>+D50-C50</f>
        <v>129</v>
      </c>
      <c r="F50" s="402">
        <f>IF(C50=0,0,+E50/C50)</f>
        <v>0.18323863636363635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64</v>
      </c>
      <c r="D53" s="409">
        <v>44</v>
      </c>
      <c r="E53" s="409">
        <f>+D53-C53</f>
        <v>-20</v>
      </c>
      <c r="F53" s="410">
        <f>IF(C53=0,0,+E53/C53)</f>
        <v>-0.3125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379</v>
      </c>
      <c r="D54" s="409">
        <v>434</v>
      </c>
      <c r="E54" s="409">
        <f>+D54-C54</f>
        <v>55</v>
      </c>
      <c r="F54" s="410">
        <f>IF(C54=0,0,+E54/C54)</f>
        <v>0.14511873350923482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443</v>
      </c>
      <c r="D55" s="401">
        <f>SUM(D53:D54)</f>
        <v>478</v>
      </c>
      <c r="E55" s="401">
        <f>+D55-C55</f>
        <v>35</v>
      </c>
      <c r="F55" s="402">
        <f>IF(C55=0,0,+E55/C55)</f>
        <v>7.900677200902935E-2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72</v>
      </c>
      <c r="D58" s="409">
        <v>102</v>
      </c>
      <c r="E58" s="409">
        <f>+D58-C58</f>
        <v>30</v>
      </c>
      <c r="F58" s="410">
        <f>IF(C58=0,0,+E58/C58)</f>
        <v>0.41666666666666669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389</v>
      </c>
      <c r="D59" s="409">
        <v>447</v>
      </c>
      <c r="E59" s="409">
        <f>+D59-C59</f>
        <v>58</v>
      </c>
      <c r="F59" s="410">
        <f>IF(C59=0,0,+E59/C59)</f>
        <v>0.14910025706940874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461</v>
      </c>
      <c r="D60" s="401">
        <f>SUM(D58:D59)</f>
        <v>549</v>
      </c>
      <c r="E60" s="401">
        <f>SUM(E58:E59)</f>
        <v>88</v>
      </c>
      <c r="F60" s="402">
        <f>IF(C60=0,0,+E60/C60)</f>
        <v>0.19088937093275488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2512</v>
      </c>
      <c r="D63" s="409">
        <v>2561</v>
      </c>
      <c r="E63" s="409">
        <f>+D63-C63</f>
        <v>49</v>
      </c>
      <c r="F63" s="410">
        <f>IF(C63=0,0,+E63/C63)</f>
        <v>1.9506369426751591E-2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9492</v>
      </c>
      <c r="D64" s="409">
        <v>9033</v>
      </c>
      <c r="E64" s="409">
        <f>+D64-C64</f>
        <v>-459</v>
      </c>
      <c r="F64" s="410">
        <f>IF(C64=0,0,+E64/C64)</f>
        <v>-4.8356510745891278E-2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12004</v>
      </c>
      <c r="D65" s="401">
        <f>SUM(D63:D64)</f>
        <v>11594</v>
      </c>
      <c r="E65" s="401">
        <f>+D65-C65</f>
        <v>-410</v>
      </c>
      <c r="F65" s="402">
        <f>IF(C65=0,0,+E65/C65)</f>
        <v>-3.4155281572809067E-2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481</v>
      </c>
      <c r="D68" s="409">
        <v>493</v>
      </c>
      <c r="E68" s="409">
        <f>+D68-C68</f>
        <v>12</v>
      </c>
      <c r="F68" s="410">
        <f>IF(C68=0,0,+E68/C68)</f>
        <v>2.4948024948024949E-2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6372</v>
      </c>
      <c r="D69" s="409">
        <v>6538</v>
      </c>
      <c r="E69" s="409">
        <f>+D69-C69</f>
        <v>166</v>
      </c>
      <c r="F69" s="412">
        <f>IF(C69=0,0,+E69/C69)</f>
        <v>2.6051475204017578E-2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6853</v>
      </c>
      <c r="D70" s="401">
        <f>SUM(D68:D69)</f>
        <v>7031</v>
      </c>
      <c r="E70" s="401">
        <f>+D70-C70</f>
        <v>178</v>
      </c>
      <c r="F70" s="402">
        <f>IF(C70=0,0,+E70/C70)</f>
        <v>2.5974025974025976E-2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6196</v>
      </c>
      <c r="D73" s="376">
        <v>6158</v>
      </c>
      <c r="E73" s="409">
        <f>+D73-C73</f>
        <v>-38</v>
      </c>
      <c r="F73" s="410">
        <f>IF(C73=0,0,+E73/C73)</f>
        <v>-6.1329890251775338E-3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41244</v>
      </c>
      <c r="D74" s="376">
        <v>41490</v>
      </c>
      <c r="E74" s="409">
        <f>+D74-C74</f>
        <v>246</v>
      </c>
      <c r="F74" s="410">
        <f>IF(C74=0,0,+E74/C74)</f>
        <v>5.9645039278440502E-3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47440</v>
      </c>
      <c r="D75" s="401">
        <f>SUM(D73:D74)</f>
        <v>47648</v>
      </c>
      <c r="E75" s="401">
        <f>SUM(E73:E74)</f>
        <v>208</v>
      </c>
      <c r="F75" s="402">
        <f>IF(C75=0,0,+E75/C75)</f>
        <v>4.3844856661045531E-3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0</v>
      </c>
      <c r="D79" s="376">
        <v>0</v>
      </c>
      <c r="E79" s="409">
        <f t="shared" ref="E79:E92" si="0">+D79-C79</f>
        <v>0</v>
      </c>
      <c r="F79" s="410">
        <f t="shared" ref="F79:F92" si="1">IF(C79=0,0,+E79/C79)</f>
        <v>0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0</v>
      </c>
      <c r="D80" s="376">
        <v>0</v>
      </c>
      <c r="E80" s="409">
        <f t="shared" si="0"/>
        <v>0</v>
      </c>
      <c r="F80" s="410">
        <f t="shared" si="1"/>
        <v>0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0</v>
      </c>
      <c r="D81" s="376">
        <v>0</v>
      </c>
      <c r="E81" s="409">
        <f t="shared" si="0"/>
        <v>0</v>
      </c>
      <c r="F81" s="410">
        <f t="shared" si="1"/>
        <v>0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26304</v>
      </c>
      <c r="D84" s="376">
        <v>25067</v>
      </c>
      <c r="E84" s="409">
        <f t="shared" si="0"/>
        <v>-1237</v>
      </c>
      <c r="F84" s="410">
        <f t="shared" si="1"/>
        <v>-4.7027068126520681E-2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3237</v>
      </c>
      <c r="D85" s="376">
        <v>3223</v>
      </c>
      <c r="E85" s="409">
        <f t="shared" si="0"/>
        <v>-14</v>
      </c>
      <c r="F85" s="410">
        <f t="shared" si="1"/>
        <v>-4.3249922767995058E-3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5049</v>
      </c>
      <c r="D86" s="376">
        <v>5148</v>
      </c>
      <c r="E86" s="409">
        <f t="shared" si="0"/>
        <v>99</v>
      </c>
      <c r="F86" s="410">
        <f t="shared" si="1"/>
        <v>1.9607843137254902E-2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70</v>
      </c>
      <c r="D88" s="376">
        <v>79</v>
      </c>
      <c r="E88" s="409">
        <f t="shared" si="0"/>
        <v>9</v>
      </c>
      <c r="F88" s="410">
        <f t="shared" si="1"/>
        <v>0.12857142857142856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87</v>
      </c>
      <c r="D89" s="376">
        <v>46</v>
      </c>
      <c r="E89" s="409">
        <f t="shared" si="0"/>
        <v>-41</v>
      </c>
      <c r="F89" s="410">
        <f t="shared" si="1"/>
        <v>-0.47126436781609193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0</v>
      </c>
      <c r="D90" s="376">
        <v>0</v>
      </c>
      <c r="E90" s="409">
        <f t="shared" si="0"/>
        <v>0</v>
      </c>
      <c r="F90" s="410">
        <f t="shared" si="1"/>
        <v>0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7810</v>
      </c>
      <c r="D91" s="376">
        <v>7542</v>
      </c>
      <c r="E91" s="409">
        <f t="shared" si="0"/>
        <v>-268</v>
      </c>
      <c r="F91" s="410">
        <f t="shared" si="1"/>
        <v>-3.4314980793854033E-2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42557</v>
      </c>
      <c r="D92" s="381">
        <f>SUM(D79:D91)</f>
        <v>41105</v>
      </c>
      <c r="E92" s="401">
        <f t="shared" si="0"/>
        <v>-1452</v>
      </c>
      <c r="F92" s="402">
        <f t="shared" si="1"/>
        <v>-3.4118946354301287E-2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39286</v>
      </c>
      <c r="D95" s="414">
        <v>37758</v>
      </c>
      <c r="E95" s="415">
        <f t="shared" ref="E95:E100" si="2">+D95-C95</f>
        <v>-1528</v>
      </c>
      <c r="F95" s="412">
        <f t="shared" ref="F95:F100" si="3">IF(C95=0,0,+E95/C95)</f>
        <v>-3.8894262587181185E-2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9460</v>
      </c>
      <c r="D96" s="414">
        <v>9388</v>
      </c>
      <c r="E96" s="409">
        <f t="shared" si="2"/>
        <v>-72</v>
      </c>
      <c r="F96" s="410">
        <f t="shared" si="3"/>
        <v>-7.6109936575052854E-3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6530</v>
      </c>
      <c r="D97" s="414">
        <v>7074</v>
      </c>
      <c r="E97" s="409">
        <f t="shared" si="2"/>
        <v>544</v>
      </c>
      <c r="F97" s="410">
        <f t="shared" si="3"/>
        <v>8.3307810107197552E-2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6115</v>
      </c>
      <c r="D98" s="414">
        <v>6387</v>
      </c>
      <c r="E98" s="409">
        <f t="shared" si="2"/>
        <v>272</v>
      </c>
      <c r="F98" s="410">
        <f t="shared" si="3"/>
        <v>4.4480784955028621E-2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261982</v>
      </c>
      <c r="D99" s="414">
        <v>282385</v>
      </c>
      <c r="E99" s="409">
        <f t="shared" si="2"/>
        <v>20403</v>
      </c>
      <c r="F99" s="410">
        <f t="shared" si="3"/>
        <v>7.7879396294401909E-2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323373</v>
      </c>
      <c r="D100" s="381">
        <f>SUM(D95:D99)</f>
        <v>342992</v>
      </c>
      <c r="E100" s="401">
        <f t="shared" si="2"/>
        <v>19619</v>
      </c>
      <c r="F100" s="402">
        <f t="shared" si="3"/>
        <v>6.0669876582151262E-2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803.7</v>
      </c>
      <c r="D104" s="416">
        <v>800.6</v>
      </c>
      <c r="E104" s="417">
        <f>+D104-C104</f>
        <v>-3.1000000000000227</v>
      </c>
      <c r="F104" s="410">
        <f>IF(C104=0,0,+E104/C104)</f>
        <v>-3.8571606320766737E-3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116.5</v>
      </c>
      <c r="D105" s="416">
        <v>117.2</v>
      </c>
      <c r="E105" s="417">
        <f>+D105-C105</f>
        <v>0.70000000000000284</v>
      </c>
      <c r="F105" s="410">
        <f>IF(C105=0,0,+E105/C105)</f>
        <v>6.0085836909871491E-3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1058.5</v>
      </c>
      <c r="D106" s="416">
        <v>1105.2</v>
      </c>
      <c r="E106" s="417">
        <f>+D106-C106</f>
        <v>46.700000000000045</v>
      </c>
      <c r="F106" s="410">
        <f>IF(C106=0,0,+E106/C106)</f>
        <v>4.411903637222489E-2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1978.7</v>
      </c>
      <c r="D107" s="418">
        <f>SUM(D104:D106)</f>
        <v>2023</v>
      </c>
      <c r="E107" s="418">
        <f>+D107-C107</f>
        <v>44.299999999999955</v>
      </c>
      <c r="F107" s="402">
        <f>IF(C107=0,0,+E107/C107)</f>
        <v>2.2388436852478877E-2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B40:F40"/>
    <mergeCell ref="A1:F1"/>
    <mergeCell ref="A2:F2"/>
    <mergeCell ref="A3:F3"/>
    <mergeCell ref="A4:F4"/>
    <mergeCell ref="B39:F39"/>
  </mergeCells>
  <printOptions gridLines="1"/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FILING&amp;RSTAMFORD HOSPITAL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4" zoomScale="75" zoomScaleSheetLayoutView="90" workbookViewId="0">
      <selection activeCell="B29" sqref="B29:F29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3" t="s">
        <v>0</v>
      </c>
      <c r="B1" s="814"/>
      <c r="C1" s="814"/>
      <c r="D1" s="814"/>
      <c r="E1" s="814"/>
      <c r="F1" s="815"/>
    </row>
    <row r="2" spans="1:6" ht="15.75" customHeight="1" x14ac:dyDescent="0.25">
      <c r="A2" s="813" t="s">
        <v>1</v>
      </c>
      <c r="B2" s="814"/>
      <c r="C2" s="814"/>
      <c r="D2" s="814"/>
      <c r="E2" s="814"/>
      <c r="F2" s="815"/>
    </row>
    <row r="3" spans="1:6" ht="15.75" customHeight="1" x14ac:dyDescent="0.25">
      <c r="A3" s="813" t="s">
        <v>2</v>
      </c>
      <c r="B3" s="814"/>
      <c r="C3" s="814"/>
      <c r="D3" s="814"/>
      <c r="E3" s="814"/>
      <c r="F3" s="815"/>
    </row>
    <row r="4" spans="1:6" ht="15.75" customHeight="1" x14ac:dyDescent="0.25">
      <c r="A4" s="813" t="s">
        <v>620</v>
      </c>
      <c r="B4" s="814"/>
      <c r="C4" s="814"/>
      <c r="D4" s="814"/>
      <c r="E4" s="814"/>
      <c r="F4" s="815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2810</v>
      </c>
      <c r="D12" s="409">
        <v>3031</v>
      </c>
      <c r="E12" s="409">
        <f>+D12-C12</f>
        <v>221</v>
      </c>
      <c r="F12" s="410">
        <f>IF(C12=0,0,+E12/C12)</f>
        <v>7.8647686832740218E-2</v>
      </c>
    </row>
    <row r="13" spans="1:6" ht="15.75" customHeight="1" x14ac:dyDescent="0.2">
      <c r="A13" s="374">
        <v>2</v>
      </c>
      <c r="B13" s="408" t="s">
        <v>622</v>
      </c>
      <c r="C13" s="409">
        <v>6682</v>
      </c>
      <c r="D13" s="409">
        <v>6002</v>
      </c>
      <c r="E13" s="409">
        <f>+D13-C13</f>
        <v>-680</v>
      </c>
      <c r="F13" s="410">
        <f>IF(C13=0,0,+E13/C13)</f>
        <v>-0.10176593834181383</v>
      </c>
    </row>
    <row r="14" spans="1:6" ht="15.75" customHeight="1" x14ac:dyDescent="0.25">
      <c r="A14" s="374"/>
      <c r="B14" s="399" t="s">
        <v>623</v>
      </c>
      <c r="C14" s="401">
        <f>SUM(C11:C13)</f>
        <v>9492</v>
      </c>
      <c r="D14" s="401">
        <f>SUM(D11:D13)</f>
        <v>9033</v>
      </c>
      <c r="E14" s="401">
        <f>+D14-C14</f>
        <v>-459</v>
      </c>
      <c r="F14" s="402">
        <f>IF(C14=0,0,+E14/C14)</f>
        <v>-4.8356510745891278E-2</v>
      </c>
    </row>
    <row r="15" spans="1:6" ht="15.75" customHeight="1" x14ac:dyDescent="0.25">
      <c r="A15" s="136"/>
      <c r="B15" s="399"/>
      <c r="C15" s="401"/>
      <c r="D15" s="401"/>
      <c r="E15" s="401"/>
      <c r="F15" s="402"/>
    </row>
    <row r="16" spans="1:6" ht="15.75" customHeight="1" x14ac:dyDescent="0.25">
      <c r="A16" s="136" t="s">
        <v>26</v>
      </c>
      <c r="B16" s="406" t="s">
        <v>588</v>
      </c>
      <c r="C16" s="409"/>
      <c r="D16" s="409"/>
      <c r="E16" s="409"/>
      <c r="F16" s="410"/>
    </row>
    <row r="17" spans="1:6" ht="15.75" customHeight="1" x14ac:dyDescent="0.2">
      <c r="A17" s="374">
        <v>1</v>
      </c>
      <c r="B17" s="408" t="s">
        <v>621</v>
      </c>
      <c r="C17" s="409">
        <v>189</v>
      </c>
      <c r="D17" s="409">
        <v>233</v>
      </c>
      <c r="E17" s="409">
        <f>+D17-C17</f>
        <v>44</v>
      </c>
      <c r="F17" s="410">
        <f>IF(C17=0,0,+E17/C17)</f>
        <v>0.23280423280423279</v>
      </c>
    </row>
    <row r="18" spans="1:6" ht="15.75" customHeight="1" x14ac:dyDescent="0.2">
      <c r="A18" s="374">
        <v>2</v>
      </c>
      <c r="B18" s="408" t="s">
        <v>622</v>
      </c>
      <c r="C18" s="409">
        <v>6183</v>
      </c>
      <c r="D18" s="409">
        <v>6305</v>
      </c>
      <c r="E18" s="409">
        <f>+D18-C18</f>
        <v>122</v>
      </c>
      <c r="F18" s="410">
        <f>IF(C18=0,0,+E18/C18)</f>
        <v>1.9731521914928028E-2</v>
      </c>
    </row>
    <row r="19" spans="1:6" ht="15.75" customHeight="1" x14ac:dyDescent="0.25">
      <c r="A19" s="374"/>
      <c r="B19" s="399" t="s">
        <v>624</v>
      </c>
      <c r="C19" s="401">
        <f>SUM(C16:C18)</f>
        <v>6372</v>
      </c>
      <c r="D19" s="401">
        <f>SUM(D16:D18)</f>
        <v>6538</v>
      </c>
      <c r="E19" s="401">
        <f>+D19-C19</f>
        <v>166</v>
      </c>
      <c r="F19" s="402">
        <f>IF(C19=0,0,+E19/C19)</f>
        <v>2.6051475204017578E-2</v>
      </c>
    </row>
    <row r="20" spans="1:6" ht="15.75" customHeight="1" x14ac:dyDescent="0.25">
      <c r="A20" s="136"/>
      <c r="B20" s="399"/>
      <c r="C20" s="401"/>
      <c r="D20" s="401"/>
      <c r="E20" s="401"/>
      <c r="F20" s="402"/>
    </row>
    <row r="21" spans="1:6" ht="15.75" customHeight="1" x14ac:dyDescent="0.25">
      <c r="A21" s="136" t="s">
        <v>36</v>
      </c>
      <c r="B21" s="406" t="s">
        <v>625</v>
      </c>
      <c r="C21" s="409"/>
      <c r="D21" s="409"/>
      <c r="E21" s="409"/>
      <c r="F21" s="410"/>
    </row>
    <row r="22" spans="1:6" ht="15.75" customHeight="1" x14ac:dyDescent="0.2">
      <c r="A22" s="374">
        <v>1</v>
      </c>
      <c r="B22" s="408" t="s">
        <v>621</v>
      </c>
      <c r="C22" s="409">
        <v>41244</v>
      </c>
      <c r="D22" s="409">
        <v>41490</v>
      </c>
      <c r="E22" s="409">
        <f>+D22-C22</f>
        <v>246</v>
      </c>
      <c r="F22" s="410">
        <f>IF(C22=0,0,+E22/C22)</f>
        <v>5.9645039278440502E-3</v>
      </c>
    </row>
    <row r="23" spans="1:6" ht="15.75" customHeight="1" x14ac:dyDescent="0.25">
      <c r="A23" s="374"/>
      <c r="B23" s="399" t="s">
        <v>626</v>
      </c>
      <c r="C23" s="401">
        <f>SUM(C21:C22)</f>
        <v>41244</v>
      </c>
      <c r="D23" s="401">
        <f>SUM(D21:D22)</f>
        <v>41490</v>
      </c>
      <c r="E23" s="401">
        <f>+D23-C23</f>
        <v>246</v>
      </c>
      <c r="F23" s="402">
        <f>IF(C23=0,0,+E23/C23)</f>
        <v>5.9645039278440502E-3</v>
      </c>
    </row>
    <row r="24" spans="1:6" ht="15.75" customHeight="1" x14ac:dyDescent="0.25">
      <c r="A24" s="136"/>
      <c r="B24" s="399"/>
      <c r="C24" s="401"/>
      <c r="D24" s="401"/>
      <c r="E24" s="401"/>
      <c r="F24" s="402"/>
    </row>
    <row r="25" spans="1:6" ht="15.75" customHeight="1" x14ac:dyDescent="0.25">
      <c r="B25" s="810" t="s">
        <v>627</v>
      </c>
      <c r="C25" s="811"/>
      <c r="D25" s="811"/>
      <c r="E25" s="811"/>
      <c r="F25" s="812"/>
    </row>
    <row r="26" spans="1:6" ht="15.75" customHeight="1" x14ac:dyDescent="0.25">
      <c r="A26" s="392"/>
    </row>
    <row r="27" spans="1:6" ht="15.75" customHeight="1" x14ac:dyDescent="0.25">
      <c r="B27" s="810" t="s">
        <v>628</v>
      </c>
      <c r="C27" s="811"/>
      <c r="D27" s="811"/>
      <c r="E27" s="811"/>
      <c r="F27" s="812"/>
    </row>
    <row r="28" spans="1:6" ht="15.75" customHeight="1" x14ac:dyDescent="0.25">
      <c r="A28" s="392"/>
    </row>
    <row r="29" spans="1:6" ht="15.75" customHeight="1" x14ac:dyDescent="0.25">
      <c r="B29" s="810" t="s">
        <v>629</v>
      </c>
      <c r="C29" s="811"/>
      <c r="D29" s="811"/>
      <c r="E29" s="811"/>
      <c r="F29" s="812"/>
    </row>
    <row r="30" spans="1:6" ht="15.75" customHeight="1" x14ac:dyDescent="0.25">
      <c r="A30" s="392"/>
    </row>
  </sheetData>
  <mergeCells count="7">
    <mergeCell ref="B29:F29"/>
    <mergeCell ref="A1:F1"/>
    <mergeCell ref="A2:F2"/>
    <mergeCell ref="A3:F3"/>
    <mergeCell ref="A4:F4"/>
    <mergeCell ref="B25:F25"/>
    <mergeCell ref="B27:F27"/>
  </mergeCells>
  <printOptions gridLines="1"/>
  <pageMargins left="0.25" right="0.25" top="0.5" bottom="0.5" header="0.25" footer="0.25"/>
  <pageSetup paperSize="9" scale="80" orientation="portrait" horizontalDpi="1200" verticalDpi="1200" r:id="rId1"/>
  <headerFooter>
    <oddHeader>&amp;LOFFICE OF HEALTH CARE ACCESS&amp;CTWELVE MONTHS ACTUAL FILING&amp;RSTAMFORD HOSPITAL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072"/>
  <sheetViews>
    <sheetView zoomScale="85" zoomScaleSheetLayoutView="80" workbookViewId="0">
      <selection sqref="A1:F1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630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631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632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633</v>
      </c>
      <c r="D7" s="426" t="s">
        <v>633</v>
      </c>
      <c r="E7" s="426" t="s">
        <v>634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635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636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637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638</v>
      </c>
      <c r="C15" s="448">
        <v>325357024</v>
      </c>
      <c r="D15" s="448">
        <v>326676675</v>
      </c>
      <c r="E15" s="448">
        <f t="shared" ref="E15:E24" si="0">D15-C15</f>
        <v>1319651</v>
      </c>
      <c r="F15" s="449">
        <f t="shared" ref="F15:F24" si="1">IF(C15=0,0,E15/C15)</f>
        <v>4.0560089460370775E-3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639</v>
      </c>
      <c r="C16" s="448">
        <v>78363100</v>
      </c>
      <c r="D16" s="448">
        <v>76919669</v>
      </c>
      <c r="E16" s="448">
        <f t="shared" si="0"/>
        <v>-1443431</v>
      </c>
      <c r="F16" s="449">
        <f t="shared" si="1"/>
        <v>-1.8419779207305479E-2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640</v>
      </c>
      <c r="C17" s="453">
        <f>IF(C15=0,0,C16/C15)</f>
        <v>0.24085264561554387</v>
      </c>
      <c r="D17" s="453">
        <f>IF(LN_IA1=0,0,LN_IA2/LN_IA1)</f>
        <v>0.23546116048842483</v>
      </c>
      <c r="E17" s="454">
        <f t="shared" si="0"/>
        <v>-5.3914851271190389E-3</v>
      </c>
      <c r="F17" s="449">
        <f t="shared" si="1"/>
        <v>-2.2384994415735368E-2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5492</v>
      </c>
      <c r="D18" s="456">
        <v>5429</v>
      </c>
      <c r="E18" s="456">
        <f t="shared" si="0"/>
        <v>-63</v>
      </c>
      <c r="F18" s="449">
        <f t="shared" si="1"/>
        <v>-1.1471230881281864E-2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641</v>
      </c>
      <c r="C19" s="459">
        <v>1.6163400000000001</v>
      </c>
      <c r="D19" s="459">
        <v>1.67954</v>
      </c>
      <c r="E19" s="460">
        <f t="shared" si="0"/>
        <v>6.3199999999999923E-2</v>
      </c>
      <c r="F19" s="449">
        <f t="shared" si="1"/>
        <v>3.9100684261974536E-2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642</v>
      </c>
      <c r="C20" s="463">
        <f>C18*C19</f>
        <v>8876.9392800000005</v>
      </c>
      <c r="D20" s="463">
        <f>LN_IA4*LN_IA5</f>
        <v>9118.2226599999995</v>
      </c>
      <c r="E20" s="463">
        <f t="shared" si="0"/>
        <v>241.28337999999894</v>
      </c>
      <c r="F20" s="449">
        <f t="shared" si="1"/>
        <v>2.7180920403907384E-2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643</v>
      </c>
      <c r="C21" s="465">
        <f>IF(C20=0,0,C16/C20)</f>
        <v>8827.7161224425981</v>
      </c>
      <c r="D21" s="465">
        <f>IF(LN_IA6=0,0,LN_IA2/LN_IA6)</f>
        <v>8435.8182365333905</v>
      </c>
      <c r="E21" s="465">
        <f t="shared" si="0"/>
        <v>-391.89788590920762</v>
      </c>
      <c r="F21" s="449">
        <f t="shared" si="1"/>
        <v>-4.4394029041428987E-2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34268</v>
      </c>
      <c r="D22" s="456">
        <v>32364</v>
      </c>
      <c r="E22" s="456">
        <f t="shared" si="0"/>
        <v>-1904</v>
      </c>
      <c r="F22" s="449">
        <f t="shared" si="1"/>
        <v>-5.5562040387533561E-2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644</v>
      </c>
      <c r="C23" s="465">
        <f>IF(C22=0,0,C16/C22)</f>
        <v>2286.7719154896695</v>
      </c>
      <c r="D23" s="465">
        <f>IF(LN_IA8=0,0,LN_IA2/LN_IA8)</f>
        <v>2376.7046409590903</v>
      </c>
      <c r="E23" s="465">
        <f t="shared" si="0"/>
        <v>89.932725469420802</v>
      </c>
      <c r="F23" s="449">
        <f t="shared" si="1"/>
        <v>3.9327370106416314E-2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645</v>
      </c>
      <c r="C24" s="466">
        <f>IF(C18=0,0,C22/C18)</f>
        <v>6.2396212672978875</v>
      </c>
      <c r="D24" s="466">
        <f>IF(LN_IA4=0,0,LN_IA8/LN_IA4)</f>
        <v>5.9613188432492175</v>
      </c>
      <c r="E24" s="466">
        <f t="shared" si="0"/>
        <v>-0.27830242404867001</v>
      </c>
      <c r="F24" s="449">
        <f t="shared" si="1"/>
        <v>-4.4602454560385661E-2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646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647</v>
      </c>
      <c r="C27" s="448">
        <v>394307677</v>
      </c>
      <c r="D27" s="448">
        <v>447217525</v>
      </c>
      <c r="E27" s="448">
        <f t="shared" ref="E27:E32" si="2">D27-C27</f>
        <v>52909848</v>
      </c>
      <c r="F27" s="449">
        <f t="shared" ref="F27:F32" si="3">IF(C27=0,0,E27/C27)</f>
        <v>0.13418416907972097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648</v>
      </c>
      <c r="C28" s="448">
        <v>53747543</v>
      </c>
      <c r="D28" s="448">
        <v>61889481</v>
      </c>
      <c r="E28" s="448">
        <f t="shared" si="2"/>
        <v>8141938</v>
      </c>
      <c r="F28" s="449">
        <f t="shared" si="3"/>
        <v>0.15148484089775044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649</v>
      </c>
      <c r="C29" s="453">
        <f>IF(C27=0,0,C28/C27)</f>
        <v>0.13630863950944583</v>
      </c>
      <c r="D29" s="453">
        <f>IF(LN_IA11=0,0,LN_IA12/LN_IA11)</f>
        <v>0.13838787064527491</v>
      </c>
      <c r="E29" s="454">
        <f t="shared" si="2"/>
        <v>2.0792311358290849E-3</v>
      </c>
      <c r="F29" s="449">
        <f t="shared" si="3"/>
        <v>1.5253847029153274E-2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650</v>
      </c>
      <c r="C30" s="453">
        <f>IF(C15=0,0,C27/C15)</f>
        <v>1.211923050414919</v>
      </c>
      <c r="D30" s="453">
        <f>IF(LN_IA1=0,0,LN_IA11/LN_IA1)</f>
        <v>1.3689912969758249</v>
      </c>
      <c r="E30" s="454">
        <f t="shared" si="2"/>
        <v>0.1570682465609059</v>
      </c>
      <c r="F30" s="449">
        <f t="shared" si="3"/>
        <v>0.12960249126966547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651</v>
      </c>
      <c r="C31" s="463">
        <f>C30*C18</f>
        <v>6655.8813928787349</v>
      </c>
      <c r="D31" s="463">
        <f>LN_IA14*LN_IA4</f>
        <v>7432.2537512817535</v>
      </c>
      <c r="E31" s="463">
        <f t="shared" si="2"/>
        <v>776.37235840301855</v>
      </c>
      <c r="F31" s="449">
        <f t="shared" si="3"/>
        <v>0.11664456028824002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652</v>
      </c>
      <c r="C32" s="465">
        <f>IF(C31=0,0,C28/C31)</f>
        <v>8075.1954290389858</v>
      </c>
      <c r="D32" s="465">
        <f>IF(LN_IA15=0,0,LN_IA12/LN_IA15)</f>
        <v>8327.1485435123432</v>
      </c>
      <c r="E32" s="465">
        <f t="shared" si="2"/>
        <v>251.95311447335735</v>
      </c>
      <c r="F32" s="449">
        <f t="shared" si="3"/>
        <v>3.1200868968113856E-2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653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654</v>
      </c>
      <c r="C35" s="448">
        <f>C15+C27</f>
        <v>719664701</v>
      </c>
      <c r="D35" s="448">
        <f>LN_IA1+LN_IA11</f>
        <v>773894200</v>
      </c>
      <c r="E35" s="448">
        <f>D35-C35</f>
        <v>54229499</v>
      </c>
      <c r="F35" s="449">
        <f>IF(C35=0,0,E35/C35)</f>
        <v>7.5353840371281455E-2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655</v>
      </c>
      <c r="C36" s="448">
        <f>C16+C28</f>
        <v>132110643</v>
      </c>
      <c r="D36" s="448">
        <f>LN_IA2+LN_IA12</f>
        <v>138809150</v>
      </c>
      <c r="E36" s="448">
        <f>D36-C36</f>
        <v>6698507</v>
      </c>
      <c r="F36" s="449">
        <f>IF(C36=0,0,E36/C36)</f>
        <v>5.0703765025199368E-2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656</v>
      </c>
      <c r="C37" s="448">
        <f>C35-C36</f>
        <v>587554058</v>
      </c>
      <c r="D37" s="448">
        <f>LN_IA17-LN_IA18</f>
        <v>635085050</v>
      </c>
      <c r="E37" s="448">
        <f>D37-C37</f>
        <v>47530992</v>
      </c>
      <c r="F37" s="449">
        <f>IF(C37=0,0,E37/C37)</f>
        <v>8.0896372602365721E-2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657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658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638</v>
      </c>
      <c r="C42" s="448">
        <v>215616024</v>
      </c>
      <c r="D42" s="448">
        <v>215573321</v>
      </c>
      <c r="E42" s="448">
        <f t="shared" ref="E42:E53" si="4">D42-C42</f>
        <v>-42703</v>
      </c>
      <c r="F42" s="449">
        <f t="shared" ref="F42:F53" si="5">IF(C42=0,0,E42/C42)</f>
        <v>-1.9805114298926131E-4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639</v>
      </c>
      <c r="C43" s="448">
        <v>82887321</v>
      </c>
      <c r="D43" s="448">
        <v>86757106</v>
      </c>
      <c r="E43" s="448">
        <f t="shared" si="4"/>
        <v>3869785</v>
      </c>
      <c r="F43" s="449">
        <f t="shared" si="5"/>
        <v>4.6687297325003423E-2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640</v>
      </c>
      <c r="C44" s="453">
        <f>IF(C42=0,0,C43/C42)</f>
        <v>0.38442096956578703</v>
      </c>
      <c r="D44" s="453">
        <f>IF(LN_IB1=0,0,LN_IB2/LN_IB1)</f>
        <v>0.40244825100597675</v>
      </c>
      <c r="E44" s="454">
        <f t="shared" si="4"/>
        <v>1.8027281440189724E-2</v>
      </c>
      <c r="F44" s="449">
        <f t="shared" si="5"/>
        <v>4.6894636004253316E-2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5862</v>
      </c>
      <c r="D45" s="456">
        <v>5675</v>
      </c>
      <c r="E45" s="456">
        <f t="shared" si="4"/>
        <v>-187</v>
      </c>
      <c r="F45" s="449">
        <f t="shared" si="5"/>
        <v>-3.1900375298532922E-2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641</v>
      </c>
      <c r="C46" s="459">
        <v>1.1091599999999999</v>
      </c>
      <c r="D46" s="459">
        <v>1.1492800000000001</v>
      </c>
      <c r="E46" s="460">
        <f t="shared" si="4"/>
        <v>4.0120000000000156E-2</v>
      </c>
      <c r="F46" s="449">
        <f t="shared" si="5"/>
        <v>3.6171517184175557E-2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642</v>
      </c>
      <c r="C47" s="463">
        <f>C45*C46</f>
        <v>6501.8959199999999</v>
      </c>
      <c r="D47" s="463">
        <f>LN_IB4*LN_IB5</f>
        <v>6522.1640000000007</v>
      </c>
      <c r="E47" s="463">
        <f t="shared" si="4"/>
        <v>20.268080000000737</v>
      </c>
      <c r="F47" s="449">
        <f t="shared" si="5"/>
        <v>3.1172569123500728E-3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643</v>
      </c>
      <c r="C48" s="465">
        <f>IF(C47=0,0,C43/C47)</f>
        <v>12748.177150150383</v>
      </c>
      <c r="D48" s="465">
        <f>IF(LN_IB6=0,0,LN_IB2/LN_IB6)</f>
        <v>13301.889679560341</v>
      </c>
      <c r="E48" s="465">
        <f t="shared" si="4"/>
        <v>553.71252940995873</v>
      </c>
      <c r="F48" s="449">
        <f t="shared" si="5"/>
        <v>4.3434643470060888E-2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659</v>
      </c>
      <c r="C49" s="465">
        <f>C21-C48</f>
        <v>-3920.4610277077845</v>
      </c>
      <c r="D49" s="465">
        <f>LN_IA7-LN_IB7</f>
        <v>-4866.0714430269509</v>
      </c>
      <c r="E49" s="465">
        <f t="shared" si="4"/>
        <v>-945.61041531916635</v>
      </c>
      <c r="F49" s="449">
        <f t="shared" si="5"/>
        <v>0.24119877959150277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660</v>
      </c>
      <c r="C50" s="479">
        <f>C49*C47</f>
        <v>-25490429.560572252</v>
      </c>
      <c r="D50" s="479">
        <f>LN_IB8*LN_IB6</f>
        <v>-31737315.987138432</v>
      </c>
      <c r="E50" s="479">
        <f t="shared" si="4"/>
        <v>-6246886.4265661798</v>
      </c>
      <c r="F50" s="449">
        <f t="shared" si="5"/>
        <v>0.24506791506678474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23582</v>
      </c>
      <c r="D51" s="456">
        <v>22337</v>
      </c>
      <c r="E51" s="456">
        <f t="shared" si="4"/>
        <v>-1245</v>
      </c>
      <c r="F51" s="449">
        <f t="shared" si="5"/>
        <v>-5.279450428292766E-2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644</v>
      </c>
      <c r="C52" s="465">
        <f>IF(C51=0,0,C43/C51)</f>
        <v>3514.8554405902805</v>
      </c>
      <c r="D52" s="465">
        <f>IF(LN_IB10=0,0,LN_IB2/LN_IB10)</f>
        <v>3884.0088642163228</v>
      </c>
      <c r="E52" s="465">
        <f t="shared" si="4"/>
        <v>369.15342362604224</v>
      </c>
      <c r="F52" s="449">
        <f t="shared" si="5"/>
        <v>0.10502663050177878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645</v>
      </c>
      <c r="C53" s="466">
        <f>IF(C45=0,0,C51/C45)</f>
        <v>4.0228590924599112</v>
      </c>
      <c r="D53" s="466">
        <f>IF(LN_IB4=0,0,LN_IB10/LN_IB4)</f>
        <v>3.9360352422907487</v>
      </c>
      <c r="E53" s="466">
        <f t="shared" si="4"/>
        <v>-8.6823850169162498E-2</v>
      </c>
      <c r="F53" s="449">
        <f t="shared" si="5"/>
        <v>-2.1582622750047943E-2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661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647</v>
      </c>
      <c r="C56" s="448">
        <v>637965131</v>
      </c>
      <c r="D56" s="448">
        <v>685024911</v>
      </c>
      <c r="E56" s="448">
        <f t="shared" ref="E56:E63" si="6">D56-C56</f>
        <v>47059780</v>
      </c>
      <c r="F56" s="449">
        <f t="shared" ref="F56:F63" si="7">IF(C56=0,0,E56/C56)</f>
        <v>7.3765442205649318E-2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648</v>
      </c>
      <c r="C57" s="448">
        <v>248436377</v>
      </c>
      <c r="D57" s="448">
        <v>258257486</v>
      </c>
      <c r="E57" s="448">
        <f t="shared" si="6"/>
        <v>9821109</v>
      </c>
      <c r="F57" s="449">
        <f t="shared" si="7"/>
        <v>3.953168661769689E-2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649</v>
      </c>
      <c r="C58" s="453">
        <f>IF(C56=0,0,C57/C56)</f>
        <v>0.3894199932378436</v>
      </c>
      <c r="D58" s="453">
        <f>IF(LN_IB13=0,0,LN_IB14/LN_IB13)</f>
        <v>0.37700451743133762</v>
      </c>
      <c r="E58" s="454">
        <f t="shared" si="6"/>
        <v>-1.2415475806505982E-2</v>
      </c>
      <c r="F58" s="449">
        <f t="shared" si="7"/>
        <v>-3.1881968111799178E-2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650</v>
      </c>
      <c r="C59" s="453">
        <f>IF(C42=0,0,C56/C42)</f>
        <v>2.9588020369024148</v>
      </c>
      <c r="D59" s="453">
        <f>IF(LN_IB1=0,0,LN_IB13/LN_IB1)</f>
        <v>3.1776887224370403</v>
      </c>
      <c r="E59" s="454">
        <f t="shared" si="6"/>
        <v>0.21888668553462542</v>
      </c>
      <c r="F59" s="449">
        <f t="shared" si="7"/>
        <v>7.3978144804773424E-2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651</v>
      </c>
      <c r="C60" s="463">
        <f>C59*C45</f>
        <v>17344.497540321954</v>
      </c>
      <c r="D60" s="463">
        <f>LN_IB16*LN_IB4</f>
        <v>18033.383499830205</v>
      </c>
      <c r="E60" s="463">
        <f t="shared" si="6"/>
        <v>688.88595950825038</v>
      </c>
      <c r="F60" s="449">
        <f t="shared" si="7"/>
        <v>3.9717838923079181E-2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652</v>
      </c>
      <c r="C61" s="465">
        <f>IF(C60=0,0,C57/C60)</f>
        <v>14323.642205399306</v>
      </c>
      <c r="D61" s="465">
        <f>IF(LN_IB17=0,0,LN_IB14/LN_IB17)</f>
        <v>14321.07768364332</v>
      </c>
      <c r="E61" s="465">
        <f t="shared" si="6"/>
        <v>-2.5645217559867888</v>
      </c>
      <c r="F61" s="449">
        <f t="shared" si="7"/>
        <v>-1.7904117676299471E-4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662</v>
      </c>
      <c r="C62" s="465">
        <f>C32-C61</f>
        <v>-6248.4467763603207</v>
      </c>
      <c r="D62" s="465">
        <f>LN_IA16-LN_IB18</f>
        <v>-5993.9291401309765</v>
      </c>
      <c r="E62" s="465">
        <f t="shared" si="6"/>
        <v>254.51763622934413</v>
      </c>
      <c r="F62" s="449">
        <f t="shared" si="7"/>
        <v>-4.0732944576283805E-2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663</v>
      </c>
      <c r="C63" s="448">
        <f>C62*C60</f>
        <v>-108376169.74341422</v>
      </c>
      <c r="D63" s="448">
        <f>LN_IB19*LN_IB17</f>
        <v>-108090822.85478939</v>
      </c>
      <c r="E63" s="448">
        <f t="shared" si="6"/>
        <v>285346.88862483203</v>
      </c>
      <c r="F63" s="449">
        <f t="shared" si="7"/>
        <v>-2.6329301847482197E-3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664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654</v>
      </c>
      <c r="C66" s="448">
        <f>C42+C56</f>
        <v>853581155</v>
      </c>
      <c r="D66" s="448">
        <f>LN_IB1+LN_IB13</f>
        <v>900598232</v>
      </c>
      <c r="E66" s="448">
        <f>D66-C66</f>
        <v>47017077</v>
      </c>
      <c r="F66" s="449">
        <f>IF(C66=0,0,E66/C66)</f>
        <v>5.5082140373635589E-2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655</v>
      </c>
      <c r="C67" s="448">
        <f>C43+C57</f>
        <v>331323698</v>
      </c>
      <c r="D67" s="448">
        <f>LN_IB2+LN_IB14</f>
        <v>345014592</v>
      </c>
      <c r="E67" s="448">
        <f>D67-C67</f>
        <v>13690894</v>
      </c>
      <c r="F67" s="449">
        <f>IF(C67=0,0,E67/C67)</f>
        <v>4.1321807291913058E-2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656</v>
      </c>
      <c r="C68" s="448">
        <f>C66-C67</f>
        <v>522257457</v>
      </c>
      <c r="D68" s="448">
        <f>LN_IB21-LN_IB22</f>
        <v>555583640</v>
      </c>
      <c r="E68" s="448">
        <f>D68-C68</f>
        <v>33326183</v>
      </c>
      <c r="F68" s="449">
        <f>IF(C68=0,0,E68/C68)</f>
        <v>6.3811789670625993E-2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665</v>
      </c>
      <c r="C70" s="441">
        <f>C50+C63</f>
        <v>-133866599.30398647</v>
      </c>
      <c r="D70" s="441">
        <f>LN_IB9+LN_IB20</f>
        <v>-139828138.84192783</v>
      </c>
      <c r="E70" s="448">
        <f>D70-C70</f>
        <v>-5961539.5379413515</v>
      </c>
      <c r="F70" s="449">
        <f>IF(C70=0,0,E70/C70)</f>
        <v>4.4533435292576529E-2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666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667</v>
      </c>
      <c r="C73" s="488">
        <v>757932744</v>
      </c>
      <c r="D73" s="488">
        <v>803551838</v>
      </c>
      <c r="E73" s="488">
        <f>D73-C73</f>
        <v>45619094</v>
      </c>
      <c r="F73" s="489">
        <f>IF(C73=0,0,E73/C73)</f>
        <v>6.0188841768788921E-2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668</v>
      </c>
      <c r="C74" s="488">
        <v>317763478</v>
      </c>
      <c r="D74" s="488">
        <v>332652026</v>
      </c>
      <c r="E74" s="488">
        <f>D74-C74</f>
        <v>14888548</v>
      </c>
      <c r="F74" s="489">
        <f>IF(C74=0,0,E74/C74)</f>
        <v>4.6854182531322876E-2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669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670</v>
      </c>
      <c r="C76" s="441">
        <f>C73-C74</f>
        <v>440169266</v>
      </c>
      <c r="D76" s="441">
        <f>LN_IB32-LN_IB33</f>
        <v>470899812</v>
      </c>
      <c r="E76" s="488">
        <f>D76-C76</f>
        <v>30730546</v>
      </c>
      <c r="F76" s="489">
        <f>IF(E76=0,0,E76/C76)</f>
        <v>6.9815292374365817E-2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671</v>
      </c>
      <c r="C77" s="453">
        <f>IF(C73=0,0,C76/C73)</f>
        <v>0.58074976900588948</v>
      </c>
      <c r="D77" s="453">
        <f>IF(LN_IB32=0,0,LN_IB34/LN_IB32)</f>
        <v>0.58602294180801806</v>
      </c>
      <c r="E77" s="493">
        <f>D77-C77</f>
        <v>5.2731728021285784E-3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672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673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638</v>
      </c>
      <c r="C83" s="448">
        <v>8218885</v>
      </c>
      <c r="D83" s="448">
        <v>8550587</v>
      </c>
      <c r="E83" s="448">
        <f t="shared" ref="E83:E95" si="8">D83-C83</f>
        <v>331702</v>
      </c>
      <c r="F83" s="449">
        <f t="shared" ref="F83:F95" si="9">IF(C83=0,0,E83/C83)</f>
        <v>4.0358515784075337E-2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639</v>
      </c>
      <c r="C84" s="448">
        <v>175349</v>
      </c>
      <c r="D84" s="448">
        <v>194625</v>
      </c>
      <c r="E84" s="448">
        <f t="shared" si="8"/>
        <v>19276</v>
      </c>
      <c r="F84" s="449">
        <f t="shared" si="9"/>
        <v>0.10992934091440498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640</v>
      </c>
      <c r="C85" s="453">
        <f>IF(C83=0,0,C84/C83)</f>
        <v>2.1334889099920488E-2</v>
      </c>
      <c r="D85" s="453">
        <f>IF(LN_IC1=0,0,LN_IC2/LN_IC1)</f>
        <v>2.2761595198084062E-2</v>
      </c>
      <c r="E85" s="454">
        <f t="shared" si="8"/>
        <v>1.4267060981635743E-3</v>
      </c>
      <c r="F85" s="449">
        <f t="shared" si="9"/>
        <v>6.6871971608649772E-2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193</v>
      </c>
      <c r="D86" s="456">
        <v>139</v>
      </c>
      <c r="E86" s="456">
        <f t="shared" si="8"/>
        <v>-54</v>
      </c>
      <c r="F86" s="449">
        <f t="shared" si="9"/>
        <v>-0.27979274611398963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641</v>
      </c>
      <c r="C87" s="459">
        <v>1.2165999999999999</v>
      </c>
      <c r="D87" s="459">
        <v>1.3370899999999999</v>
      </c>
      <c r="E87" s="460">
        <f t="shared" si="8"/>
        <v>0.12048999999999999</v>
      </c>
      <c r="F87" s="449">
        <f t="shared" si="9"/>
        <v>9.9038303468683211E-2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642</v>
      </c>
      <c r="C88" s="463">
        <f>C86*C87</f>
        <v>234.8038</v>
      </c>
      <c r="D88" s="463">
        <f>LN_IC4*LN_IC5</f>
        <v>185.85550999999998</v>
      </c>
      <c r="E88" s="463">
        <f t="shared" si="8"/>
        <v>-48.948290000000014</v>
      </c>
      <c r="F88" s="449">
        <f t="shared" si="9"/>
        <v>-0.20846464154328004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643</v>
      </c>
      <c r="C89" s="465">
        <f>IF(C88=0,0,C84/C88)</f>
        <v>746.78944718952596</v>
      </c>
      <c r="D89" s="465">
        <f>IF(LN_IC6=0,0,LN_IC2/LN_IC6)</f>
        <v>1047.1844498987414</v>
      </c>
      <c r="E89" s="465">
        <f t="shared" si="8"/>
        <v>300.39500270921542</v>
      </c>
      <c r="F89" s="449">
        <f t="shared" si="9"/>
        <v>0.40224859073695357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674</v>
      </c>
      <c r="C90" s="465">
        <f>C48-C89</f>
        <v>12001.387702960857</v>
      </c>
      <c r="D90" s="465">
        <f>LN_IB7-LN_IC7</f>
        <v>12254.7052296616</v>
      </c>
      <c r="E90" s="465">
        <f t="shared" si="8"/>
        <v>253.31752670074275</v>
      </c>
      <c r="F90" s="449">
        <f t="shared" si="9"/>
        <v>2.1107352997041074E-2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675</v>
      </c>
      <c r="C91" s="465">
        <f>C21-C89</f>
        <v>8080.9266752530721</v>
      </c>
      <c r="D91" s="465">
        <f>LN_IA7-LN_IC7</f>
        <v>7388.6337866346494</v>
      </c>
      <c r="E91" s="465">
        <f t="shared" si="8"/>
        <v>-692.29288861842269</v>
      </c>
      <c r="F91" s="449">
        <f t="shared" si="9"/>
        <v>-8.5669987668430619E-2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660</v>
      </c>
      <c r="C92" s="441">
        <f>C91*C88</f>
        <v>1897432.2908707873</v>
      </c>
      <c r="D92" s="441">
        <f>LN_IC9*LN_IC6</f>
        <v>1373218.3006182138</v>
      </c>
      <c r="E92" s="441">
        <f t="shared" si="8"/>
        <v>-524213.99025257351</v>
      </c>
      <c r="F92" s="449">
        <f t="shared" si="9"/>
        <v>-0.27627546594139407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716</v>
      </c>
      <c r="D93" s="456">
        <v>540</v>
      </c>
      <c r="E93" s="456">
        <f t="shared" si="8"/>
        <v>-176</v>
      </c>
      <c r="F93" s="449">
        <f t="shared" si="9"/>
        <v>-0.24581005586592178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644</v>
      </c>
      <c r="C94" s="499">
        <f>IF(C93=0,0,C84/C93)</f>
        <v>244.90083798882682</v>
      </c>
      <c r="D94" s="499">
        <f>IF(LN_IC11=0,0,LN_IC2/LN_IC11)</f>
        <v>360.41666666666669</v>
      </c>
      <c r="E94" s="499">
        <f t="shared" si="8"/>
        <v>115.51582867783986</v>
      </c>
      <c r="F94" s="449">
        <f t="shared" si="9"/>
        <v>0.47168408906428516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645</v>
      </c>
      <c r="C95" s="466">
        <f>IF(C86=0,0,C93/C86)</f>
        <v>3.7098445595854921</v>
      </c>
      <c r="D95" s="466">
        <f>IF(LN_IC4=0,0,LN_IC11/LN_IC4)</f>
        <v>3.8848920863309351</v>
      </c>
      <c r="E95" s="466">
        <f t="shared" si="8"/>
        <v>0.17504752674544299</v>
      </c>
      <c r="F95" s="449">
        <f t="shared" si="9"/>
        <v>4.7184598689763269E-2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676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647</v>
      </c>
      <c r="C98" s="448">
        <v>53763116</v>
      </c>
      <c r="D98" s="448">
        <v>53108751</v>
      </c>
      <c r="E98" s="448">
        <f t="shared" ref="E98:E106" si="10">D98-C98</f>
        <v>-654365</v>
      </c>
      <c r="F98" s="449">
        <f t="shared" ref="F98:F106" si="11">IF(C98=0,0,E98/C98)</f>
        <v>-1.2171262543636794E-2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648</v>
      </c>
      <c r="C99" s="448">
        <v>1720175</v>
      </c>
      <c r="D99" s="448">
        <v>2008694</v>
      </c>
      <c r="E99" s="448">
        <f t="shared" si="10"/>
        <v>288519</v>
      </c>
      <c r="F99" s="449">
        <f t="shared" si="11"/>
        <v>0.16772653945092797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649</v>
      </c>
      <c r="C100" s="453">
        <f>IF(C98=0,0,C99/C98)</f>
        <v>3.1995448329296988E-2</v>
      </c>
      <c r="D100" s="453">
        <f>IF(LN_IC14=0,0,LN_IC15/LN_IC14)</f>
        <v>3.7822279043994086E-2</v>
      </c>
      <c r="E100" s="454">
        <f t="shared" si="10"/>
        <v>5.8268307146970982E-3</v>
      </c>
      <c r="F100" s="449">
        <f t="shared" si="11"/>
        <v>0.1821143637284712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650</v>
      </c>
      <c r="C101" s="453">
        <f>IF(C83=0,0,C98/C83)</f>
        <v>6.5414123691960651</v>
      </c>
      <c r="D101" s="453">
        <f>IF(LN_IC1=0,0,LN_IC14/LN_IC1)</f>
        <v>6.2111234000659836</v>
      </c>
      <c r="E101" s="454">
        <f t="shared" si="10"/>
        <v>-0.33028896913008143</v>
      </c>
      <c r="F101" s="449">
        <f t="shared" si="11"/>
        <v>-5.0491996298144055E-2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651</v>
      </c>
      <c r="C102" s="463">
        <f>C101*C86</f>
        <v>1262.4925872548406</v>
      </c>
      <c r="D102" s="463">
        <f>LN_IC17*LN_IC4</f>
        <v>863.34615260917167</v>
      </c>
      <c r="E102" s="463">
        <f t="shared" si="10"/>
        <v>-399.14643464566893</v>
      </c>
      <c r="F102" s="449">
        <f t="shared" si="11"/>
        <v>-0.31615744811109864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652</v>
      </c>
      <c r="C103" s="465">
        <f>IF(C102=0,0,C99/C102)</f>
        <v>1362.5228515126116</v>
      </c>
      <c r="D103" s="465">
        <f>IF(LN_IC18=0,0,LN_IC15/LN_IC18)</f>
        <v>2326.6380395967503</v>
      </c>
      <c r="E103" s="465">
        <f t="shared" si="10"/>
        <v>964.11518808413871</v>
      </c>
      <c r="F103" s="449">
        <f t="shared" si="11"/>
        <v>0.70759560987459502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677</v>
      </c>
      <c r="C104" s="465">
        <f>C61-C103</f>
        <v>12961.119353886696</v>
      </c>
      <c r="D104" s="465">
        <f>LN_IB18-LN_IC19</f>
        <v>11994.43964404657</v>
      </c>
      <c r="E104" s="465">
        <f t="shared" si="10"/>
        <v>-966.67970984012572</v>
      </c>
      <c r="F104" s="449">
        <f t="shared" si="11"/>
        <v>-7.4583042054175985E-2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678</v>
      </c>
      <c r="C105" s="465">
        <f>C32-C103</f>
        <v>6712.672577526374</v>
      </c>
      <c r="D105" s="465">
        <f>LN_IA16-LN_IC19</f>
        <v>6000.5105039155933</v>
      </c>
      <c r="E105" s="465">
        <f t="shared" si="10"/>
        <v>-712.16207361078068</v>
      </c>
      <c r="F105" s="449">
        <f t="shared" si="11"/>
        <v>-0.10609218092880869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663</v>
      </c>
      <c r="C106" s="448">
        <f>C105*C102</f>
        <v>8474699.3697958905</v>
      </c>
      <c r="D106" s="448">
        <f>LN_IC21*LN_IC18</f>
        <v>5180517.657246449</v>
      </c>
      <c r="E106" s="448">
        <f t="shared" si="10"/>
        <v>-3294181.7125494415</v>
      </c>
      <c r="F106" s="449">
        <f t="shared" si="11"/>
        <v>-0.38870779585291421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679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654</v>
      </c>
      <c r="C109" s="448">
        <f>C83+C98</f>
        <v>61982001</v>
      </c>
      <c r="D109" s="448">
        <f>LN_IC1+LN_IC14</f>
        <v>61659338</v>
      </c>
      <c r="E109" s="448">
        <f>D109-C109</f>
        <v>-322663</v>
      </c>
      <c r="F109" s="449">
        <f>IF(C109=0,0,E109/C109)</f>
        <v>-5.2057531992231098E-3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655</v>
      </c>
      <c r="C110" s="448">
        <f>C84+C99</f>
        <v>1895524</v>
      </c>
      <c r="D110" s="448">
        <f>LN_IC2+LN_IC15</f>
        <v>2203319</v>
      </c>
      <c r="E110" s="448">
        <f>D110-C110</f>
        <v>307795</v>
      </c>
      <c r="F110" s="449">
        <f>IF(C110=0,0,E110/C110)</f>
        <v>0.16237990128323354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656</v>
      </c>
      <c r="C111" s="448">
        <f>C109-C110</f>
        <v>60086477</v>
      </c>
      <c r="D111" s="448">
        <f>LN_IC23-LN_IC24</f>
        <v>59456019</v>
      </c>
      <c r="E111" s="448">
        <f>D111-C111</f>
        <v>-630458</v>
      </c>
      <c r="F111" s="449">
        <f>IF(C111=0,0,E111/C111)</f>
        <v>-1.0492510652604911E-2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665</v>
      </c>
      <c r="C113" s="448">
        <f>C92+C106</f>
        <v>10372131.660666678</v>
      </c>
      <c r="D113" s="448">
        <f>LN_IC10+LN_IC22</f>
        <v>6553735.9578646626</v>
      </c>
      <c r="E113" s="448">
        <f>D113-C113</f>
        <v>-3818395.7028020155</v>
      </c>
      <c r="F113" s="449">
        <f>IF(C113=0,0,E113/C113)</f>
        <v>-0.36813991836241161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680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681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638</v>
      </c>
      <c r="C118" s="448">
        <v>111346725</v>
      </c>
      <c r="D118" s="448">
        <v>131712107</v>
      </c>
      <c r="E118" s="448">
        <f t="shared" ref="E118:E130" si="12">D118-C118</f>
        <v>20365382</v>
      </c>
      <c r="F118" s="449">
        <f t="shared" ref="F118:F130" si="13">IF(C118=0,0,E118/C118)</f>
        <v>0.18290059272062109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639</v>
      </c>
      <c r="C119" s="448">
        <v>14481962</v>
      </c>
      <c r="D119" s="448">
        <v>14434839</v>
      </c>
      <c r="E119" s="448">
        <f t="shared" si="12"/>
        <v>-47123</v>
      </c>
      <c r="F119" s="449">
        <f t="shared" si="13"/>
        <v>-3.2539099329220722E-3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640</v>
      </c>
      <c r="C120" s="453">
        <f>IF(C118=0,0,C119/C118)</f>
        <v>0.13006185857734029</v>
      </c>
      <c r="D120" s="453">
        <f>IF(LN_ID1=0,0,LN_1D2/LN_ID1)</f>
        <v>0.10959386596100842</v>
      </c>
      <c r="E120" s="454">
        <f t="shared" si="12"/>
        <v>-2.0467992616331865E-2</v>
      </c>
      <c r="F120" s="449">
        <f t="shared" si="13"/>
        <v>-0.15737121428386117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3394</v>
      </c>
      <c r="D121" s="456">
        <v>3709</v>
      </c>
      <c r="E121" s="456">
        <f t="shared" si="12"/>
        <v>315</v>
      </c>
      <c r="F121" s="449">
        <f t="shared" si="13"/>
        <v>9.2810842663523865E-2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641</v>
      </c>
      <c r="C122" s="459">
        <v>1.0188999999999999</v>
      </c>
      <c r="D122" s="459">
        <v>1.0799399999999999</v>
      </c>
      <c r="E122" s="460">
        <f t="shared" si="12"/>
        <v>6.1039999999999983E-2</v>
      </c>
      <c r="F122" s="449">
        <f t="shared" si="13"/>
        <v>5.990774364510746E-2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642</v>
      </c>
      <c r="C123" s="463">
        <f>C121*C122</f>
        <v>3458.1465999999996</v>
      </c>
      <c r="D123" s="463">
        <f>LN_ID4*LN_ID5</f>
        <v>4005.4974599999996</v>
      </c>
      <c r="E123" s="463">
        <f t="shared" si="12"/>
        <v>547.35086000000001</v>
      </c>
      <c r="F123" s="449">
        <f t="shared" si="13"/>
        <v>0.15827867447840416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643</v>
      </c>
      <c r="C124" s="465">
        <f>IF(C123=0,0,C119/C123)</f>
        <v>4187.7813971218002</v>
      </c>
      <c r="D124" s="465">
        <f>IF(LN_ID6=0,0,LN_1D2/LN_ID6)</f>
        <v>3603.7568726856716</v>
      </c>
      <c r="E124" s="465">
        <f t="shared" si="12"/>
        <v>-584.02452443612856</v>
      </c>
      <c r="F124" s="449">
        <f t="shared" si="13"/>
        <v>-0.13945917158845014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682</v>
      </c>
      <c r="C125" s="465">
        <f>C48-C124</f>
        <v>8560.3957530285825</v>
      </c>
      <c r="D125" s="465">
        <f>LN_IB7-LN_ID7</f>
        <v>9698.1328068746698</v>
      </c>
      <c r="E125" s="465">
        <f t="shared" si="12"/>
        <v>1137.7370538460873</v>
      </c>
      <c r="F125" s="449">
        <f t="shared" si="13"/>
        <v>0.13290706255532256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683</v>
      </c>
      <c r="C126" s="465">
        <f>C21-C124</f>
        <v>4639.934725320798</v>
      </c>
      <c r="D126" s="465">
        <f>LN_IA7-LN_ID7</f>
        <v>4832.0613638477189</v>
      </c>
      <c r="E126" s="465">
        <f t="shared" si="12"/>
        <v>192.12663852692094</v>
      </c>
      <c r="F126" s="449">
        <f t="shared" si="13"/>
        <v>4.1407185639586258E-2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660</v>
      </c>
      <c r="C127" s="479">
        <f>C126*C123</f>
        <v>16045574.49459005</v>
      </c>
      <c r="D127" s="479">
        <f>LN_ID9*LN_ID6</f>
        <v>19354809.51945617</v>
      </c>
      <c r="E127" s="479">
        <f t="shared" si="12"/>
        <v>3309235.0248661209</v>
      </c>
      <c r="F127" s="449">
        <f t="shared" si="13"/>
        <v>0.20623973457490521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14820</v>
      </c>
      <c r="D128" s="456">
        <v>16313</v>
      </c>
      <c r="E128" s="456">
        <f t="shared" si="12"/>
        <v>1493</v>
      </c>
      <c r="F128" s="449">
        <f t="shared" si="13"/>
        <v>0.10074224021592443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644</v>
      </c>
      <c r="C129" s="465">
        <f>IF(C128=0,0,C119/C128)</f>
        <v>977.19041835357621</v>
      </c>
      <c r="D129" s="465">
        <f>IF(LN_ID11=0,0,LN_1D2/LN_ID11)</f>
        <v>884.86722246061424</v>
      </c>
      <c r="E129" s="465">
        <f t="shared" si="12"/>
        <v>-92.323195892961962</v>
      </c>
      <c r="F129" s="449">
        <f t="shared" si="13"/>
        <v>-9.4478204205597022E-2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645</v>
      </c>
      <c r="C130" s="466">
        <f>IF(C121=0,0,C128/C121)</f>
        <v>4.3665291691219803</v>
      </c>
      <c r="D130" s="466">
        <f>IF(LN_ID4=0,0,LN_ID11/LN_ID4)</f>
        <v>4.3982205446211919</v>
      </c>
      <c r="E130" s="466">
        <f t="shared" si="12"/>
        <v>3.1691375499211638E-2</v>
      </c>
      <c r="F130" s="449">
        <f t="shared" si="13"/>
        <v>7.2577954415873345E-3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684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647</v>
      </c>
      <c r="C133" s="448">
        <v>179795054</v>
      </c>
      <c r="D133" s="448">
        <v>204421759</v>
      </c>
      <c r="E133" s="448">
        <f t="shared" ref="E133:E141" si="14">D133-C133</f>
        <v>24626705</v>
      </c>
      <c r="F133" s="449">
        <f t="shared" ref="F133:F141" si="15">IF(C133=0,0,E133/C133)</f>
        <v>0.13697098141531747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648</v>
      </c>
      <c r="C134" s="448">
        <v>24103560</v>
      </c>
      <c r="D134" s="448">
        <v>24884107</v>
      </c>
      <c r="E134" s="448">
        <f t="shared" si="14"/>
        <v>780547</v>
      </c>
      <c r="F134" s="449">
        <f t="shared" si="15"/>
        <v>3.2383058768082389E-2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649</v>
      </c>
      <c r="C135" s="453">
        <f>IF(C133=0,0,C134/C133)</f>
        <v>0.13406130738168137</v>
      </c>
      <c r="D135" s="453">
        <f>IF(LN_ID14=0,0,LN_ID15/LN_ID14)</f>
        <v>0.1217292480102375</v>
      </c>
      <c r="E135" s="454">
        <f t="shared" si="14"/>
        <v>-1.2332059371443868E-2</v>
      </c>
      <c r="F135" s="449">
        <f t="shared" si="15"/>
        <v>-9.1988207576804273E-2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650</v>
      </c>
      <c r="C136" s="453">
        <f>IF(C118=0,0,C133/C118)</f>
        <v>1.6147314076817256</v>
      </c>
      <c r="D136" s="453">
        <f>IF(LN_ID1=0,0,LN_ID14/LN_ID1)</f>
        <v>1.5520346888080683</v>
      </c>
      <c r="E136" s="454">
        <f t="shared" si="14"/>
        <v>-6.2696718873657353E-2</v>
      </c>
      <c r="F136" s="449">
        <f t="shared" si="15"/>
        <v>-3.8827955271936651E-2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651</v>
      </c>
      <c r="C137" s="463">
        <f>C136*C121</f>
        <v>5480.3983976717764</v>
      </c>
      <c r="D137" s="463">
        <f>LN_ID17*LN_ID4</f>
        <v>5756.4966607891256</v>
      </c>
      <c r="E137" s="463">
        <f t="shared" si="14"/>
        <v>276.09826311734923</v>
      </c>
      <c r="F137" s="449">
        <f t="shared" si="15"/>
        <v>5.0379232143897307E-2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652</v>
      </c>
      <c r="C138" s="465">
        <f>IF(C137=0,0,C134/C137)</f>
        <v>4398.1401078870203</v>
      </c>
      <c r="D138" s="465">
        <f>IF(LN_ID18=0,0,LN_ID15/LN_ID18)</f>
        <v>4322.7866645872036</v>
      </c>
      <c r="E138" s="465">
        <f t="shared" si="14"/>
        <v>-75.353443299816718</v>
      </c>
      <c r="F138" s="449">
        <f t="shared" si="15"/>
        <v>-1.7133024744866176E-2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685</v>
      </c>
      <c r="C139" s="465">
        <f>C61-C138</f>
        <v>9925.5020975122861</v>
      </c>
      <c r="D139" s="465">
        <f>LN_IB18-LN_ID19</f>
        <v>9998.2910190561161</v>
      </c>
      <c r="E139" s="465">
        <f t="shared" si="14"/>
        <v>72.788921543829929</v>
      </c>
      <c r="F139" s="449">
        <f t="shared" si="15"/>
        <v>7.3335253802498963E-3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686</v>
      </c>
      <c r="C140" s="465">
        <f>C32-C138</f>
        <v>3677.0553211519655</v>
      </c>
      <c r="D140" s="465">
        <f>LN_IA16-LN_ID19</f>
        <v>4004.3618789251395</v>
      </c>
      <c r="E140" s="465">
        <f t="shared" si="14"/>
        <v>327.30655777317406</v>
      </c>
      <c r="F140" s="449">
        <f t="shared" si="15"/>
        <v>8.9013226396233255E-2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663</v>
      </c>
      <c r="C141" s="441">
        <f>C140*C137</f>
        <v>20151728.090191711</v>
      </c>
      <c r="D141" s="441">
        <f>LN_ID21*LN_ID18</f>
        <v>23051095.784623835</v>
      </c>
      <c r="E141" s="441">
        <f t="shared" si="14"/>
        <v>2899367.6944321245</v>
      </c>
      <c r="F141" s="449">
        <f t="shared" si="15"/>
        <v>0.1438768765366237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687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654</v>
      </c>
      <c r="C144" s="448">
        <f>C118+C133</f>
        <v>291141779</v>
      </c>
      <c r="D144" s="448">
        <f>LN_ID1+LN_ID14</f>
        <v>336133866</v>
      </c>
      <c r="E144" s="448">
        <f>D144-C144</f>
        <v>44992087</v>
      </c>
      <c r="F144" s="449">
        <f>IF(C144=0,0,E144/C144)</f>
        <v>0.1545366905242411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655</v>
      </c>
      <c r="C145" s="448">
        <f>C119+C134</f>
        <v>38585522</v>
      </c>
      <c r="D145" s="448">
        <f>LN_1D2+LN_ID15</f>
        <v>39318946</v>
      </c>
      <c r="E145" s="448">
        <f>D145-C145</f>
        <v>733424</v>
      </c>
      <c r="F145" s="449">
        <f>IF(C145=0,0,E145/C145)</f>
        <v>1.9007751145623999E-2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656</v>
      </c>
      <c r="C146" s="448">
        <f>C144-C145</f>
        <v>252556257</v>
      </c>
      <c r="D146" s="448">
        <f>LN_ID23-LN_ID24</f>
        <v>296814920</v>
      </c>
      <c r="E146" s="448">
        <f>D146-C146</f>
        <v>44258663</v>
      </c>
      <c r="F146" s="449">
        <f>IF(C146=0,0,E146/C146)</f>
        <v>0.17524278956985018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665</v>
      </c>
      <c r="C148" s="448">
        <f>C127+C141</f>
        <v>36197302.584781758</v>
      </c>
      <c r="D148" s="448">
        <f>LN_ID10+LN_ID22</f>
        <v>42405905.304080009</v>
      </c>
      <c r="E148" s="448">
        <f>D148-C148</f>
        <v>6208602.719298251</v>
      </c>
      <c r="F148" s="503">
        <f>IF(C148=0,0,E148/C148)</f>
        <v>0.17152114317790357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688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689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638</v>
      </c>
      <c r="C153" s="448">
        <v>3407245</v>
      </c>
      <c r="D153" s="448">
        <v>2385334</v>
      </c>
      <c r="E153" s="448">
        <f t="shared" ref="E153:E165" si="16">D153-C153</f>
        <v>-1021911</v>
      </c>
      <c r="F153" s="449">
        <f t="shared" ref="F153:F165" si="17">IF(C153=0,0,E153/C153)</f>
        <v>-0.29992295828447912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639</v>
      </c>
      <c r="C154" s="448">
        <v>487782</v>
      </c>
      <c r="D154" s="448">
        <v>494833</v>
      </c>
      <c r="E154" s="448">
        <f t="shared" si="16"/>
        <v>7051</v>
      </c>
      <c r="F154" s="449">
        <f t="shared" si="17"/>
        <v>1.4455227950190865E-2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640</v>
      </c>
      <c r="C155" s="453">
        <f>IF(C153=0,0,C154/C153)</f>
        <v>0.14316023649605472</v>
      </c>
      <c r="D155" s="453">
        <f>IF(LN_IE1=0,0,LN_IE2/LN_IE1)</f>
        <v>0.20744809741528858</v>
      </c>
      <c r="E155" s="454">
        <f t="shared" si="16"/>
        <v>6.4287860919233858E-2</v>
      </c>
      <c r="F155" s="449">
        <f t="shared" si="17"/>
        <v>0.44906227100990809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80</v>
      </c>
      <c r="D156" s="506">
        <v>63</v>
      </c>
      <c r="E156" s="506">
        <f t="shared" si="16"/>
        <v>-17</v>
      </c>
      <c r="F156" s="449">
        <f t="shared" si="17"/>
        <v>-0.21249999999999999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641</v>
      </c>
      <c r="C157" s="459">
        <v>1.1645700000000001</v>
      </c>
      <c r="D157" s="459">
        <v>1.4411099999999999</v>
      </c>
      <c r="E157" s="460">
        <f t="shared" si="16"/>
        <v>0.27653999999999979</v>
      </c>
      <c r="F157" s="449">
        <f t="shared" si="17"/>
        <v>0.23746103712099725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642</v>
      </c>
      <c r="C158" s="463">
        <f>C156*C157</f>
        <v>93.165600000000012</v>
      </c>
      <c r="D158" s="463">
        <f>LN_IE4*LN_IE5</f>
        <v>90.789929999999998</v>
      </c>
      <c r="E158" s="463">
        <f t="shared" si="16"/>
        <v>-2.3756700000000137</v>
      </c>
      <c r="F158" s="449">
        <f t="shared" si="17"/>
        <v>-2.5499433267214652E-2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643</v>
      </c>
      <c r="C159" s="465">
        <f>IF(C158=0,0,C154/C158)</f>
        <v>5235.6449161493074</v>
      </c>
      <c r="D159" s="465">
        <f>IF(LN_IE6=0,0,LN_IE2/LN_IE6)</f>
        <v>5450.3070990362039</v>
      </c>
      <c r="E159" s="465">
        <f t="shared" si="16"/>
        <v>214.66218288689652</v>
      </c>
      <c r="F159" s="449">
        <f t="shared" si="17"/>
        <v>4.1000141591873929E-2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690</v>
      </c>
      <c r="C160" s="465">
        <f>C48-C159</f>
        <v>7512.5322340010753</v>
      </c>
      <c r="D160" s="465">
        <f>LN_IB7-LN_IE7</f>
        <v>7851.5825805241375</v>
      </c>
      <c r="E160" s="465">
        <f t="shared" si="16"/>
        <v>339.05034652306222</v>
      </c>
      <c r="F160" s="449">
        <f t="shared" si="17"/>
        <v>4.5131300067978344E-2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691</v>
      </c>
      <c r="C161" s="465">
        <f>C21-C159</f>
        <v>3592.0712062932907</v>
      </c>
      <c r="D161" s="465">
        <f>LN_IA7-LN_IE7</f>
        <v>2985.5111374971866</v>
      </c>
      <c r="E161" s="465">
        <f t="shared" si="16"/>
        <v>-606.56006879610413</v>
      </c>
      <c r="F161" s="449">
        <f t="shared" si="17"/>
        <v>-0.16886081426599059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660</v>
      </c>
      <c r="C162" s="479">
        <f>C161*C158</f>
        <v>334657.46917703823</v>
      </c>
      <c r="D162" s="479">
        <f>LN_IE9*LN_IE6</f>
        <v>271054.34718758997</v>
      </c>
      <c r="E162" s="479">
        <f t="shared" si="16"/>
        <v>-63603.121989448264</v>
      </c>
      <c r="F162" s="449">
        <f t="shared" si="17"/>
        <v>-0.19005439246838196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428</v>
      </c>
      <c r="D163" s="456">
        <v>320</v>
      </c>
      <c r="E163" s="506">
        <f t="shared" si="16"/>
        <v>-108</v>
      </c>
      <c r="F163" s="449">
        <f t="shared" si="17"/>
        <v>-0.25233644859813081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644</v>
      </c>
      <c r="C164" s="465">
        <f>IF(C163=0,0,C154/C163)</f>
        <v>1139.6775700934579</v>
      </c>
      <c r="D164" s="465">
        <f>IF(LN_IE11=0,0,LN_IE2/LN_IE11)</f>
        <v>1546.3531250000001</v>
      </c>
      <c r="E164" s="465">
        <f t="shared" si="16"/>
        <v>406.67555490654217</v>
      </c>
      <c r="F164" s="449">
        <f t="shared" si="17"/>
        <v>0.35683386738338041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645</v>
      </c>
      <c r="C165" s="466">
        <f>IF(C156=0,0,C163/C156)</f>
        <v>5.35</v>
      </c>
      <c r="D165" s="466">
        <f>IF(LN_IE4=0,0,LN_IE11/LN_IE4)</f>
        <v>5.0793650793650791</v>
      </c>
      <c r="E165" s="466">
        <f t="shared" si="16"/>
        <v>-0.27063492063492056</v>
      </c>
      <c r="F165" s="449">
        <f t="shared" si="17"/>
        <v>-5.0585966473816933E-2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692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647</v>
      </c>
      <c r="C168" s="511">
        <v>3036644</v>
      </c>
      <c r="D168" s="511">
        <v>2869630</v>
      </c>
      <c r="E168" s="511">
        <f t="shared" ref="E168:E176" si="18">D168-C168</f>
        <v>-167014</v>
      </c>
      <c r="F168" s="449">
        <f t="shared" ref="F168:F176" si="19">IF(C168=0,0,E168/C168)</f>
        <v>-5.4999532378507326E-2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648</v>
      </c>
      <c r="C169" s="511">
        <v>289833</v>
      </c>
      <c r="D169" s="511">
        <v>510541</v>
      </c>
      <c r="E169" s="511">
        <f t="shared" si="18"/>
        <v>220708</v>
      </c>
      <c r="F169" s="449">
        <f t="shared" si="19"/>
        <v>0.76150058826979672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649</v>
      </c>
      <c r="C170" s="453">
        <f>IF(C168=0,0,C169/C168)</f>
        <v>9.5445169074807587E-2</v>
      </c>
      <c r="D170" s="453">
        <f>IF(LN_IE14=0,0,LN_IE15/LN_IE14)</f>
        <v>0.17791178653694031</v>
      </c>
      <c r="E170" s="454">
        <f t="shared" si="18"/>
        <v>8.2466617462132727E-2</v>
      </c>
      <c r="F170" s="449">
        <f t="shared" si="19"/>
        <v>0.86402086414135226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650</v>
      </c>
      <c r="C171" s="453">
        <f>IF(C153=0,0,C168/C153)</f>
        <v>0.89123147880472342</v>
      </c>
      <c r="D171" s="453">
        <f>IF(LN_IE1=0,0,LN_IE14/LN_IE1)</f>
        <v>1.2030306866879019</v>
      </c>
      <c r="E171" s="454">
        <f t="shared" si="18"/>
        <v>0.3117992078831785</v>
      </c>
      <c r="F171" s="449">
        <f t="shared" si="19"/>
        <v>0.34985210385673149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651</v>
      </c>
      <c r="C172" s="463">
        <f>C171*C156</f>
        <v>71.298518304377879</v>
      </c>
      <c r="D172" s="463">
        <f>LN_IE17*LN_IE4</f>
        <v>75.790933261337827</v>
      </c>
      <c r="E172" s="463">
        <f t="shared" si="18"/>
        <v>4.4924149569599479</v>
      </c>
      <c r="F172" s="449">
        <f t="shared" si="19"/>
        <v>6.3008531787176067E-2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652</v>
      </c>
      <c r="C173" s="465">
        <f>IF(C172=0,0,C169/C172)</f>
        <v>4065.0634388036597</v>
      </c>
      <c r="D173" s="465">
        <f>IF(LN_IE18=0,0,LN_IE15/LN_IE18)</f>
        <v>6736.1751337667611</v>
      </c>
      <c r="E173" s="465">
        <f t="shared" si="18"/>
        <v>2671.1116949631014</v>
      </c>
      <c r="F173" s="449">
        <f t="shared" si="19"/>
        <v>0.6570897933512212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693</v>
      </c>
      <c r="C174" s="465">
        <f>C61-C173</f>
        <v>10258.578766595647</v>
      </c>
      <c r="D174" s="465">
        <f>LN_IB18-LN_IE19</f>
        <v>7584.9025498765586</v>
      </c>
      <c r="E174" s="465">
        <f t="shared" si="18"/>
        <v>-2673.6762167190882</v>
      </c>
      <c r="F174" s="449">
        <f t="shared" si="19"/>
        <v>-0.26062832654999041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694</v>
      </c>
      <c r="C175" s="465">
        <f>C32-C173</f>
        <v>4010.1319902353262</v>
      </c>
      <c r="D175" s="465">
        <f>LN_IA16-LN_IE19</f>
        <v>1590.9734097455821</v>
      </c>
      <c r="E175" s="465">
        <f t="shared" si="18"/>
        <v>-2419.1585804897441</v>
      </c>
      <c r="F175" s="449">
        <f t="shared" si="19"/>
        <v>-0.60326158500029348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663</v>
      </c>
      <c r="C176" s="441">
        <f>C175*C172</f>
        <v>285916.46910876472</v>
      </c>
      <c r="D176" s="441">
        <f>LN_IE21*LN_IE18</f>
        <v>120581.3595185905</v>
      </c>
      <c r="E176" s="441">
        <f t="shared" si="18"/>
        <v>-165335.10959017422</v>
      </c>
      <c r="F176" s="449">
        <f t="shared" si="19"/>
        <v>-0.57826367996759054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695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654</v>
      </c>
      <c r="C179" s="448">
        <f>C153+C168</f>
        <v>6443889</v>
      </c>
      <c r="D179" s="448">
        <f>LN_IE1+LN_IE14</f>
        <v>5254964</v>
      </c>
      <c r="E179" s="448">
        <f>D179-C179</f>
        <v>-1188925</v>
      </c>
      <c r="F179" s="449">
        <f>IF(C179=0,0,E179/C179)</f>
        <v>-0.18450426442789439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655</v>
      </c>
      <c r="C180" s="448">
        <f>C154+C169</f>
        <v>777615</v>
      </c>
      <c r="D180" s="448">
        <f>LN_IE15+LN_IE2</f>
        <v>1005374</v>
      </c>
      <c r="E180" s="448">
        <f>D180-C180</f>
        <v>227759</v>
      </c>
      <c r="F180" s="449">
        <f>IF(C180=0,0,E180/C180)</f>
        <v>0.29289429859249116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656</v>
      </c>
      <c r="C181" s="448">
        <f>C179-C180</f>
        <v>5666274</v>
      </c>
      <c r="D181" s="448">
        <f>LN_IE23-LN_IE24</f>
        <v>4249590</v>
      </c>
      <c r="E181" s="448">
        <f>D181-C181</f>
        <v>-1416684</v>
      </c>
      <c r="F181" s="449">
        <f>IF(C181=0,0,E181/C181)</f>
        <v>-0.25002038376541619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696</v>
      </c>
      <c r="C183" s="448">
        <f>C162+C176</f>
        <v>620573.93828580296</v>
      </c>
      <c r="D183" s="448">
        <f>LN_IE10+LN_IE22</f>
        <v>391635.70670618047</v>
      </c>
      <c r="E183" s="441">
        <f>D183-C183</f>
        <v>-228938.23157962249</v>
      </c>
      <c r="F183" s="449">
        <f>IF(C183=0,0,E183/C183)</f>
        <v>-0.36891370625716779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697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698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638</v>
      </c>
      <c r="C188" s="448">
        <f>C118+C153</f>
        <v>114753970</v>
      </c>
      <c r="D188" s="448">
        <f>LN_ID1+LN_IE1</f>
        <v>134097441</v>
      </c>
      <c r="E188" s="448">
        <f t="shared" ref="E188:E200" si="20">D188-C188</f>
        <v>19343471</v>
      </c>
      <c r="F188" s="449">
        <f t="shared" ref="F188:F200" si="21">IF(C188=0,0,E188/C188)</f>
        <v>0.1685647215516814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639</v>
      </c>
      <c r="C189" s="448">
        <f>C119+C154</f>
        <v>14969744</v>
      </c>
      <c r="D189" s="448">
        <f>LN_1D2+LN_IE2</f>
        <v>14929672</v>
      </c>
      <c r="E189" s="448">
        <f t="shared" si="20"/>
        <v>-40072</v>
      </c>
      <c r="F189" s="449">
        <f t="shared" si="21"/>
        <v>-2.6768660840158654E-3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640</v>
      </c>
      <c r="C190" s="453">
        <f>IF(C188=0,0,C189/C188)</f>
        <v>0.13045077220422091</v>
      </c>
      <c r="D190" s="453">
        <f>IF(LN_IF1=0,0,LN_IF2/LN_IF1)</f>
        <v>0.11133450339294693</v>
      </c>
      <c r="E190" s="454">
        <f t="shared" si="20"/>
        <v>-1.9116268811273984E-2</v>
      </c>
      <c r="F190" s="449">
        <f t="shared" si="21"/>
        <v>-0.14654009699036072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3474</v>
      </c>
      <c r="D191" s="456">
        <f>LN_ID4+LN_IE4</f>
        <v>3772</v>
      </c>
      <c r="E191" s="456">
        <f t="shared" si="20"/>
        <v>298</v>
      </c>
      <c r="F191" s="449">
        <f t="shared" si="21"/>
        <v>8.5780080598733446E-2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641</v>
      </c>
      <c r="C192" s="459">
        <f>IF((C121+C156)=0,0,(C123+C158)/(C121+C156))</f>
        <v>1.0222545192861254</v>
      </c>
      <c r="D192" s="459">
        <f>IF((LN_ID4+LN_IE4)=0,0,(LN_ID6+LN_IE6)/(LN_ID4+LN_IE4))</f>
        <v>1.0859722667020146</v>
      </c>
      <c r="E192" s="460">
        <f t="shared" si="20"/>
        <v>6.3717747415889203E-2</v>
      </c>
      <c r="F192" s="449">
        <f t="shared" si="21"/>
        <v>6.2330609661070943E-2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642</v>
      </c>
      <c r="C193" s="463">
        <f>C123+C158</f>
        <v>3551.3121999999994</v>
      </c>
      <c r="D193" s="463">
        <f>LN_IF4*LN_IF5</f>
        <v>4096.2873899999995</v>
      </c>
      <c r="E193" s="463">
        <f t="shared" si="20"/>
        <v>544.97519000000011</v>
      </c>
      <c r="F193" s="449">
        <f t="shared" si="21"/>
        <v>0.15345741498029944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643</v>
      </c>
      <c r="C194" s="465">
        <f>IF(C193=0,0,C189/C193)</f>
        <v>4215.2711890551336</v>
      </c>
      <c r="D194" s="465">
        <f>IF(LN_IF6=0,0,LN_IF2/LN_IF6)</f>
        <v>3644.6837290876706</v>
      </c>
      <c r="E194" s="465">
        <f t="shared" si="20"/>
        <v>-570.58745996746302</v>
      </c>
      <c r="F194" s="449">
        <f t="shared" si="21"/>
        <v>-0.13536198132375962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699</v>
      </c>
      <c r="C195" s="465">
        <f>C48-C194</f>
        <v>8532.9059610952499</v>
      </c>
      <c r="D195" s="465">
        <f>LN_IB7-LN_IF7</f>
        <v>9657.2059504726712</v>
      </c>
      <c r="E195" s="465">
        <f t="shared" si="20"/>
        <v>1124.2999893774213</v>
      </c>
      <c r="F195" s="449">
        <f t="shared" si="21"/>
        <v>0.13176050392486813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700</v>
      </c>
      <c r="C196" s="465">
        <f>C21-C194</f>
        <v>4612.4449333874645</v>
      </c>
      <c r="D196" s="465">
        <f>LN_IA7-LN_IF7</f>
        <v>4791.1345074457204</v>
      </c>
      <c r="E196" s="465">
        <f t="shared" si="20"/>
        <v>178.68957405825586</v>
      </c>
      <c r="F196" s="449">
        <f t="shared" si="21"/>
        <v>3.874074956750171E-2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660</v>
      </c>
      <c r="C197" s="479">
        <f>C127+C162</f>
        <v>16380231.963767087</v>
      </c>
      <c r="D197" s="479">
        <f>LN_IF9*LN_IF6</f>
        <v>19625863.866643764</v>
      </c>
      <c r="E197" s="479">
        <f t="shared" si="20"/>
        <v>3245631.902876677</v>
      </c>
      <c r="F197" s="449">
        <f t="shared" si="21"/>
        <v>0.19814321983082919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15248</v>
      </c>
      <c r="D198" s="456">
        <f>LN_ID11+LN_IE11</f>
        <v>16633</v>
      </c>
      <c r="E198" s="456">
        <f t="shared" si="20"/>
        <v>1385</v>
      </c>
      <c r="F198" s="449">
        <f t="shared" si="21"/>
        <v>9.0831584470094442E-2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644</v>
      </c>
      <c r="C199" s="519">
        <f>IF(C198=0,0,C189/C198)</f>
        <v>981.75131164742913</v>
      </c>
      <c r="D199" s="519">
        <f>IF(LN_IF11=0,0,LN_IF2/LN_IF11)</f>
        <v>897.59345878674924</v>
      </c>
      <c r="E199" s="519">
        <f t="shared" si="20"/>
        <v>-84.157852860679895</v>
      </c>
      <c r="F199" s="449">
        <f t="shared" si="21"/>
        <v>-8.5722170026397718E-2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645</v>
      </c>
      <c r="C200" s="466">
        <f>IF(C191=0,0,C198/C191)</f>
        <v>4.389176741508348</v>
      </c>
      <c r="D200" s="466">
        <f>IF(LN_IF4=0,0,LN_IF11/LN_IF4)</f>
        <v>4.4095970307529164</v>
      </c>
      <c r="E200" s="466">
        <f t="shared" si="20"/>
        <v>2.0420289244568401E-2</v>
      </c>
      <c r="F200" s="449">
        <f t="shared" si="21"/>
        <v>4.6524189949915147E-3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701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647</v>
      </c>
      <c r="C203" s="448">
        <f>C133+C168</f>
        <v>182831698</v>
      </c>
      <c r="D203" s="448">
        <f>LN_ID14+LN_IE14</f>
        <v>207291389</v>
      </c>
      <c r="E203" s="448">
        <f t="shared" ref="E203:E211" si="22">D203-C203</f>
        <v>24459691</v>
      </c>
      <c r="F203" s="449">
        <f t="shared" ref="F203:F211" si="23">IF(C203=0,0,E203/C203)</f>
        <v>0.13378255120728574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648</v>
      </c>
      <c r="C204" s="448">
        <f>C134+C169</f>
        <v>24393393</v>
      </c>
      <c r="D204" s="448">
        <f>LN_ID15+LN_IE15</f>
        <v>25394648</v>
      </c>
      <c r="E204" s="448">
        <f t="shared" si="22"/>
        <v>1001255</v>
      </c>
      <c r="F204" s="449">
        <f t="shared" si="23"/>
        <v>4.1046155407736838E-2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649</v>
      </c>
      <c r="C205" s="453">
        <f>IF(C203=0,0,C204/C203)</f>
        <v>0.13341993356097365</v>
      </c>
      <c r="D205" s="453">
        <f>IF(LN_IF14=0,0,LN_IF15/LN_IF14)</f>
        <v>0.12250700872094596</v>
      </c>
      <c r="E205" s="454">
        <f t="shared" si="22"/>
        <v>-1.0912924840027691E-2</v>
      </c>
      <c r="F205" s="449">
        <f t="shared" si="23"/>
        <v>-8.1793811080264289E-2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650</v>
      </c>
      <c r="C206" s="453">
        <f>IF(C188=0,0,C203/C188)</f>
        <v>1.5932494361632978</v>
      </c>
      <c r="D206" s="453">
        <f>IF(LN_IF1=0,0,LN_IF14/LN_IF1)</f>
        <v>1.5458265829248747</v>
      </c>
      <c r="E206" s="454">
        <f t="shared" si="22"/>
        <v>-4.7422853238423102E-2</v>
      </c>
      <c r="F206" s="449">
        <f t="shared" si="23"/>
        <v>-2.9764864284290614E-2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651</v>
      </c>
      <c r="C207" s="463">
        <f>C137+C172</f>
        <v>5551.6969159761538</v>
      </c>
      <c r="D207" s="463">
        <f>LN_ID18+LN_IE18</f>
        <v>5832.2875940504637</v>
      </c>
      <c r="E207" s="463">
        <f t="shared" si="22"/>
        <v>280.59067807430984</v>
      </c>
      <c r="F207" s="449">
        <f t="shared" si="23"/>
        <v>5.0541425859695663E-2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652</v>
      </c>
      <c r="C208" s="465">
        <f>IF(C207=0,0,C204/C207)</f>
        <v>4393.8625197285137</v>
      </c>
      <c r="D208" s="465">
        <f>IF(LN_IF18=0,0,LN_IF15/LN_IF18)</f>
        <v>4354.1487950465898</v>
      </c>
      <c r="E208" s="465">
        <f t="shared" si="22"/>
        <v>-39.71372468192385</v>
      </c>
      <c r="F208" s="449">
        <f t="shared" si="23"/>
        <v>-9.0384540944575716E-3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702</v>
      </c>
      <c r="C209" s="465">
        <f>C61-C208</f>
        <v>9929.7796856707937</v>
      </c>
      <c r="D209" s="465">
        <f>LN_IB18-LN_IF19</f>
        <v>9966.9288885967289</v>
      </c>
      <c r="E209" s="465">
        <f t="shared" si="22"/>
        <v>37.149202925935242</v>
      </c>
      <c r="F209" s="449">
        <f t="shared" si="23"/>
        <v>3.7411910537696563E-3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703</v>
      </c>
      <c r="C210" s="465">
        <f>C32-C208</f>
        <v>3681.3329093104721</v>
      </c>
      <c r="D210" s="465">
        <f>LN_IA16-LN_IF19</f>
        <v>3972.9997484657533</v>
      </c>
      <c r="E210" s="465">
        <f t="shared" si="22"/>
        <v>291.6668391552812</v>
      </c>
      <c r="F210" s="449">
        <f t="shared" si="23"/>
        <v>7.922859636454653E-2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663</v>
      </c>
      <c r="C211" s="479">
        <f>C141+C176</f>
        <v>20437644.559300475</v>
      </c>
      <c r="D211" s="441">
        <f>LN_IF21*LN_IF18</f>
        <v>23171677.144142427</v>
      </c>
      <c r="E211" s="441">
        <f t="shared" si="22"/>
        <v>2734032.5848419517</v>
      </c>
      <c r="F211" s="449">
        <f t="shared" si="23"/>
        <v>0.13377434845336847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704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654</v>
      </c>
      <c r="C214" s="448">
        <f>C188+C203</f>
        <v>297585668</v>
      </c>
      <c r="D214" s="448">
        <f>LN_IF1+LN_IF14</f>
        <v>341388830</v>
      </c>
      <c r="E214" s="448">
        <f>D214-C214</f>
        <v>43803162</v>
      </c>
      <c r="F214" s="449">
        <f>IF(C214=0,0,E214/C214)</f>
        <v>0.14719513306669058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655</v>
      </c>
      <c r="C215" s="448">
        <f>C189+C204</f>
        <v>39363137</v>
      </c>
      <c r="D215" s="448">
        <f>LN_IF2+LN_IF15</f>
        <v>40324320</v>
      </c>
      <c r="E215" s="448">
        <f>D215-C215</f>
        <v>961183</v>
      </c>
      <c r="F215" s="449">
        <f>IF(C215=0,0,E215/C215)</f>
        <v>2.4418353648999063E-2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656</v>
      </c>
      <c r="C216" s="448">
        <f>C214-C215</f>
        <v>258222531</v>
      </c>
      <c r="D216" s="448">
        <f>LN_IF23-LN_IF24</f>
        <v>301064510</v>
      </c>
      <c r="E216" s="448">
        <f>D216-C216</f>
        <v>42841979</v>
      </c>
      <c r="F216" s="449">
        <f>IF(C216=0,0,E216/C216)</f>
        <v>0.16591108000564056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705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706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638</v>
      </c>
      <c r="C221" s="448">
        <v>705107</v>
      </c>
      <c r="D221" s="448">
        <v>961380</v>
      </c>
      <c r="E221" s="448">
        <f t="shared" ref="E221:E230" si="24">D221-C221</f>
        <v>256273</v>
      </c>
      <c r="F221" s="449">
        <f t="shared" ref="F221:F230" si="25">IF(C221=0,0,E221/C221)</f>
        <v>0.36345263910300141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639</v>
      </c>
      <c r="C222" s="448">
        <v>135237</v>
      </c>
      <c r="D222" s="448">
        <v>187741</v>
      </c>
      <c r="E222" s="448">
        <f t="shared" si="24"/>
        <v>52504</v>
      </c>
      <c r="F222" s="449">
        <f t="shared" si="25"/>
        <v>0.3882369469893594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640</v>
      </c>
      <c r="C223" s="453">
        <f>IF(C221=0,0,C222/C221)</f>
        <v>0.19179642238695688</v>
      </c>
      <c r="D223" s="453">
        <f>IF(LN_IG1=0,0,LN_IG2/LN_IG1)</f>
        <v>0.19528282260916599</v>
      </c>
      <c r="E223" s="454">
        <f t="shared" si="24"/>
        <v>3.4864002222091128E-3</v>
      </c>
      <c r="F223" s="449">
        <f t="shared" si="25"/>
        <v>1.8177608209892268E-2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19</v>
      </c>
      <c r="D224" s="456">
        <v>29</v>
      </c>
      <c r="E224" s="456">
        <f t="shared" si="24"/>
        <v>10</v>
      </c>
      <c r="F224" s="449">
        <f t="shared" si="25"/>
        <v>0.52631578947368418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641</v>
      </c>
      <c r="C225" s="459">
        <v>1.0184200000000001</v>
      </c>
      <c r="D225" s="459">
        <v>0.98536999999999997</v>
      </c>
      <c r="E225" s="460">
        <f t="shared" si="24"/>
        <v>-3.3050000000000135E-2</v>
      </c>
      <c r="F225" s="449">
        <f t="shared" si="25"/>
        <v>-3.2452229924785581E-2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642</v>
      </c>
      <c r="C226" s="463">
        <f>C224*C225</f>
        <v>19.349980000000002</v>
      </c>
      <c r="D226" s="463">
        <f>LN_IG3*LN_IG4</f>
        <v>28.57573</v>
      </c>
      <c r="E226" s="463">
        <f t="shared" si="24"/>
        <v>9.2257499999999979</v>
      </c>
      <c r="F226" s="449">
        <f t="shared" si="25"/>
        <v>0.47678343853585364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643</v>
      </c>
      <c r="C227" s="465">
        <f>IF(C226=0,0,C222/C226)</f>
        <v>6988.9994718340786</v>
      </c>
      <c r="D227" s="465">
        <f>IF(LN_IG5=0,0,LN_IG2/LN_IG5)</f>
        <v>6569.9458946455607</v>
      </c>
      <c r="E227" s="465">
        <f t="shared" si="24"/>
        <v>-419.05357718851792</v>
      </c>
      <c r="F227" s="449">
        <f t="shared" si="25"/>
        <v>-5.9959022586468784E-2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104</v>
      </c>
      <c r="D228" s="456">
        <v>115</v>
      </c>
      <c r="E228" s="456">
        <f t="shared" si="24"/>
        <v>11</v>
      </c>
      <c r="F228" s="449">
        <f t="shared" si="25"/>
        <v>0.10576923076923077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644</v>
      </c>
      <c r="C229" s="465">
        <f>IF(C228=0,0,C222/C228)</f>
        <v>1300.3557692307693</v>
      </c>
      <c r="D229" s="465">
        <f>IF(LN_IG6=0,0,LN_IG2/LN_IG6)</f>
        <v>1632.5304347826086</v>
      </c>
      <c r="E229" s="465">
        <f t="shared" si="24"/>
        <v>332.17466555183933</v>
      </c>
      <c r="F229" s="449">
        <f t="shared" si="25"/>
        <v>0.25544906510342058</v>
      </c>
      <c r="Q229" s="421"/>
      <c r="U229" s="462"/>
    </row>
    <row r="230" spans="1:21" ht="15.75" customHeight="1" x14ac:dyDescent="0.2">
      <c r="A230" s="451">
        <v>10</v>
      </c>
      <c r="B230" s="447" t="s">
        <v>645</v>
      </c>
      <c r="C230" s="466">
        <f>IF(C224=0,0,C228/C224)</f>
        <v>5.4736842105263159</v>
      </c>
      <c r="D230" s="466">
        <f>IF(LN_IG3=0,0,LN_IG6/LN_IG3)</f>
        <v>3.9655172413793105</v>
      </c>
      <c r="E230" s="466">
        <f t="shared" si="24"/>
        <v>-1.5081669691470054</v>
      </c>
      <c r="F230" s="449">
        <f t="shared" si="25"/>
        <v>-0.27553050397877982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707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647</v>
      </c>
      <c r="C233" s="448">
        <v>912055</v>
      </c>
      <c r="D233" s="448">
        <v>1261629</v>
      </c>
      <c r="E233" s="448">
        <f>D233-C233</f>
        <v>349574</v>
      </c>
      <c r="F233" s="449">
        <f>IF(C233=0,0,E233/C233)</f>
        <v>0.38328170998459521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648</v>
      </c>
      <c r="C234" s="448">
        <v>44469</v>
      </c>
      <c r="D234" s="448">
        <v>143749</v>
      </c>
      <c r="E234" s="448">
        <f>D234-C234</f>
        <v>99280</v>
      </c>
      <c r="F234" s="449">
        <f>IF(C234=0,0,E234/C234)</f>
        <v>2.2325665070048797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708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654</v>
      </c>
      <c r="C237" s="448">
        <f>C221+C233</f>
        <v>1617162</v>
      </c>
      <c r="D237" s="448">
        <f>LN_IG1+LN_IG9</f>
        <v>2223009</v>
      </c>
      <c r="E237" s="448">
        <f>D237-C237</f>
        <v>605847</v>
      </c>
      <c r="F237" s="449">
        <f>IF(C237=0,0,E237/C237)</f>
        <v>0.37463593628838671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655</v>
      </c>
      <c r="C238" s="448">
        <f>C222+C234</f>
        <v>179706</v>
      </c>
      <c r="D238" s="448">
        <f>LN_IG2+LN_IG10</f>
        <v>331490</v>
      </c>
      <c r="E238" s="448">
        <f>D238-C238</f>
        <v>151784</v>
      </c>
      <c r="F238" s="449">
        <f>IF(C238=0,0,E238/C238)</f>
        <v>0.84462399697283341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656</v>
      </c>
      <c r="C239" s="448">
        <f>C237-C238</f>
        <v>1437456</v>
      </c>
      <c r="D239" s="448">
        <f>LN_IG13-LN_IG14</f>
        <v>1891519</v>
      </c>
      <c r="E239" s="448">
        <f>D239-C239</f>
        <v>454063</v>
      </c>
      <c r="F239" s="449">
        <f>IF(C239=0,0,E239/C239)</f>
        <v>0.31587958170545744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709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710</v>
      </c>
      <c r="C243" s="448">
        <v>15601812</v>
      </c>
      <c r="D243" s="448">
        <v>15837000</v>
      </c>
      <c r="E243" s="441">
        <f>D243-C243</f>
        <v>235188</v>
      </c>
      <c r="F243" s="503">
        <f>IF(C243=0,0,E243/C243)</f>
        <v>1.507440289627897E-2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711</v>
      </c>
      <c r="C244" s="448">
        <v>447673528</v>
      </c>
      <c r="D244" s="448">
        <v>473410966</v>
      </c>
      <c r="E244" s="441">
        <f>D244-C244</f>
        <v>25737438</v>
      </c>
      <c r="F244" s="503">
        <f>IF(C244=0,0,E244/C244)</f>
        <v>5.7491534321859654E-2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712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713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714</v>
      </c>
      <c r="C248" s="441">
        <v>32247209</v>
      </c>
      <c r="D248" s="441">
        <v>25881492</v>
      </c>
      <c r="E248" s="441">
        <f>D248-C248</f>
        <v>-6365717</v>
      </c>
      <c r="F248" s="449">
        <f>IF(C248=0,0,E248/C248)</f>
        <v>-0.19740365747621755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715</v>
      </c>
      <c r="C249" s="441">
        <v>27957652</v>
      </c>
      <c r="D249" s="441">
        <v>33979285</v>
      </c>
      <c r="E249" s="441">
        <f>D249-C249</f>
        <v>6021633</v>
      </c>
      <c r="F249" s="449">
        <f>IF(C249=0,0,E249/C249)</f>
        <v>0.21538407445661031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716</v>
      </c>
      <c r="C250" s="441">
        <f>C248+C249</f>
        <v>60204861</v>
      </c>
      <c r="D250" s="441">
        <f>LN_IH4+LN_IH5</f>
        <v>59860777</v>
      </c>
      <c r="E250" s="441">
        <f>D250-C250</f>
        <v>-344084</v>
      </c>
      <c r="F250" s="449">
        <f>IF(C250=0,0,E250/C250)</f>
        <v>-5.7152195733829536E-3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717</v>
      </c>
      <c r="C251" s="441">
        <f>C250*C313</f>
        <v>16060145.365237856</v>
      </c>
      <c r="D251" s="441">
        <f>LN_IH6*LN_III10</f>
        <v>15492584.591446849</v>
      </c>
      <c r="E251" s="441">
        <f>D251-C251</f>
        <v>-567560.7737910077</v>
      </c>
      <c r="F251" s="449">
        <f>IF(C251=0,0,E251/C251)</f>
        <v>-3.5339703401408282E-2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718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654</v>
      </c>
      <c r="C254" s="441">
        <f>C188+C203</f>
        <v>297585668</v>
      </c>
      <c r="D254" s="441">
        <f>LN_IF23</f>
        <v>341388830</v>
      </c>
      <c r="E254" s="441">
        <f>D254-C254</f>
        <v>43803162</v>
      </c>
      <c r="F254" s="449">
        <f>IF(C254=0,0,E254/C254)</f>
        <v>0.14719513306669058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655</v>
      </c>
      <c r="C255" s="441">
        <f>C189+C204</f>
        <v>39363137</v>
      </c>
      <c r="D255" s="441">
        <f>LN_IF24</f>
        <v>40324320</v>
      </c>
      <c r="E255" s="441">
        <f>D255-C255</f>
        <v>961183</v>
      </c>
      <c r="F255" s="449">
        <f>IF(C255=0,0,E255/C255)</f>
        <v>2.4418353648999063E-2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719</v>
      </c>
      <c r="C256" s="441">
        <f>C254*C313</f>
        <v>79383441.923259512</v>
      </c>
      <c r="D256" s="441">
        <f>LN_IH8*LN_III10</f>
        <v>88354939.451421872</v>
      </c>
      <c r="E256" s="441">
        <f>D256-C256</f>
        <v>8971497.5281623602</v>
      </c>
      <c r="F256" s="449">
        <f>IF(C256=0,0,E256/C256)</f>
        <v>0.11301472083857443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720</v>
      </c>
      <c r="C257" s="441">
        <f>C256-C255</f>
        <v>40020304.923259512</v>
      </c>
      <c r="D257" s="441">
        <f>LN_IH10-LN_IH9</f>
        <v>48030619.451421872</v>
      </c>
      <c r="E257" s="441">
        <f>D257-C257</f>
        <v>8010314.5281623602</v>
      </c>
      <c r="F257" s="449">
        <f>IF(C257=0,0,E257/C257)</f>
        <v>0.20015625926695085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721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722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656432125</v>
      </c>
      <c r="D261" s="448">
        <f>LN_IA1+LN_IB1+LN_IF1+LN_IG1</f>
        <v>677308817</v>
      </c>
      <c r="E261" s="448">
        <f t="shared" ref="E261:E274" si="26">D261-C261</f>
        <v>20876692</v>
      </c>
      <c r="F261" s="503">
        <f t="shared" ref="F261:F274" si="27">IF(C261=0,0,E261/C261)</f>
        <v>3.180327592894696E-2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176355402</v>
      </c>
      <c r="D262" s="448">
        <f>+LN_IA2+LN_IB2+LN_IF2+LN_IG2</f>
        <v>178794188</v>
      </c>
      <c r="E262" s="448">
        <f t="shared" si="26"/>
        <v>2438786</v>
      </c>
      <c r="F262" s="503">
        <f t="shared" si="27"/>
        <v>1.3828813704272013E-2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723</v>
      </c>
      <c r="C263" s="453">
        <f>IF(C261=0,0,C262/C261)</f>
        <v>0.2686574822949136</v>
      </c>
      <c r="D263" s="453">
        <f>IF(LN_IIA1=0,0,LN_IIA2/LN_IIA1)</f>
        <v>0.26397735200308192</v>
      </c>
      <c r="E263" s="454">
        <f t="shared" si="26"/>
        <v>-4.6801302918316745E-3</v>
      </c>
      <c r="F263" s="458">
        <f t="shared" si="27"/>
        <v>-1.7420435313594398E-2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14847</v>
      </c>
      <c r="D264" s="456">
        <f>LN_IA4+LN_IB4+LN_IF4+LN_IG3</f>
        <v>14905</v>
      </c>
      <c r="E264" s="456">
        <f t="shared" si="26"/>
        <v>58</v>
      </c>
      <c r="F264" s="503">
        <f t="shared" si="27"/>
        <v>3.9065131002896207E-3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724</v>
      </c>
      <c r="C265" s="525">
        <f>IF(C264=0,0,C266/C264)</f>
        <v>1.2763182717047215</v>
      </c>
      <c r="D265" s="525">
        <f>IF(LN_IIA4=0,0,LN_IIA6/LN_IIA4)</f>
        <v>1.3260818369674607</v>
      </c>
      <c r="E265" s="525">
        <f t="shared" si="26"/>
        <v>4.9763565262739284E-2</v>
      </c>
      <c r="F265" s="503">
        <f t="shared" si="27"/>
        <v>3.8989934067364174E-2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725</v>
      </c>
      <c r="C266" s="463">
        <f>C20+C47+C193+C226</f>
        <v>18949.497380000001</v>
      </c>
      <c r="D266" s="463">
        <f>LN_IA6+LN_IB6+LN_IF6+LN_IG5</f>
        <v>19765.249780000002</v>
      </c>
      <c r="E266" s="463">
        <f t="shared" si="26"/>
        <v>815.75240000000122</v>
      </c>
      <c r="F266" s="503">
        <f t="shared" si="27"/>
        <v>4.3048761855867292E-2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1216016561</v>
      </c>
      <c r="D267" s="448">
        <f>LN_IA11+LN_IB13+LN_IF14+LN_IG9</f>
        <v>1340795454</v>
      </c>
      <c r="E267" s="448">
        <f t="shared" si="26"/>
        <v>124778893</v>
      </c>
      <c r="F267" s="503">
        <f t="shared" si="27"/>
        <v>0.10261282370808106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650</v>
      </c>
      <c r="C268" s="453">
        <f>IF(C261=0,0,C267/C261)</f>
        <v>1.8524635140304873</v>
      </c>
      <c r="D268" s="453">
        <f>IF(LN_IIA1=0,0,LN_IIA7/LN_IIA1)</f>
        <v>1.9795924995318641</v>
      </c>
      <c r="E268" s="454">
        <f t="shared" si="26"/>
        <v>0.12712898550137686</v>
      </c>
      <c r="F268" s="458">
        <f t="shared" si="27"/>
        <v>6.8626984843969563E-2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326621782</v>
      </c>
      <c r="D269" s="448">
        <f>LN_IA12+LN_IB14+LN_IF15+LN_IG10</f>
        <v>345685364</v>
      </c>
      <c r="E269" s="448">
        <f t="shared" si="26"/>
        <v>19063582</v>
      </c>
      <c r="F269" s="503">
        <f t="shared" si="27"/>
        <v>5.8365923678660232E-2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649</v>
      </c>
      <c r="C270" s="453">
        <f>IF(C267=0,0,C269/C267)</f>
        <v>0.26859978101893628</v>
      </c>
      <c r="D270" s="453">
        <f>IF(LN_IIA7=0,0,LN_IIA9/LN_IIA7)</f>
        <v>0.25782110385944074</v>
      </c>
      <c r="E270" s="454">
        <f t="shared" si="26"/>
        <v>-1.0778677159495542E-2</v>
      </c>
      <c r="F270" s="458">
        <f t="shared" si="27"/>
        <v>-4.0129136064841565E-2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726</v>
      </c>
      <c r="C271" s="441">
        <f>C261+C267</f>
        <v>1872448686</v>
      </c>
      <c r="D271" s="441">
        <f>LN_IIA1+LN_IIA7</f>
        <v>2018104271</v>
      </c>
      <c r="E271" s="441">
        <f t="shared" si="26"/>
        <v>145655585</v>
      </c>
      <c r="F271" s="503">
        <f t="shared" si="27"/>
        <v>7.7788825984414722E-2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727</v>
      </c>
      <c r="C272" s="441">
        <f>C262+C269</f>
        <v>502977184</v>
      </c>
      <c r="D272" s="441">
        <f>LN_IIA2+LN_IIA9</f>
        <v>524479552</v>
      </c>
      <c r="E272" s="441">
        <f t="shared" si="26"/>
        <v>21502368</v>
      </c>
      <c r="F272" s="503">
        <f t="shared" si="27"/>
        <v>4.2750185662497171E-2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728</v>
      </c>
      <c r="C273" s="453">
        <f>IF(C271=0,0,C272/C271)</f>
        <v>0.26862000959528565</v>
      </c>
      <c r="D273" s="453">
        <f>IF(LN_IIA11=0,0,LN_IIA12/LN_IIA11)</f>
        <v>0.25988724147544306</v>
      </c>
      <c r="E273" s="454">
        <f t="shared" si="26"/>
        <v>-8.7327681198425822E-3</v>
      </c>
      <c r="F273" s="458">
        <f t="shared" si="27"/>
        <v>-3.2509745394618005E-2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73202</v>
      </c>
      <c r="D274" s="508">
        <f>LN_IA8+LN_IB10+LN_IF11+LN_IG6</f>
        <v>71449</v>
      </c>
      <c r="E274" s="528">
        <f t="shared" si="26"/>
        <v>-1753</v>
      </c>
      <c r="F274" s="458">
        <f t="shared" si="27"/>
        <v>-2.3947433130242342E-2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729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730</v>
      </c>
      <c r="C277" s="448">
        <f>C15+C188+C221</f>
        <v>440816101</v>
      </c>
      <c r="D277" s="448">
        <f>LN_IA1+LN_IF1+LN_IG1</f>
        <v>461735496</v>
      </c>
      <c r="E277" s="448">
        <f t="shared" ref="E277:E291" si="28">D277-C277</f>
        <v>20919395</v>
      </c>
      <c r="F277" s="503">
        <f t="shared" ref="F277:F291" si="29">IF(C277=0,0,E277/C277)</f>
        <v>4.7456059233190302E-2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731</v>
      </c>
      <c r="C278" s="448">
        <f>C16+C189+C222</f>
        <v>93468081</v>
      </c>
      <c r="D278" s="448">
        <f>LN_IA2+LN_IF2+LN_IG2</f>
        <v>92037082</v>
      </c>
      <c r="E278" s="448">
        <f t="shared" si="28"/>
        <v>-1430999</v>
      </c>
      <c r="F278" s="503">
        <f t="shared" si="29"/>
        <v>-1.5310028671713074E-2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732</v>
      </c>
      <c r="C279" s="453">
        <f>IF(C277=0,0,C278/C277)</f>
        <v>0.21203418111989517</v>
      </c>
      <c r="D279" s="453">
        <f>IF(D277=0,0,LN_IIB2/D277)</f>
        <v>0.19932858270008333</v>
      </c>
      <c r="E279" s="454">
        <f t="shared" si="28"/>
        <v>-1.2705598419811837E-2</v>
      </c>
      <c r="F279" s="458">
        <f t="shared" si="29"/>
        <v>-5.9922406626634547E-2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733</v>
      </c>
      <c r="C280" s="456">
        <f>C18+C191+C224</f>
        <v>8985</v>
      </c>
      <c r="D280" s="456">
        <f>LN_IA4+LN_IF4+LN_IG3</f>
        <v>9230</v>
      </c>
      <c r="E280" s="456">
        <f t="shared" si="28"/>
        <v>245</v>
      </c>
      <c r="F280" s="503">
        <f t="shared" si="29"/>
        <v>2.7267668336115748E-2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734</v>
      </c>
      <c r="C281" s="525">
        <f>IF(C280=0,0,C282/C280)</f>
        <v>1.3853757885364497</v>
      </c>
      <c r="D281" s="525">
        <f>IF(LN_IIB4=0,0,LN_IIB6/LN_IIB4)</f>
        <v>1.4347871917659805</v>
      </c>
      <c r="E281" s="525">
        <f t="shared" si="28"/>
        <v>4.9411403229530748E-2</v>
      </c>
      <c r="F281" s="503">
        <f t="shared" si="29"/>
        <v>3.566642613390144E-2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735</v>
      </c>
      <c r="C282" s="463">
        <f>C20+C193+C226</f>
        <v>12447.60146</v>
      </c>
      <c r="D282" s="463">
        <f>LN_IA6+LN_IF6+LN_IG5</f>
        <v>13243.085779999999</v>
      </c>
      <c r="E282" s="463">
        <f t="shared" si="28"/>
        <v>795.48431999999957</v>
      </c>
      <c r="F282" s="503">
        <f t="shared" si="29"/>
        <v>6.3906634748571042E-2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736</v>
      </c>
      <c r="C283" s="448">
        <f>C27+C203+C233</f>
        <v>578051430</v>
      </c>
      <c r="D283" s="448">
        <f>LN_IA11+LN_IF14+LN_IG9</f>
        <v>655770543</v>
      </c>
      <c r="E283" s="448">
        <f t="shared" si="28"/>
        <v>77719113</v>
      </c>
      <c r="F283" s="503">
        <f t="shared" si="29"/>
        <v>0.13445016994422104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737</v>
      </c>
      <c r="C284" s="453">
        <f>IF(C277=0,0,C283/C277)</f>
        <v>1.3113210445096697</v>
      </c>
      <c r="D284" s="453">
        <f>IF(D277=0,0,LN_IIB7/D277)</f>
        <v>1.420229869007082</v>
      </c>
      <c r="E284" s="454">
        <f t="shared" si="28"/>
        <v>0.10890882449741235</v>
      </c>
      <c r="F284" s="458">
        <f t="shared" si="29"/>
        <v>8.3052754284238334E-2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738</v>
      </c>
      <c r="C285" s="448">
        <f>C28+C204+C234</f>
        <v>78185405</v>
      </c>
      <c r="D285" s="448">
        <f>LN_IA12+LN_IF15+LN_IG10</f>
        <v>87427878</v>
      </c>
      <c r="E285" s="448">
        <f t="shared" si="28"/>
        <v>9242473</v>
      </c>
      <c r="F285" s="503">
        <f t="shared" si="29"/>
        <v>0.11821225457615779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739</v>
      </c>
      <c r="C286" s="453">
        <f>IF(C283=0,0,C285/C283)</f>
        <v>0.13525683173208308</v>
      </c>
      <c r="D286" s="453">
        <f>IF(LN_IIB7=0,0,LN_IIB9/LN_IIB7)</f>
        <v>0.13332083749910065</v>
      </c>
      <c r="E286" s="454">
        <f t="shared" si="28"/>
        <v>-1.9359942329824353E-3</v>
      </c>
      <c r="F286" s="458">
        <f t="shared" si="29"/>
        <v>-1.4313467262173162E-2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740</v>
      </c>
      <c r="C287" s="441">
        <f>C277+C283</f>
        <v>1018867531</v>
      </c>
      <c r="D287" s="441">
        <f>D277+LN_IIB7</f>
        <v>1117506039</v>
      </c>
      <c r="E287" s="441">
        <f t="shared" si="28"/>
        <v>98638508</v>
      </c>
      <c r="F287" s="503">
        <f t="shared" si="29"/>
        <v>9.6811906355665389E-2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741</v>
      </c>
      <c r="C288" s="441">
        <f>C278+C285</f>
        <v>171653486</v>
      </c>
      <c r="D288" s="441">
        <f>LN_IIB2+LN_IIB9</f>
        <v>179464960</v>
      </c>
      <c r="E288" s="441">
        <f t="shared" si="28"/>
        <v>7811474</v>
      </c>
      <c r="F288" s="503">
        <f t="shared" si="29"/>
        <v>4.5507226110164757E-2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742</v>
      </c>
      <c r="C289" s="453">
        <f>IF(C287=0,0,C288/C287)</f>
        <v>0.16847478281256564</v>
      </c>
      <c r="D289" s="453">
        <f>IF(LN_IIB11=0,0,LN_IIB12/LN_IIB11)</f>
        <v>0.16059417465036177</v>
      </c>
      <c r="E289" s="454">
        <f t="shared" si="28"/>
        <v>-7.8806081622038726E-3</v>
      </c>
      <c r="F289" s="458">
        <f t="shared" si="29"/>
        <v>-4.6776188285527202E-2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49620</v>
      </c>
      <c r="D290" s="508">
        <f>LN_IA8+LN_IF11+LN_IG6</f>
        <v>49112</v>
      </c>
      <c r="E290" s="528">
        <f t="shared" si="28"/>
        <v>-508</v>
      </c>
      <c r="F290" s="458">
        <f t="shared" si="29"/>
        <v>-1.0237807335751713E-2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743</v>
      </c>
      <c r="C291" s="448">
        <f>C287-C288</f>
        <v>847214045</v>
      </c>
      <c r="D291" s="516">
        <f>LN_IIB11-LN_IIB12</f>
        <v>938041079</v>
      </c>
      <c r="E291" s="441">
        <f t="shared" si="28"/>
        <v>90827034</v>
      </c>
      <c r="F291" s="503">
        <f t="shared" si="29"/>
        <v>0.10720671421352558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645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636</v>
      </c>
      <c r="C294" s="466">
        <f>IF(C18=0,0,C22/C18)</f>
        <v>6.2396212672978875</v>
      </c>
      <c r="D294" s="466">
        <f>IF(LN_IA4=0,0,LN_IA8/LN_IA4)</f>
        <v>5.9613188432492175</v>
      </c>
      <c r="E294" s="466">
        <f t="shared" ref="E294:E300" si="30">D294-C294</f>
        <v>-0.27830242404867001</v>
      </c>
      <c r="F294" s="503">
        <f t="shared" ref="F294:F300" si="31">IF(C294=0,0,E294/C294)</f>
        <v>-4.4602454560385661E-2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657</v>
      </c>
      <c r="C295" s="466">
        <f>IF(C45=0,0,C51/C45)</f>
        <v>4.0228590924599112</v>
      </c>
      <c r="D295" s="466">
        <f>IF(LN_IB4=0,0,(LN_IB10)/(LN_IB4))</f>
        <v>3.9360352422907487</v>
      </c>
      <c r="E295" s="466">
        <f t="shared" si="30"/>
        <v>-8.6823850169162498E-2</v>
      </c>
      <c r="F295" s="503">
        <f t="shared" si="31"/>
        <v>-2.1582622750047943E-2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672</v>
      </c>
      <c r="C296" s="466">
        <f>IF(C86=0,0,C93/C86)</f>
        <v>3.7098445595854921</v>
      </c>
      <c r="D296" s="466">
        <f>IF(LN_IC4=0,0,LN_IC11/LN_IC4)</f>
        <v>3.8848920863309351</v>
      </c>
      <c r="E296" s="466">
        <f t="shared" si="30"/>
        <v>0.17504752674544299</v>
      </c>
      <c r="F296" s="503">
        <f t="shared" si="31"/>
        <v>4.7184598689763269E-2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4.3665291691219803</v>
      </c>
      <c r="D297" s="466">
        <f>IF(LN_ID4=0,0,LN_ID11/LN_ID4)</f>
        <v>4.3982205446211919</v>
      </c>
      <c r="E297" s="466">
        <f t="shared" si="30"/>
        <v>3.1691375499211638E-2</v>
      </c>
      <c r="F297" s="503">
        <f t="shared" si="31"/>
        <v>7.2577954415873345E-3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744</v>
      </c>
      <c r="C298" s="466">
        <f>IF(C156=0,0,C163/C156)</f>
        <v>5.35</v>
      </c>
      <c r="D298" s="466">
        <f>IF(LN_IE4=0,0,LN_IE11/LN_IE4)</f>
        <v>5.0793650793650791</v>
      </c>
      <c r="E298" s="466">
        <f t="shared" si="30"/>
        <v>-0.27063492063492056</v>
      </c>
      <c r="F298" s="503">
        <f t="shared" si="31"/>
        <v>-5.0585966473816933E-2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5.4736842105263159</v>
      </c>
      <c r="D299" s="466">
        <f>IF(LN_IG3=0,0,LN_IG6/LN_IG3)</f>
        <v>3.9655172413793105</v>
      </c>
      <c r="E299" s="466">
        <f t="shared" si="30"/>
        <v>-1.5081669691470054</v>
      </c>
      <c r="F299" s="503">
        <f t="shared" si="31"/>
        <v>-0.27553050397877982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745</v>
      </c>
      <c r="C300" s="466">
        <f>IF(C264=0,0,C274/C264)</f>
        <v>4.930423654610359</v>
      </c>
      <c r="D300" s="466">
        <f>IF(LN_IIA4=0,0,LN_IIA14/LN_IIA4)</f>
        <v>4.7936262998993628</v>
      </c>
      <c r="E300" s="466">
        <f t="shared" si="30"/>
        <v>-0.13679735471099619</v>
      </c>
      <c r="F300" s="503">
        <f t="shared" si="31"/>
        <v>-2.7745557845334286E-2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746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740</v>
      </c>
      <c r="C304" s="441">
        <f>C35+C66+C214+C221+C233</f>
        <v>1872448686</v>
      </c>
      <c r="D304" s="441">
        <f>LN_IIA11</f>
        <v>2018104271</v>
      </c>
      <c r="E304" s="441">
        <f t="shared" ref="E304:E316" si="32">D304-C304</f>
        <v>145655585</v>
      </c>
      <c r="F304" s="449">
        <f>IF(C304=0,0,E304/C304)</f>
        <v>7.7788825984414722E-2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743</v>
      </c>
      <c r="C305" s="441">
        <f>C291</f>
        <v>847214045</v>
      </c>
      <c r="D305" s="441">
        <f>LN_IIB14</f>
        <v>938041079</v>
      </c>
      <c r="E305" s="441">
        <f t="shared" si="32"/>
        <v>90827034</v>
      </c>
      <c r="F305" s="449">
        <f>IF(C305=0,0,E305/C305)</f>
        <v>0.10720671421352558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747</v>
      </c>
      <c r="C306" s="441">
        <f>C250</f>
        <v>60204861</v>
      </c>
      <c r="D306" s="441">
        <f>LN_IH6</f>
        <v>59860777</v>
      </c>
      <c r="E306" s="441">
        <f t="shared" si="32"/>
        <v>-344084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748</v>
      </c>
      <c r="C307" s="441">
        <f>C73-C74</f>
        <v>440169266</v>
      </c>
      <c r="D307" s="441">
        <f>LN_IB32-LN_IB33</f>
        <v>470899812</v>
      </c>
      <c r="E307" s="441">
        <f t="shared" si="32"/>
        <v>30730546</v>
      </c>
      <c r="F307" s="449">
        <f t="shared" ref="F307:F316" si="33">IF(C307=0,0,E307/C307)</f>
        <v>6.9815292374365817E-2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749</v>
      </c>
      <c r="C308" s="441">
        <v>25369317</v>
      </c>
      <c r="D308" s="441">
        <v>26996467</v>
      </c>
      <c r="E308" s="441">
        <f t="shared" si="32"/>
        <v>1627150</v>
      </c>
      <c r="F308" s="449">
        <f t="shared" si="33"/>
        <v>6.4138502427952632E-2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750</v>
      </c>
      <c r="C309" s="441">
        <f>C305+C307+C308+C306</f>
        <v>1372957489</v>
      </c>
      <c r="D309" s="441">
        <f>LN_III2+LN_III3+LN_III4+LN_III5</f>
        <v>1495798135</v>
      </c>
      <c r="E309" s="441">
        <f t="shared" si="32"/>
        <v>122840646</v>
      </c>
      <c r="F309" s="449">
        <f t="shared" si="33"/>
        <v>8.9471558285079578E-2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751</v>
      </c>
      <c r="C310" s="441">
        <f>C304-C309</f>
        <v>499491197</v>
      </c>
      <c r="D310" s="441">
        <f>LN_III1-LN_III6</f>
        <v>522306136</v>
      </c>
      <c r="E310" s="441">
        <f t="shared" si="32"/>
        <v>22814939</v>
      </c>
      <c r="F310" s="449">
        <f t="shared" si="33"/>
        <v>4.5676358536504896E-2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752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753</v>
      </c>
      <c r="C312" s="441">
        <f>C310+C311</f>
        <v>499491197</v>
      </c>
      <c r="D312" s="441">
        <f>LN_III7+LN_III8</f>
        <v>522306136</v>
      </c>
      <c r="E312" s="441">
        <f t="shared" si="32"/>
        <v>22814939</v>
      </c>
      <c r="F312" s="449">
        <f t="shared" si="33"/>
        <v>4.5676358536504896E-2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754</v>
      </c>
      <c r="C313" s="532">
        <f>IF(C304=0,0,C312/C304)</f>
        <v>0.26675828327612711</v>
      </c>
      <c r="D313" s="532">
        <f>IF(LN_III1=0,0,LN_III9/LN_III1)</f>
        <v>0.25881028225622343</v>
      </c>
      <c r="E313" s="532">
        <f t="shared" si="32"/>
        <v>-7.9480010199036721E-3</v>
      </c>
      <c r="F313" s="449">
        <f t="shared" si="33"/>
        <v>-2.9794767466232826E-2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717</v>
      </c>
      <c r="C314" s="441">
        <f>C306*C313</f>
        <v>16060145.365237856</v>
      </c>
      <c r="D314" s="441">
        <f>D313*LN_III5</f>
        <v>15492584.591446849</v>
      </c>
      <c r="E314" s="441">
        <f t="shared" si="32"/>
        <v>-567560.7737910077</v>
      </c>
      <c r="F314" s="449">
        <f t="shared" si="33"/>
        <v>-3.5339703401408282E-2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720</v>
      </c>
      <c r="C315" s="441">
        <f>(C214*C313)-C215</f>
        <v>40020304.923259512</v>
      </c>
      <c r="D315" s="441">
        <f>D313*LN_IH8-LN_IH9</f>
        <v>48030619.451421872</v>
      </c>
      <c r="E315" s="441">
        <f t="shared" si="32"/>
        <v>8010314.5281623602</v>
      </c>
      <c r="F315" s="449">
        <f t="shared" si="33"/>
        <v>0.20015625926695085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755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756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757</v>
      </c>
      <c r="C318" s="441">
        <f>C314+C315+C316</f>
        <v>56080450.288497366</v>
      </c>
      <c r="D318" s="441">
        <f>D314+D315+D316</f>
        <v>63523204.042868719</v>
      </c>
      <c r="E318" s="441">
        <f>D318-C318</f>
        <v>7442753.7543713525</v>
      </c>
      <c r="F318" s="449">
        <f>IF(C318=0,0,E318/C318)</f>
        <v>0.13271565609910824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758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20151728.090191711</v>
      </c>
      <c r="D322" s="441">
        <f>LN_ID22</f>
        <v>23051095.784623835</v>
      </c>
      <c r="E322" s="441">
        <f>LN_IV2-C322</f>
        <v>2899367.6944321245</v>
      </c>
      <c r="F322" s="449">
        <f>IF(C322=0,0,E322/C322)</f>
        <v>0.1438768765366237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744</v>
      </c>
      <c r="C323" s="441">
        <f>C162+C176</f>
        <v>620573.93828580296</v>
      </c>
      <c r="D323" s="441">
        <f>LN_IE10+LN_IE22</f>
        <v>391635.70670618047</v>
      </c>
      <c r="E323" s="441">
        <f>LN_IV3-C323</f>
        <v>-228938.23157962249</v>
      </c>
      <c r="F323" s="449">
        <f>IF(C323=0,0,E323/C323)</f>
        <v>-0.36891370625716779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759</v>
      </c>
      <c r="C324" s="441">
        <f>C92+C106</f>
        <v>10372131.660666678</v>
      </c>
      <c r="D324" s="441">
        <f>LN_IC10+LN_IC22</f>
        <v>6553735.9578646626</v>
      </c>
      <c r="E324" s="441">
        <f>LN_IV1-C324</f>
        <v>-3818395.7028020155</v>
      </c>
      <c r="F324" s="449">
        <f>IF(C324=0,0,E324/C324)</f>
        <v>-0.36813991836241161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760</v>
      </c>
      <c r="C325" s="516">
        <f>C324+C322+C323</f>
        <v>31144433.68914419</v>
      </c>
      <c r="D325" s="516">
        <f>LN_IV1+LN_IV2+LN_IV3</f>
        <v>29996467.449194677</v>
      </c>
      <c r="E325" s="441">
        <f>LN_IV4-C325</f>
        <v>-1147966.2399495132</v>
      </c>
      <c r="F325" s="449">
        <f>IF(C325=0,0,E325/C325)</f>
        <v>-3.6859435345894642E-2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761</v>
      </c>
      <c r="B327" s="530" t="s">
        <v>762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763</v>
      </c>
      <c r="C329" s="518">
        <v>33662529</v>
      </c>
      <c r="D329" s="518">
        <v>35387056</v>
      </c>
      <c r="E329" s="518">
        <f t="shared" ref="E329:E335" si="34">D329-C329</f>
        <v>1724527</v>
      </c>
      <c r="F329" s="542">
        <f t="shared" ref="F329:F335" si="35">IF(C329=0,0,E329/C329)</f>
        <v>5.1229870459227826E-2</v>
      </c>
    </row>
    <row r="330" spans="1:22" s="420" customFormat="1" ht="15.75" customHeight="1" x14ac:dyDescent="0.2">
      <c r="A330" s="451">
        <v>2</v>
      </c>
      <c r="B330" s="447" t="s">
        <v>764</v>
      </c>
      <c r="C330" s="516">
        <v>-26565184</v>
      </c>
      <c r="D330" s="516">
        <v>-30283552</v>
      </c>
      <c r="E330" s="518">
        <f t="shared" si="34"/>
        <v>-3718368</v>
      </c>
      <c r="F330" s="543">
        <f t="shared" si="35"/>
        <v>0.13997147544696095</v>
      </c>
    </row>
    <row r="331" spans="1:22" s="420" customFormat="1" ht="15.75" customHeight="1" x14ac:dyDescent="0.2">
      <c r="A331" s="427">
        <v>3</v>
      </c>
      <c r="B331" s="447" t="s">
        <v>765</v>
      </c>
      <c r="C331" s="516">
        <v>476412000</v>
      </c>
      <c r="D331" s="516">
        <v>494196000</v>
      </c>
      <c r="E331" s="518">
        <f t="shared" si="34"/>
        <v>17784000</v>
      </c>
      <c r="F331" s="542">
        <f t="shared" si="35"/>
        <v>3.7329034533135186E-2</v>
      </c>
    </row>
    <row r="332" spans="1:22" s="420" customFormat="1" ht="27" customHeight="1" x14ac:dyDescent="0.2">
      <c r="A332" s="451">
        <v>4</v>
      </c>
      <c r="B332" s="447" t="s">
        <v>766</v>
      </c>
      <c r="C332" s="516">
        <v>-686</v>
      </c>
      <c r="D332" s="516">
        <v>-271</v>
      </c>
      <c r="E332" s="518">
        <f t="shared" si="34"/>
        <v>415</v>
      </c>
      <c r="F332" s="543">
        <f t="shared" si="35"/>
        <v>-0.60495626822157433</v>
      </c>
    </row>
    <row r="333" spans="1:22" s="420" customFormat="1" ht="15.75" customHeight="1" x14ac:dyDescent="0.2">
      <c r="A333" s="451">
        <v>5</v>
      </c>
      <c r="B333" s="447" t="s">
        <v>767</v>
      </c>
      <c r="C333" s="516">
        <v>1872448000</v>
      </c>
      <c r="D333" s="516">
        <v>2018104000</v>
      </c>
      <c r="E333" s="518">
        <f t="shared" si="34"/>
        <v>145656000</v>
      </c>
      <c r="F333" s="542">
        <f t="shared" si="35"/>
        <v>7.7789076118535735E-2</v>
      </c>
    </row>
    <row r="334" spans="1:22" s="420" customFormat="1" ht="15.75" customHeight="1" x14ac:dyDescent="0.2">
      <c r="A334" s="427">
        <v>6</v>
      </c>
      <c r="B334" s="447" t="s">
        <v>768</v>
      </c>
      <c r="C334" s="516">
        <v>139</v>
      </c>
      <c r="D334" s="516">
        <v>228</v>
      </c>
      <c r="E334" s="516">
        <f t="shared" si="34"/>
        <v>89</v>
      </c>
      <c r="F334" s="543">
        <f t="shared" si="35"/>
        <v>0.64028776978417268</v>
      </c>
    </row>
    <row r="335" spans="1:22" s="420" customFormat="1" ht="15.75" customHeight="1" x14ac:dyDescent="0.2">
      <c r="A335" s="451">
        <v>7</v>
      </c>
      <c r="B335" s="447" t="s">
        <v>769</v>
      </c>
      <c r="C335" s="516">
        <v>60205000</v>
      </c>
      <c r="D335" s="516">
        <v>59861000</v>
      </c>
      <c r="E335" s="516">
        <f t="shared" si="34"/>
        <v>-344000</v>
      </c>
      <c r="F335" s="542">
        <f t="shared" si="35"/>
        <v>-5.7138111452537162E-3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paperSize="9" scale="79" fitToHeight="0" orientation="portrait" horizontalDpi="1200" verticalDpi="1200" r:id="rId1"/>
  <headerFooter>
    <oddHeader>&amp;LOFFICE OF HEALTH CARE ACCESS&amp;CTWELVE MONTHS ACTUAL FILING&amp;RSTAMFORD HOSPITAL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0"/>
  <sheetViews>
    <sheetView zoomScale="75" zoomScaleSheetLayoutView="68" workbookViewId="0">
      <selection activeCell="B16" sqref="B16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7" style="660" customWidth="1"/>
    <col min="4" max="4" width="16.140625" style="569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630</v>
      </c>
      <c r="B3" s="820"/>
      <c r="C3" s="820"/>
      <c r="D3" s="820"/>
      <c r="E3" s="820"/>
    </row>
    <row r="4" spans="1:5" s="428" customFormat="1" ht="15.75" customHeight="1" x14ac:dyDescent="0.25">
      <c r="A4" s="820" t="s">
        <v>770</v>
      </c>
      <c r="B4" s="820"/>
      <c r="C4" s="820"/>
      <c r="D4" s="820"/>
      <c r="E4" s="820"/>
    </row>
    <row r="5" spans="1:5" s="428" customFormat="1" ht="15.75" customHeight="1" x14ac:dyDescent="0.25">
      <c r="A5" s="820" t="s">
        <v>771</v>
      </c>
      <c r="B5" s="820"/>
      <c r="C5" s="820"/>
      <c r="D5" s="820"/>
      <c r="E5" s="820"/>
    </row>
    <row r="6" spans="1:5" s="428" customFormat="1" ht="15.75" customHeight="1" x14ac:dyDescent="0.25">
      <c r="A6" s="820" t="s">
        <v>772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773</v>
      </c>
      <c r="D9" s="573" t="s">
        <v>774</v>
      </c>
      <c r="E9" s="573" t="s">
        <v>775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776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777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657</v>
      </c>
      <c r="C14" s="589">
        <v>215616024</v>
      </c>
      <c r="D14" s="589">
        <v>215573321</v>
      </c>
      <c r="E14" s="590">
        <f t="shared" ref="E14:E22" si="0">D14-C14</f>
        <v>-42703</v>
      </c>
    </row>
    <row r="15" spans="1:5" s="421" customFormat="1" x14ac:dyDescent="0.2">
      <c r="A15" s="588">
        <v>2</v>
      </c>
      <c r="B15" s="587" t="s">
        <v>636</v>
      </c>
      <c r="C15" s="589">
        <v>325357024</v>
      </c>
      <c r="D15" s="591">
        <v>326676675</v>
      </c>
      <c r="E15" s="590">
        <f t="shared" si="0"/>
        <v>1319651</v>
      </c>
    </row>
    <row r="16" spans="1:5" s="421" customFormat="1" x14ac:dyDescent="0.2">
      <c r="A16" s="588">
        <v>3</v>
      </c>
      <c r="B16" s="587" t="s">
        <v>778</v>
      </c>
      <c r="C16" s="589">
        <v>114753970</v>
      </c>
      <c r="D16" s="591">
        <v>134097441</v>
      </c>
      <c r="E16" s="590">
        <f t="shared" si="0"/>
        <v>19343471</v>
      </c>
    </row>
    <row r="17" spans="1:5" s="421" customFormat="1" x14ac:dyDescent="0.2">
      <c r="A17" s="588">
        <v>4</v>
      </c>
      <c r="B17" s="587" t="s">
        <v>115</v>
      </c>
      <c r="C17" s="589">
        <v>111346725</v>
      </c>
      <c r="D17" s="591">
        <v>131712107</v>
      </c>
      <c r="E17" s="590">
        <f t="shared" si="0"/>
        <v>20365382</v>
      </c>
    </row>
    <row r="18" spans="1:5" s="421" customFormat="1" x14ac:dyDescent="0.2">
      <c r="A18" s="588">
        <v>5</v>
      </c>
      <c r="B18" s="587" t="s">
        <v>744</v>
      </c>
      <c r="C18" s="589">
        <v>3407245</v>
      </c>
      <c r="D18" s="591">
        <v>2385334</v>
      </c>
      <c r="E18" s="590">
        <f t="shared" si="0"/>
        <v>-1021911</v>
      </c>
    </row>
    <row r="19" spans="1:5" s="421" customFormat="1" x14ac:dyDescent="0.2">
      <c r="A19" s="588">
        <v>6</v>
      </c>
      <c r="B19" s="587" t="s">
        <v>424</v>
      </c>
      <c r="C19" s="589">
        <v>705107</v>
      </c>
      <c r="D19" s="591">
        <v>961380</v>
      </c>
      <c r="E19" s="590">
        <f t="shared" si="0"/>
        <v>256273</v>
      </c>
    </row>
    <row r="20" spans="1:5" s="421" customFormat="1" x14ac:dyDescent="0.2">
      <c r="A20" s="588">
        <v>7</v>
      </c>
      <c r="B20" s="587" t="s">
        <v>759</v>
      </c>
      <c r="C20" s="589">
        <v>8218885</v>
      </c>
      <c r="D20" s="591">
        <v>8550587</v>
      </c>
      <c r="E20" s="590">
        <f t="shared" si="0"/>
        <v>331702</v>
      </c>
    </row>
    <row r="21" spans="1:5" s="421" customFormat="1" x14ac:dyDescent="0.2">
      <c r="A21" s="588"/>
      <c r="B21" s="592" t="s">
        <v>779</v>
      </c>
      <c r="C21" s="593">
        <f>SUM(C15+C16+C19)</f>
        <v>440816101</v>
      </c>
      <c r="D21" s="593">
        <f>SUM(D15+D16+D19)</f>
        <v>461735496</v>
      </c>
      <c r="E21" s="593">
        <f t="shared" si="0"/>
        <v>20919395</v>
      </c>
    </row>
    <row r="22" spans="1:5" s="421" customFormat="1" x14ac:dyDescent="0.2">
      <c r="A22" s="588"/>
      <c r="B22" s="592" t="s">
        <v>465</v>
      </c>
      <c r="C22" s="593">
        <f>SUM(C14+C21)</f>
        <v>656432125</v>
      </c>
      <c r="D22" s="593">
        <f>SUM(D14+D21)</f>
        <v>677308817</v>
      </c>
      <c r="E22" s="593">
        <f t="shared" si="0"/>
        <v>20876692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780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657</v>
      </c>
      <c r="C25" s="589">
        <v>637965131</v>
      </c>
      <c r="D25" s="589">
        <v>685024911</v>
      </c>
      <c r="E25" s="590">
        <f t="shared" ref="E25:E33" si="1">D25-C25</f>
        <v>47059780</v>
      </c>
    </row>
    <row r="26" spans="1:5" s="421" customFormat="1" x14ac:dyDescent="0.2">
      <c r="A26" s="588">
        <v>2</v>
      </c>
      <c r="B26" s="587" t="s">
        <v>636</v>
      </c>
      <c r="C26" s="589">
        <v>394307677</v>
      </c>
      <c r="D26" s="591">
        <v>447217525</v>
      </c>
      <c r="E26" s="590">
        <f t="shared" si="1"/>
        <v>52909848</v>
      </c>
    </row>
    <row r="27" spans="1:5" s="421" customFormat="1" x14ac:dyDescent="0.2">
      <c r="A27" s="588">
        <v>3</v>
      </c>
      <c r="B27" s="587" t="s">
        <v>778</v>
      </c>
      <c r="C27" s="589">
        <v>182831698</v>
      </c>
      <c r="D27" s="591">
        <v>207291389</v>
      </c>
      <c r="E27" s="590">
        <f t="shared" si="1"/>
        <v>24459691</v>
      </c>
    </row>
    <row r="28" spans="1:5" s="421" customFormat="1" x14ac:dyDescent="0.2">
      <c r="A28" s="588">
        <v>4</v>
      </c>
      <c r="B28" s="587" t="s">
        <v>115</v>
      </c>
      <c r="C28" s="589">
        <v>179795054</v>
      </c>
      <c r="D28" s="591">
        <v>204421759</v>
      </c>
      <c r="E28" s="590">
        <f t="shared" si="1"/>
        <v>24626705</v>
      </c>
    </row>
    <row r="29" spans="1:5" s="421" customFormat="1" x14ac:dyDescent="0.2">
      <c r="A29" s="588">
        <v>5</v>
      </c>
      <c r="B29" s="587" t="s">
        <v>744</v>
      </c>
      <c r="C29" s="589">
        <v>3036644</v>
      </c>
      <c r="D29" s="591">
        <v>2869630</v>
      </c>
      <c r="E29" s="590">
        <f t="shared" si="1"/>
        <v>-167014</v>
      </c>
    </row>
    <row r="30" spans="1:5" s="421" customFormat="1" x14ac:dyDescent="0.2">
      <c r="A30" s="588">
        <v>6</v>
      </c>
      <c r="B30" s="587" t="s">
        <v>424</v>
      </c>
      <c r="C30" s="589">
        <v>912055</v>
      </c>
      <c r="D30" s="591">
        <v>1261629</v>
      </c>
      <c r="E30" s="590">
        <f t="shared" si="1"/>
        <v>349574</v>
      </c>
    </row>
    <row r="31" spans="1:5" s="421" customFormat="1" x14ac:dyDescent="0.2">
      <c r="A31" s="588">
        <v>7</v>
      </c>
      <c r="B31" s="587" t="s">
        <v>759</v>
      </c>
      <c r="C31" s="590">
        <v>53763116</v>
      </c>
      <c r="D31" s="594">
        <v>53108751</v>
      </c>
      <c r="E31" s="590">
        <f t="shared" si="1"/>
        <v>-654365</v>
      </c>
    </row>
    <row r="32" spans="1:5" s="421" customFormat="1" x14ac:dyDescent="0.2">
      <c r="A32" s="588"/>
      <c r="B32" s="592" t="s">
        <v>781</v>
      </c>
      <c r="C32" s="593">
        <f>SUM(C26+C27+C30)</f>
        <v>578051430</v>
      </c>
      <c r="D32" s="593">
        <f>SUM(D26+D27+D30)</f>
        <v>655770543</v>
      </c>
      <c r="E32" s="593">
        <f t="shared" si="1"/>
        <v>77719113</v>
      </c>
    </row>
    <row r="33" spans="1:5" s="421" customFormat="1" x14ac:dyDescent="0.2">
      <c r="A33" s="588"/>
      <c r="B33" s="592" t="s">
        <v>467</v>
      </c>
      <c r="C33" s="593">
        <f>SUM(C25+C32)</f>
        <v>1216016561</v>
      </c>
      <c r="D33" s="593">
        <f>SUM(D25+D32)</f>
        <v>1340795454</v>
      </c>
      <c r="E33" s="593">
        <f t="shared" si="1"/>
        <v>124778893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654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782</v>
      </c>
      <c r="C36" s="590">
        <f t="shared" ref="C36:D42" si="2">C14+C25</f>
        <v>853581155</v>
      </c>
      <c r="D36" s="590">
        <f t="shared" si="2"/>
        <v>900598232</v>
      </c>
      <c r="E36" s="590">
        <f t="shared" ref="E36:E44" si="3">D36-C36</f>
        <v>47017077</v>
      </c>
    </row>
    <row r="37" spans="1:5" s="421" customFormat="1" x14ac:dyDescent="0.2">
      <c r="A37" s="588">
        <v>2</v>
      </c>
      <c r="B37" s="587" t="s">
        <v>783</v>
      </c>
      <c r="C37" s="590">
        <f t="shared" si="2"/>
        <v>719664701</v>
      </c>
      <c r="D37" s="590">
        <f t="shared" si="2"/>
        <v>773894200</v>
      </c>
      <c r="E37" s="590">
        <f t="shared" si="3"/>
        <v>54229499</v>
      </c>
    </row>
    <row r="38" spans="1:5" s="421" customFormat="1" x14ac:dyDescent="0.2">
      <c r="A38" s="588">
        <v>3</v>
      </c>
      <c r="B38" s="587" t="s">
        <v>784</v>
      </c>
      <c r="C38" s="590">
        <f t="shared" si="2"/>
        <v>297585668</v>
      </c>
      <c r="D38" s="590">
        <f t="shared" si="2"/>
        <v>341388830</v>
      </c>
      <c r="E38" s="590">
        <f t="shared" si="3"/>
        <v>43803162</v>
      </c>
    </row>
    <row r="39" spans="1:5" s="421" customFormat="1" x14ac:dyDescent="0.2">
      <c r="A39" s="588">
        <v>4</v>
      </c>
      <c r="B39" s="587" t="s">
        <v>785</v>
      </c>
      <c r="C39" s="590">
        <f t="shared" si="2"/>
        <v>291141779</v>
      </c>
      <c r="D39" s="590">
        <f t="shared" si="2"/>
        <v>336133866</v>
      </c>
      <c r="E39" s="590">
        <f t="shared" si="3"/>
        <v>44992087</v>
      </c>
    </row>
    <row r="40" spans="1:5" s="421" customFormat="1" x14ac:dyDescent="0.2">
      <c r="A40" s="588">
        <v>5</v>
      </c>
      <c r="B40" s="587" t="s">
        <v>786</v>
      </c>
      <c r="C40" s="590">
        <f t="shared" si="2"/>
        <v>6443889</v>
      </c>
      <c r="D40" s="590">
        <f t="shared" si="2"/>
        <v>5254964</v>
      </c>
      <c r="E40" s="590">
        <f t="shared" si="3"/>
        <v>-1188925</v>
      </c>
    </row>
    <row r="41" spans="1:5" s="421" customFormat="1" x14ac:dyDescent="0.2">
      <c r="A41" s="588">
        <v>6</v>
      </c>
      <c r="B41" s="587" t="s">
        <v>787</v>
      </c>
      <c r="C41" s="590">
        <f t="shared" si="2"/>
        <v>1617162</v>
      </c>
      <c r="D41" s="590">
        <f t="shared" si="2"/>
        <v>2223009</v>
      </c>
      <c r="E41" s="590">
        <f t="shared" si="3"/>
        <v>605847</v>
      </c>
    </row>
    <row r="42" spans="1:5" s="421" customFormat="1" x14ac:dyDescent="0.2">
      <c r="A42" s="588">
        <v>7</v>
      </c>
      <c r="B42" s="587" t="s">
        <v>788</v>
      </c>
      <c r="C42" s="590">
        <f t="shared" si="2"/>
        <v>61982001</v>
      </c>
      <c r="D42" s="590">
        <f t="shared" si="2"/>
        <v>61659338</v>
      </c>
      <c r="E42" s="590">
        <f t="shared" si="3"/>
        <v>-322663</v>
      </c>
    </row>
    <row r="43" spans="1:5" s="421" customFormat="1" x14ac:dyDescent="0.2">
      <c r="A43" s="588"/>
      <c r="B43" s="592" t="s">
        <v>789</v>
      </c>
      <c r="C43" s="593">
        <f>SUM(C37+C38+C41)</f>
        <v>1018867531</v>
      </c>
      <c r="D43" s="593">
        <f>SUM(D37+D38+D41)</f>
        <v>1117506039</v>
      </c>
      <c r="E43" s="593">
        <f t="shared" si="3"/>
        <v>98638508</v>
      </c>
    </row>
    <row r="44" spans="1:5" s="421" customFormat="1" x14ac:dyDescent="0.2">
      <c r="A44" s="588"/>
      <c r="B44" s="592" t="s">
        <v>726</v>
      </c>
      <c r="C44" s="593">
        <f>SUM(C36+C43)</f>
        <v>1872448686</v>
      </c>
      <c r="D44" s="593">
        <f>SUM(D36+D43)</f>
        <v>2018104271</v>
      </c>
      <c r="E44" s="593">
        <f t="shared" si="3"/>
        <v>145655585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790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657</v>
      </c>
      <c r="C47" s="589">
        <v>82887321</v>
      </c>
      <c r="D47" s="589">
        <v>86757106</v>
      </c>
      <c r="E47" s="590">
        <f t="shared" ref="E47:E55" si="4">D47-C47</f>
        <v>3869785</v>
      </c>
    </row>
    <row r="48" spans="1:5" s="421" customFormat="1" x14ac:dyDescent="0.2">
      <c r="A48" s="588">
        <v>2</v>
      </c>
      <c r="B48" s="587" t="s">
        <v>636</v>
      </c>
      <c r="C48" s="589">
        <v>78363100</v>
      </c>
      <c r="D48" s="591">
        <v>76919669</v>
      </c>
      <c r="E48" s="590">
        <f t="shared" si="4"/>
        <v>-1443431</v>
      </c>
    </row>
    <row r="49" spans="1:5" s="421" customFormat="1" x14ac:dyDescent="0.2">
      <c r="A49" s="588">
        <v>3</v>
      </c>
      <c r="B49" s="587" t="s">
        <v>778</v>
      </c>
      <c r="C49" s="589">
        <v>14969744</v>
      </c>
      <c r="D49" s="591">
        <v>14929672</v>
      </c>
      <c r="E49" s="590">
        <f t="shared" si="4"/>
        <v>-40072</v>
      </c>
    </row>
    <row r="50" spans="1:5" s="421" customFormat="1" x14ac:dyDescent="0.2">
      <c r="A50" s="588">
        <v>4</v>
      </c>
      <c r="B50" s="587" t="s">
        <v>115</v>
      </c>
      <c r="C50" s="589">
        <v>14481962</v>
      </c>
      <c r="D50" s="591">
        <v>14434839</v>
      </c>
      <c r="E50" s="590">
        <f t="shared" si="4"/>
        <v>-47123</v>
      </c>
    </row>
    <row r="51" spans="1:5" s="421" customFormat="1" x14ac:dyDescent="0.2">
      <c r="A51" s="588">
        <v>5</v>
      </c>
      <c r="B51" s="587" t="s">
        <v>744</v>
      </c>
      <c r="C51" s="589">
        <v>487782</v>
      </c>
      <c r="D51" s="591">
        <v>494833</v>
      </c>
      <c r="E51" s="590">
        <f t="shared" si="4"/>
        <v>7051</v>
      </c>
    </row>
    <row r="52" spans="1:5" s="421" customFormat="1" x14ac:dyDescent="0.2">
      <c r="A52" s="588">
        <v>6</v>
      </c>
      <c r="B52" s="587" t="s">
        <v>424</v>
      </c>
      <c r="C52" s="589">
        <v>135237</v>
      </c>
      <c r="D52" s="591">
        <v>187741</v>
      </c>
      <c r="E52" s="590">
        <f t="shared" si="4"/>
        <v>52504</v>
      </c>
    </row>
    <row r="53" spans="1:5" s="421" customFormat="1" x14ac:dyDescent="0.2">
      <c r="A53" s="588">
        <v>7</v>
      </c>
      <c r="B53" s="587" t="s">
        <v>759</v>
      </c>
      <c r="C53" s="589">
        <v>175349</v>
      </c>
      <c r="D53" s="591">
        <v>194625</v>
      </c>
      <c r="E53" s="590">
        <f t="shared" si="4"/>
        <v>19276</v>
      </c>
    </row>
    <row r="54" spans="1:5" s="421" customFormat="1" x14ac:dyDescent="0.2">
      <c r="A54" s="588"/>
      <c r="B54" s="592" t="s">
        <v>791</v>
      </c>
      <c r="C54" s="593">
        <f>SUM(C48+C49+C52)</f>
        <v>93468081</v>
      </c>
      <c r="D54" s="593">
        <f>SUM(D48+D49+D52)</f>
        <v>92037082</v>
      </c>
      <c r="E54" s="593">
        <f t="shared" si="4"/>
        <v>-1430999</v>
      </c>
    </row>
    <row r="55" spans="1:5" s="421" customFormat="1" x14ac:dyDescent="0.2">
      <c r="A55" s="588"/>
      <c r="B55" s="592" t="s">
        <v>466</v>
      </c>
      <c r="C55" s="593">
        <f>SUM(C47+C54)</f>
        <v>176355402</v>
      </c>
      <c r="D55" s="593">
        <f>SUM(D47+D54)</f>
        <v>178794188</v>
      </c>
      <c r="E55" s="593">
        <f t="shared" si="4"/>
        <v>2438786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792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657</v>
      </c>
      <c r="C58" s="589">
        <v>248436377</v>
      </c>
      <c r="D58" s="589">
        <v>258257486</v>
      </c>
      <c r="E58" s="590">
        <f t="shared" ref="E58:E66" si="5">D58-C58</f>
        <v>9821109</v>
      </c>
    </row>
    <row r="59" spans="1:5" s="421" customFormat="1" x14ac:dyDescent="0.2">
      <c r="A59" s="588">
        <v>2</v>
      </c>
      <c r="B59" s="587" t="s">
        <v>636</v>
      </c>
      <c r="C59" s="589">
        <v>53747543</v>
      </c>
      <c r="D59" s="591">
        <v>61889481</v>
      </c>
      <c r="E59" s="590">
        <f t="shared" si="5"/>
        <v>8141938</v>
      </c>
    </row>
    <row r="60" spans="1:5" s="421" customFormat="1" x14ac:dyDescent="0.2">
      <c r="A60" s="588">
        <v>3</v>
      </c>
      <c r="B60" s="587" t="s">
        <v>778</v>
      </c>
      <c r="C60" s="589">
        <f>C61+C62</f>
        <v>24393393</v>
      </c>
      <c r="D60" s="591">
        <f>D61+D62</f>
        <v>25394648</v>
      </c>
      <c r="E60" s="590">
        <f t="shared" si="5"/>
        <v>1001255</v>
      </c>
    </row>
    <row r="61" spans="1:5" s="421" customFormat="1" x14ac:dyDescent="0.2">
      <c r="A61" s="588">
        <v>4</v>
      </c>
      <c r="B61" s="587" t="s">
        <v>115</v>
      </c>
      <c r="C61" s="589">
        <v>24103560</v>
      </c>
      <c r="D61" s="591">
        <v>24884107</v>
      </c>
      <c r="E61" s="590">
        <f t="shared" si="5"/>
        <v>780547</v>
      </c>
    </row>
    <row r="62" spans="1:5" s="421" customFormat="1" x14ac:dyDescent="0.2">
      <c r="A62" s="588">
        <v>5</v>
      </c>
      <c r="B62" s="587" t="s">
        <v>744</v>
      </c>
      <c r="C62" s="589">
        <v>289833</v>
      </c>
      <c r="D62" s="591">
        <v>510541</v>
      </c>
      <c r="E62" s="590">
        <f t="shared" si="5"/>
        <v>220708</v>
      </c>
    </row>
    <row r="63" spans="1:5" s="421" customFormat="1" x14ac:dyDescent="0.2">
      <c r="A63" s="588">
        <v>6</v>
      </c>
      <c r="B63" s="587" t="s">
        <v>424</v>
      </c>
      <c r="C63" s="589">
        <v>44469</v>
      </c>
      <c r="D63" s="591">
        <v>143749</v>
      </c>
      <c r="E63" s="590">
        <f t="shared" si="5"/>
        <v>99280</v>
      </c>
    </row>
    <row r="64" spans="1:5" s="421" customFormat="1" x14ac:dyDescent="0.2">
      <c r="A64" s="588">
        <v>7</v>
      </c>
      <c r="B64" s="587" t="s">
        <v>759</v>
      </c>
      <c r="C64" s="589">
        <v>1720175</v>
      </c>
      <c r="D64" s="591">
        <v>2008694</v>
      </c>
      <c r="E64" s="590">
        <f t="shared" si="5"/>
        <v>288519</v>
      </c>
    </row>
    <row r="65" spans="1:5" s="421" customFormat="1" x14ac:dyDescent="0.2">
      <c r="A65" s="588"/>
      <c r="B65" s="592" t="s">
        <v>793</v>
      </c>
      <c r="C65" s="593">
        <f>SUM(C59+C60+C63)</f>
        <v>78185405</v>
      </c>
      <c r="D65" s="593">
        <f>SUM(D59+D60+D63)</f>
        <v>87427878</v>
      </c>
      <c r="E65" s="593">
        <f t="shared" si="5"/>
        <v>9242473</v>
      </c>
    </row>
    <row r="66" spans="1:5" s="421" customFormat="1" x14ac:dyDescent="0.2">
      <c r="A66" s="588"/>
      <c r="B66" s="592" t="s">
        <v>468</v>
      </c>
      <c r="C66" s="593">
        <f>SUM(C58+C65)</f>
        <v>326621782</v>
      </c>
      <c r="D66" s="593">
        <f>SUM(D58+D65)</f>
        <v>345685364</v>
      </c>
      <c r="E66" s="593">
        <f t="shared" si="5"/>
        <v>19063582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655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782</v>
      </c>
      <c r="C69" s="590">
        <f t="shared" ref="C69:D75" si="6">C47+C58</f>
        <v>331323698</v>
      </c>
      <c r="D69" s="590">
        <f t="shared" si="6"/>
        <v>345014592</v>
      </c>
      <c r="E69" s="590">
        <f t="shared" ref="E69:E77" si="7">D69-C69</f>
        <v>13690894</v>
      </c>
    </row>
    <row r="70" spans="1:5" s="421" customFormat="1" x14ac:dyDescent="0.2">
      <c r="A70" s="588">
        <v>2</v>
      </c>
      <c r="B70" s="587" t="s">
        <v>783</v>
      </c>
      <c r="C70" s="590">
        <f t="shared" si="6"/>
        <v>132110643</v>
      </c>
      <c r="D70" s="590">
        <f t="shared" si="6"/>
        <v>138809150</v>
      </c>
      <c r="E70" s="590">
        <f t="shared" si="7"/>
        <v>6698507</v>
      </c>
    </row>
    <row r="71" spans="1:5" s="421" customFormat="1" x14ac:dyDescent="0.2">
      <c r="A71" s="588">
        <v>3</v>
      </c>
      <c r="B71" s="587" t="s">
        <v>784</v>
      </c>
      <c r="C71" s="590">
        <f t="shared" si="6"/>
        <v>39363137</v>
      </c>
      <c r="D71" s="590">
        <f t="shared" si="6"/>
        <v>40324320</v>
      </c>
      <c r="E71" s="590">
        <f t="shared" si="7"/>
        <v>961183</v>
      </c>
    </row>
    <row r="72" spans="1:5" s="421" customFormat="1" x14ac:dyDescent="0.2">
      <c r="A72" s="588">
        <v>4</v>
      </c>
      <c r="B72" s="587" t="s">
        <v>785</v>
      </c>
      <c r="C72" s="590">
        <f t="shared" si="6"/>
        <v>38585522</v>
      </c>
      <c r="D72" s="590">
        <f t="shared" si="6"/>
        <v>39318946</v>
      </c>
      <c r="E72" s="590">
        <f t="shared" si="7"/>
        <v>733424</v>
      </c>
    </row>
    <row r="73" spans="1:5" s="421" customFormat="1" x14ac:dyDescent="0.2">
      <c r="A73" s="588">
        <v>5</v>
      </c>
      <c r="B73" s="587" t="s">
        <v>786</v>
      </c>
      <c r="C73" s="590">
        <f t="shared" si="6"/>
        <v>777615</v>
      </c>
      <c r="D73" s="590">
        <f t="shared" si="6"/>
        <v>1005374</v>
      </c>
      <c r="E73" s="590">
        <f t="shared" si="7"/>
        <v>227759</v>
      </c>
    </row>
    <row r="74" spans="1:5" s="421" customFormat="1" x14ac:dyDescent="0.2">
      <c r="A74" s="588">
        <v>6</v>
      </c>
      <c r="B74" s="587" t="s">
        <v>787</v>
      </c>
      <c r="C74" s="590">
        <f t="shared" si="6"/>
        <v>179706</v>
      </c>
      <c r="D74" s="590">
        <f t="shared" si="6"/>
        <v>331490</v>
      </c>
      <c r="E74" s="590">
        <f t="shared" si="7"/>
        <v>151784</v>
      </c>
    </row>
    <row r="75" spans="1:5" s="421" customFormat="1" x14ac:dyDescent="0.2">
      <c r="A75" s="588">
        <v>7</v>
      </c>
      <c r="B75" s="587" t="s">
        <v>788</v>
      </c>
      <c r="C75" s="590">
        <f t="shared" si="6"/>
        <v>1895524</v>
      </c>
      <c r="D75" s="590">
        <f t="shared" si="6"/>
        <v>2203319</v>
      </c>
      <c r="E75" s="590">
        <f t="shared" si="7"/>
        <v>307795</v>
      </c>
    </row>
    <row r="76" spans="1:5" s="421" customFormat="1" x14ac:dyDescent="0.2">
      <c r="A76" s="588"/>
      <c r="B76" s="592" t="s">
        <v>794</v>
      </c>
      <c r="C76" s="593">
        <f>SUM(C70+C71+C74)</f>
        <v>171653486</v>
      </c>
      <c r="D76" s="593">
        <f>SUM(D70+D71+D74)</f>
        <v>179464960</v>
      </c>
      <c r="E76" s="593">
        <f t="shared" si="7"/>
        <v>7811474</v>
      </c>
    </row>
    <row r="77" spans="1:5" s="421" customFormat="1" x14ac:dyDescent="0.2">
      <c r="A77" s="588"/>
      <c r="B77" s="592" t="s">
        <v>727</v>
      </c>
      <c r="C77" s="593">
        <f>SUM(C69+C76)</f>
        <v>502977184</v>
      </c>
      <c r="D77" s="593">
        <f>SUM(D69+D76)</f>
        <v>524479552</v>
      </c>
      <c r="E77" s="593">
        <f t="shared" si="7"/>
        <v>21502368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795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796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657</v>
      </c>
      <c r="C83" s="599">
        <f t="shared" ref="C83:D89" si="8">IF(C$44=0,0,C14/C$44)</f>
        <v>0.11515190008256386</v>
      </c>
      <c r="D83" s="599">
        <f t="shared" si="8"/>
        <v>0.10681971397502682</v>
      </c>
      <c r="E83" s="599">
        <f t="shared" ref="E83:E91" si="9">D83-C83</f>
        <v>-8.3321861075370401E-3</v>
      </c>
    </row>
    <row r="84" spans="1:5" s="421" customFormat="1" x14ac:dyDescent="0.2">
      <c r="A84" s="588">
        <v>2</v>
      </c>
      <c r="B84" s="587" t="s">
        <v>636</v>
      </c>
      <c r="C84" s="599">
        <f t="shared" si="8"/>
        <v>0.17376018175165095</v>
      </c>
      <c r="D84" s="599">
        <f t="shared" si="8"/>
        <v>0.16187304080087347</v>
      </c>
      <c r="E84" s="599">
        <f t="shared" si="9"/>
        <v>-1.1887140950777475E-2</v>
      </c>
    </row>
    <row r="85" spans="1:5" s="421" customFormat="1" x14ac:dyDescent="0.2">
      <c r="A85" s="588">
        <v>3</v>
      </c>
      <c r="B85" s="587" t="s">
        <v>778</v>
      </c>
      <c r="C85" s="599">
        <f t="shared" si="8"/>
        <v>6.1285508573878218E-2</v>
      </c>
      <c r="D85" s="599">
        <f t="shared" si="8"/>
        <v>6.6447231159940404E-2</v>
      </c>
      <c r="E85" s="599">
        <f t="shared" si="9"/>
        <v>5.1617225860621854E-3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5.9465835209542295E-2</v>
      </c>
      <c r="D86" s="599">
        <f t="shared" si="8"/>
        <v>6.5265263491432357E-2</v>
      </c>
      <c r="E86" s="599">
        <f t="shared" si="9"/>
        <v>5.7994282818900622E-3</v>
      </c>
    </row>
    <row r="87" spans="1:5" s="421" customFormat="1" x14ac:dyDescent="0.2">
      <c r="A87" s="588">
        <v>5</v>
      </c>
      <c r="B87" s="587" t="s">
        <v>744</v>
      </c>
      <c r="C87" s="599">
        <f t="shared" si="8"/>
        <v>1.819673364335924E-3</v>
      </c>
      <c r="D87" s="599">
        <f t="shared" si="8"/>
        <v>1.1819676685080461E-3</v>
      </c>
      <c r="E87" s="599">
        <f t="shared" si="9"/>
        <v>-6.3770569582787787E-4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3.7656946503900079E-4</v>
      </c>
      <c r="D88" s="599">
        <f t="shared" si="8"/>
        <v>4.7637776393170321E-4</v>
      </c>
      <c r="E88" s="599">
        <f t="shared" si="9"/>
        <v>9.9808298892702422E-5</v>
      </c>
    </row>
    <row r="89" spans="1:5" s="421" customFormat="1" x14ac:dyDescent="0.2">
      <c r="A89" s="588">
        <v>7</v>
      </c>
      <c r="B89" s="587" t="s">
        <v>759</v>
      </c>
      <c r="C89" s="599">
        <f t="shared" si="8"/>
        <v>4.3893779634396881E-3</v>
      </c>
      <c r="D89" s="599">
        <f t="shared" si="8"/>
        <v>4.2369401437137143E-3</v>
      </c>
      <c r="E89" s="599">
        <f t="shared" si="9"/>
        <v>-1.5243781972597379E-4</v>
      </c>
    </row>
    <row r="90" spans="1:5" s="421" customFormat="1" x14ac:dyDescent="0.2">
      <c r="A90" s="588"/>
      <c r="B90" s="592" t="s">
        <v>797</v>
      </c>
      <c r="C90" s="600">
        <f>SUM(C84+C85+C88)</f>
        <v>0.23542225979056816</v>
      </c>
      <c r="D90" s="600">
        <f>SUM(D84+D85+D88)</f>
        <v>0.22879664972474559</v>
      </c>
      <c r="E90" s="601">
        <f t="shared" si="9"/>
        <v>-6.6256100658225736E-3</v>
      </c>
    </row>
    <row r="91" spans="1:5" s="421" customFormat="1" x14ac:dyDescent="0.2">
      <c r="A91" s="588"/>
      <c r="B91" s="592" t="s">
        <v>798</v>
      </c>
      <c r="C91" s="600">
        <f>SUM(C83+C90)</f>
        <v>0.35057415987313201</v>
      </c>
      <c r="D91" s="600">
        <f>SUM(D83+D90)</f>
        <v>0.33561636369977244</v>
      </c>
      <c r="E91" s="601">
        <f t="shared" si="9"/>
        <v>-1.4957796173359572E-2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799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657</v>
      </c>
      <c r="C95" s="599">
        <f t="shared" ref="C95:D101" si="10">IF(C$44=0,0,C25/C$44)</f>
        <v>0.34071167651747336</v>
      </c>
      <c r="D95" s="599">
        <f t="shared" si="10"/>
        <v>0.33943980043239302</v>
      </c>
      <c r="E95" s="599">
        <f t="shared" ref="E95:E103" si="11">D95-C95</f>
        <v>-1.2718760850803368E-3</v>
      </c>
    </row>
    <row r="96" spans="1:5" s="421" customFormat="1" x14ac:dyDescent="0.2">
      <c r="A96" s="588">
        <v>2</v>
      </c>
      <c r="B96" s="587" t="s">
        <v>636</v>
      </c>
      <c r="C96" s="599">
        <f t="shared" si="10"/>
        <v>0.21058396950911157</v>
      </c>
      <c r="D96" s="599">
        <f t="shared" si="10"/>
        <v>0.22160278407140838</v>
      </c>
      <c r="E96" s="599">
        <f t="shared" si="11"/>
        <v>1.1018814562296808E-2</v>
      </c>
    </row>
    <row r="97" spans="1:5" s="421" customFormat="1" x14ac:dyDescent="0.2">
      <c r="A97" s="588">
        <v>3</v>
      </c>
      <c r="B97" s="587" t="s">
        <v>778</v>
      </c>
      <c r="C97" s="599">
        <f t="shared" si="10"/>
        <v>9.7643101980312424E-2</v>
      </c>
      <c r="D97" s="599">
        <f t="shared" si="10"/>
        <v>0.10271589628878992</v>
      </c>
      <c r="E97" s="599">
        <f t="shared" si="11"/>
        <v>5.072794308477499E-3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9.6021351796873752E-2</v>
      </c>
      <c r="D98" s="599">
        <f t="shared" si="10"/>
        <v>0.10129395291290179</v>
      </c>
      <c r="E98" s="599">
        <f t="shared" si="11"/>
        <v>5.2726011160280362E-3</v>
      </c>
    </row>
    <row r="99" spans="1:5" s="421" customFormat="1" x14ac:dyDescent="0.2">
      <c r="A99" s="588">
        <v>5</v>
      </c>
      <c r="B99" s="587" t="s">
        <v>744</v>
      </c>
      <c r="C99" s="599">
        <f t="shared" si="10"/>
        <v>1.6217501834386717E-3</v>
      </c>
      <c r="D99" s="599">
        <f t="shared" si="10"/>
        <v>1.4219433758881333E-3</v>
      </c>
      <c r="E99" s="599">
        <f t="shared" si="11"/>
        <v>-1.9980680755053845E-4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4.8709211997065109E-4</v>
      </c>
      <c r="D100" s="599">
        <f t="shared" si="10"/>
        <v>6.2515550763630491E-4</v>
      </c>
      <c r="E100" s="599">
        <f t="shared" si="11"/>
        <v>1.3806338766565382E-4</v>
      </c>
    </row>
    <row r="101" spans="1:5" s="421" customFormat="1" x14ac:dyDescent="0.2">
      <c r="A101" s="588">
        <v>7</v>
      </c>
      <c r="B101" s="587" t="s">
        <v>759</v>
      </c>
      <c r="C101" s="599">
        <f t="shared" si="10"/>
        <v>2.8712731303121009E-2</v>
      </c>
      <c r="D101" s="599">
        <f t="shared" si="10"/>
        <v>2.6316158071299181E-2</v>
      </c>
      <c r="E101" s="599">
        <f t="shared" si="11"/>
        <v>-2.3965732318218282E-3</v>
      </c>
    </row>
    <row r="102" spans="1:5" s="421" customFormat="1" x14ac:dyDescent="0.2">
      <c r="A102" s="588"/>
      <c r="B102" s="592" t="s">
        <v>800</v>
      </c>
      <c r="C102" s="600">
        <f>SUM(C96+C97+C100)</f>
        <v>0.30871416360939463</v>
      </c>
      <c r="D102" s="600">
        <f>SUM(D96+D97+D100)</f>
        <v>0.3249438358678346</v>
      </c>
      <c r="E102" s="601">
        <f t="shared" si="11"/>
        <v>1.6229672258439964E-2</v>
      </c>
    </row>
    <row r="103" spans="1:5" s="421" customFormat="1" x14ac:dyDescent="0.2">
      <c r="A103" s="588"/>
      <c r="B103" s="592" t="s">
        <v>801</v>
      </c>
      <c r="C103" s="600">
        <f>SUM(C95+C102)</f>
        <v>0.64942584012686799</v>
      </c>
      <c r="D103" s="600">
        <f>SUM(D95+D102)</f>
        <v>0.66438363630022756</v>
      </c>
      <c r="E103" s="601">
        <f t="shared" si="11"/>
        <v>1.4957796173359572E-2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802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803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657</v>
      </c>
      <c r="C109" s="599">
        <f t="shared" ref="C109:D115" si="12">IF(C$77=0,0,C47/C$77)</f>
        <v>0.1647934014438317</v>
      </c>
      <c r="D109" s="599">
        <f t="shared" si="12"/>
        <v>0.16541561185592227</v>
      </c>
      <c r="E109" s="599">
        <f t="shared" ref="E109:E117" si="13">D109-C109</f>
        <v>6.2221041209056804E-4</v>
      </c>
    </row>
    <row r="110" spans="1:5" s="421" customFormat="1" x14ac:dyDescent="0.2">
      <c r="A110" s="588">
        <v>2</v>
      </c>
      <c r="B110" s="587" t="s">
        <v>636</v>
      </c>
      <c r="C110" s="599">
        <f t="shared" si="12"/>
        <v>0.155798518288257</v>
      </c>
      <c r="D110" s="599">
        <f t="shared" si="12"/>
        <v>0.14665904267703461</v>
      </c>
      <c r="E110" s="599">
        <f t="shared" si="13"/>
        <v>-9.1394756112223863E-3</v>
      </c>
    </row>
    <row r="111" spans="1:5" s="421" customFormat="1" x14ac:dyDescent="0.2">
      <c r="A111" s="588">
        <v>3</v>
      </c>
      <c r="B111" s="587" t="s">
        <v>778</v>
      </c>
      <c r="C111" s="599">
        <f t="shared" si="12"/>
        <v>2.9762272477154749E-2</v>
      </c>
      <c r="D111" s="599">
        <f t="shared" si="12"/>
        <v>2.8465689354463145E-2</v>
      </c>
      <c r="E111" s="599">
        <f t="shared" si="13"/>
        <v>-1.2965831226916039E-3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2.8792482960817562E-2</v>
      </c>
      <c r="D112" s="599">
        <f t="shared" si="12"/>
        <v>2.7522215012874326E-2</v>
      </c>
      <c r="E112" s="599">
        <f t="shared" si="13"/>
        <v>-1.2702679479432363E-3</v>
      </c>
    </row>
    <row r="113" spans="1:5" s="421" customFormat="1" x14ac:dyDescent="0.2">
      <c r="A113" s="588">
        <v>5</v>
      </c>
      <c r="B113" s="587" t="s">
        <v>744</v>
      </c>
      <c r="C113" s="599">
        <f t="shared" si="12"/>
        <v>9.6978951633718642E-4</v>
      </c>
      <c r="D113" s="599">
        <f t="shared" si="12"/>
        <v>9.4347434158882138E-4</v>
      </c>
      <c r="E113" s="599">
        <f t="shared" si="13"/>
        <v>-2.6315174748365038E-5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2.6887303102798399E-4</v>
      </c>
      <c r="D114" s="599">
        <f t="shared" si="12"/>
        <v>3.579567578642227E-4</v>
      </c>
      <c r="E114" s="599">
        <f t="shared" si="13"/>
        <v>8.9083726836238712E-5</v>
      </c>
    </row>
    <row r="115" spans="1:5" s="421" customFormat="1" x14ac:dyDescent="0.2">
      <c r="A115" s="588">
        <v>7</v>
      </c>
      <c r="B115" s="587" t="s">
        <v>759</v>
      </c>
      <c r="C115" s="599">
        <f t="shared" si="12"/>
        <v>3.4862217527544947E-4</v>
      </c>
      <c r="D115" s="599">
        <f t="shared" si="12"/>
        <v>3.7108215040574164E-4</v>
      </c>
      <c r="E115" s="599">
        <f t="shared" si="13"/>
        <v>2.245997513029217E-5</v>
      </c>
    </row>
    <row r="116" spans="1:5" s="421" customFormat="1" x14ac:dyDescent="0.2">
      <c r="A116" s="588"/>
      <c r="B116" s="592" t="s">
        <v>797</v>
      </c>
      <c r="C116" s="600">
        <f>SUM(C110+C111+C114)</f>
        <v>0.18582966379643973</v>
      </c>
      <c r="D116" s="600">
        <f>SUM(D110+D111+D114)</f>
        <v>0.17548268878936199</v>
      </c>
      <c r="E116" s="601">
        <f t="shared" si="13"/>
        <v>-1.0346975007077736E-2</v>
      </c>
    </row>
    <row r="117" spans="1:5" s="421" customFormat="1" x14ac:dyDescent="0.2">
      <c r="A117" s="588"/>
      <c r="B117" s="592" t="s">
        <v>798</v>
      </c>
      <c r="C117" s="600">
        <f>SUM(C109+C116)</f>
        <v>0.35062306524027143</v>
      </c>
      <c r="D117" s="600">
        <f>SUM(D109+D116)</f>
        <v>0.34089830064528426</v>
      </c>
      <c r="E117" s="601">
        <f t="shared" si="13"/>
        <v>-9.7247645949871675E-3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804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657</v>
      </c>
      <c r="C121" s="599">
        <f t="shared" ref="C121:D127" si="14">IF(C$77=0,0,C58/C$77)</f>
        <v>0.49393170287422022</v>
      </c>
      <c r="D121" s="599">
        <f t="shared" si="14"/>
        <v>0.49240715870654189</v>
      </c>
      <c r="E121" s="599">
        <f t="shared" ref="E121:E129" si="15">D121-C121</f>
        <v>-1.5245441676783322E-3</v>
      </c>
    </row>
    <row r="122" spans="1:5" s="421" customFormat="1" x14ac:dyDescent="0.2">
      <c r="A122" s="588">
        <v>2</v>
      </c>
      <c r="B122" s="587" t="s">
        <v>636</v>
      </c>
      <c r="C122" s="599">
        <f t="shared" si="14"/>
        <v>0.10685880932523571</v>
      </c>
      <c r="D122" s="599">
        <f t="shared" si="14"/>
        <v>0.11800170428760585</v>
      </c>
      <c r="E122" s="599">
        <f t="shared" si="15"/>
        <v>1.1142894962370142E-2</v>
      </c>
    </row>
    <row r="123" spans="1:5" s="421" customFormat="1" x14ac:dyDescent="0.2">
      <c r="A123" s="588">
        <v>3</v>
      </c>
      <c r="B123" s="587" t="s">
        <v>778</v>
      </c>
      <c r="C123" s="599">
        <f t="shared" si="14"/>
        <v>4.8498010995266141E-2</v>
      </c>
      <c r="D123" s="599">
        <f t="shared" si="14"/>
        <v>4.8418757038596619E-2</v>
      </c>
      <c r="E123" s="599">
        <f t="shared" si="15"/>
        <v>-7.9253956669522729E-5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4.7921776109828472E-2</v>
      </c>
      <c r="D124" s="599">
        <f t="shared" si="14"/>
        <v>4.7445333006995855E-2</v>
      </c>
      <c r="E124" s="599">
        <f t="shared" si="15"/>
        <v>-4.7644310283261743E-4</v>
      </c>
    </row>
    <row r="125" spans="1:5" s="421" customFormat="1" x14ac:dyDescent="0.2">
      <c r="A125" s="588">
        <v>5</v>
      </c>
      <c r="B125" s="587" t="s">
        <v>744</v>
      </c>
      <c r="C125" s="599">
        <f t="shared" si="14"/>
        <v>5.7623488543766634E-4</v>
      </c>
      <c r="D125" s="599">
        <f t="shared" si="14"/>
        <v>9.734240316007592E-4</v>
      </c>
      <c r="E125" s="599">
        <f t="shared" si="15"/>
        <v>3.9718914616309285E-4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8.8411565006495398E-5</v>
      </c>
      <c r="D126" s="599">
        <f t="shared" si="14"/>
        <v>2.7407932197135495E-4</v>
      </c>
      <c r="E126" s="599">
        <f t="shared" si="15"/>
        <v>1.8566775696485954E-4</v>
      </c>
    </row>
    <row r="127" spans="1:5" s="421" customFormat="1" x14ac:dyDescent="0.2">
      <c r="A127" s="588">
        <v>7</v>
      </c>
      <c r="B127" s="587" t="s">
        <v>759</v>
      </c>
      <c r="C127" s="599">
        <f t="shared" si="14"/>
        <v>3.4199861439440562E-3</v>
      </c>
      <c r="D127" s="599">
        <f t="shared" si="14"/>
        <v>3.8298804831193877E-3</v>
      </c>
      <c r="E127" s="599">
        <f t="shared" si="15"/>
        <v>4.0989433917533154E-4</v>
      </c>
    </row>
    <row r="128" spans="1:5" s="421" customFormat="1" x14ac:dyDescent="0.2">
      <c r="A128" s="588"/>
      <c r="B128" s="592" t="s">
        <v>800</v>
      </c>
      <c r="C128" s="600">
        <f>SUM(C122+C123+C126)</f>
        <v>0.15544523188550835</v>
      </c>
      <c r="D128" s="600">
        <f>SUM(D122+D123+D126)</f>
        <v>0.16669454064817382</v>
      </c>
      <c r="E128" s="601">
        <f t="shared" si="15"/>
        <v>1.1249308762665472E-2</v>
      </c>
    </row>
    <row r="129" spans="1:5" s="421" customFormat="1" x14ac:dyDescent="0.2">
      <c r="A129" s="588"/>
      <c r="B129" s="592" t="s">
        <v>801</v>
      </c>
      <c r="C129" s="600">
        <f>SUM(C121+C128)</f>
        <v>0.64937693475972857</v>
      </c>
      <c r="D129" s="600">
        <f>SUM(D121+D128)</f>
        <v>0.65910169935471574</v>
      </c>
      <c r="E129" s="601">
        <f t="shared" si="15"/>
        <v>9.7247645949871675E-3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805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806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807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657</v>
      </c>
      <c r="C137" s="606">
        <v>5862</v>
      </c>
      <c r="D137" s="606">
        <v>5675</v>
      </c>
      <c r="E137" s="607">
        <f t="shared" ref="E137:E145" si="16">D137-C137</f>
        <v>-187</v>
      </c>
    </row>
    <row r="138" spans="1:5" s="421" customFormat="1" x14ac:dyDescent="0.2">
      <c r="A138" s="588">
        <v>2</v>
      </c>
      <c r="B138" s="587" t="s">
        <v>636</v>
      </c>
      <c r="C138" s="606">
        <v>5492</v>
      </c>
      <c r="D138" s="606">
        <v>5429</v>
      </c>
      <c r="E138" s="607">
        <f t="shared" si="16"/>
        <v>-63</v>
      </c>
    </row>
    <row r="139" spans="1:5" s="421" customFormat="1" x14ac:dyDescent="0.2">
      <c r="A139" s="588">
        <v>3</v>
      </c>
      <c r="B139" s="587" t="s">
        <v>778</v>
      </c>
      <c r="C139" s="606">
        <f>C140+C141</f>
        <v>3474</v>
      </c>
      <c r="D139" s="606">
        <f>D140+D141</f>
        <v>3772</v>
      </c>
      <c r="E139" s="607">
        <f t="shared" si="16"/>
        <v>298</v>
      </c>
    </row>
    <row r="140" spans="1:5" s="421" customFormat="1" x14ac:dyDescent="0.2">
      <c r="A140" s="588">
        <v>4</v>
      </c>
      <c r="B140" s="587" t="s">
        <v>115</v>
      </c>
      <c r="C140" s="606">
        <v>3394</v>
      </c>
      <c r="D140" s="606">
        <v>3709</v>
      </c>
      <c r="E140" s="607">
        <f t="shared" si="16"/>
        <v>315</v>
      </c>
    </row>
    <row r="141" spans="1:5" s="421" customFormat="1" x14ac:dyDescent="0.2">
      <c r="A141" s="588">
        <v>5</v>
      </c>
      <c r="B141" s="587" t="s">
        <v>744</v>
      </c>
      <c r="C141" s="606">
        <v>80</v>
      </c>
      <c r="D141" s="606">
        <v>63</v>
      </c>
      <c r="E141" s="607">
        <f t="shared" si="16"/>
        <v>-17</v>
      </c>
    </row>
    <row r="142" spans="1:5" s="421" customFormat="1" x14ac:dyDescent="0.2">
      <c r="A142" s="588">
        <v>6</v>
      </c>
      <c r="B142" s="587" t="s">
        <v>424</v>
      </c>
      <c r="C142" s="606">
        <v>19</v>
      </c>
      <c r="D142" s="606">
        <v>29</v>
      </c>
      <c r="E142" s="607">
        <f t="shared" si="16"/>
        <v>10</v>
      </c>
    </row>
    <row r="143" spans="1:5" s="421" customFormat="1" x14ac:dyDescent="0.2">
      <c r="A143" s="588">
        <v>7</v>
      </c>
      <c r="B143" s="587" t="s">
        <v>759</v>
      </c>
      <c r="C143" s="606">
        <v>193</v>
      </c>
      <c r="D143" s="606">
        <v>139</v>
      </c>
      <c r="E143" s="607">
        <f t="shared" si="16"/>
        <v>-54</v>
      </c>
    </row>
    <row r="144" spans="1:5" s="421" customFormat="1" x14ac:dyDescent="0.2">
      <c r="A144" s="588"/>
      <c r="B144" s="592" t="s">
        <v>808</v>
      </c>
      <c r="C144" s="608">
        <f>SUM(C138+C139+C142)</f>
        <v>8985</v>
      </c>
      <c r="D144" s="608">
        <f>SUM(D138+D139+D142)</f>
        <v>9230</v>
      </c>
      <c r="E144" s="609">
        <f t="shared" si="16"/>
        <v>245</v>
      </c>
    </row>
    <row r="145" spans="1:5" s="421" customFormat="1" x14ac:dyDescent="0.2">
      <c r="A145" s="588"/>
      <c r="B145" s="592" t="s">
        <v>138</v>
      </c>
      <c r="C145" s="608">
        <f>SUM(C137+C144)</f>
        <v>14847</v>
      </c>
      <c r="D145" s="608">
        <f>SUM(D137+D144)</f>
        <v>14905</v>
      </c>
      <c r="E145" s="609">
        <f t="shared" si="16"/>
        <v>58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657</v>
      </c>
      <c r="C149" s="610">
        <v>23582</v>
      </c>
      <c r="D149" s="610">
        <v>22337</v>
      </c>
      <c r="E149" s="607">
        <f t="shared" ref="E149:E157" si="17">D149-C149</f>
        <v>-1245</v>
      </c>
    </row>
    <row r="150" spans="1:5" s="421" customFormat="1" x14ac:dyDescent="0.2">
      <c r="A150" s="588">
        <v>2</v>
      </c>
      <c r="B150" s="587" t="s">
        <v>636</v>
      </c>
      <c r="C150" s="610">
        <v>34268</v>
      </c>
      <c r="D150" s="610">
        <v>32364</v>
      </c>
      <c r="E150" s="607">
        <f t="shared" si="17"/>
        <v>-1904</v>
      </c>
    </row>
    <row r="151" spans="1:5" s="421" customFormat="1" x14ac:dyDescent="0.2">
      <c r="A151" s="588">
        <v>3</v>
      </c>
      <c r="B151" s="587" t="s">
        <v>778</v>
      </c>
      <c r="C151" s="610">
        <f>C152+C153</f>
        <v>15248</v>
      </c>
      <c r="D151" s="610">
        <f>D152+D153</f>
        <v>16633</v>
      </c>
      <c r="E151" s="607">
        <f t="shared" si="17"/>
        <v>1385</v>
      </c>
    </row>
    <row r="152" spans="1:5" s="421" customFormat="1" x14ac:dyDescent="0.2">
      <c r="A152" s="588">
        <v>4</v>
      </c>
      <c r="B152" s="587" t="s">
        <v>115</v>
      </c>
      <c r="C152" s="610">
        <v>14820</v>
      </c>
      <c r="D152" s="610">
        <v>16313</v>
      </c>
      <c r="E152" s="607">
        <f t="shared" si="17"/>
        <v>1493</v>
      </c>
    </row>
    <row r="153" spans="1:5" s="421" customFormat="1" x14ac:dyDescent="0.2">
      <c r="A153" s="588">
        <v>5</v>
      </c>
      <c r="B153" s="587" t="s">
        <v>744</v>
      </c>
      <c r="C153" s="611">
        <v>428</v>
      </c>
      <c r="D153" s="610">
        <v>320</v>
      </c>
      <c r="E153" s="607">
        <f t="shared" si="17"/>
        <v>-108</v>
      </c>
    </row>
    <row r="154" spans="1:5" s="421" customFormat="1" x14ac:dyDescent="0.2">
      <c r="A154" s="588">
        <v>6</v>
      </c>
      <c r="B154" s="587" t="s">
        <v>424</v>
      </c>
      <c r="C154" s="610">
        <v>104</v>
      </c>
      <c r="D154" s="610">
        <v>115</v>
      </c>
      <c r="E154" s="607">
        <f t="shared" si="17"/>
        <v>11</v>
      </c>
    </row>
    <row r="155" spans="1:5" s="421" customFormat="1" x14ac:dyDescent="0.2">
      <c r="A155" s="588">
        <v>7</v>
      </c>
      <c r="B155" s="587" t="s">
        <v>759</v>
      </c>
      <c r="C155" s="610">
        <v>716</v>
      </c>
      <c r="D155" s="610">
        <v>540</v>
      </c>
      <c r="E155" s="607">
        <f t="shared" si="17"/>
        <v>-176</v>
      </c>
    </row>
    <row r="156" spans="1:5" s="421" customFormat="1" x14ac:dyDescent="0.2">
      <c r="A156" s="588"/>
      <c r="B156" s="592" t="s">
        <v>809</v>
      </c>
      <c r="C156" s="608">
        <f>SUM(C150+C151+C154)</f>
        <v>49620</v>
      </c>
      <c r="D156" s="608">
        <f>SUM(D150+D151+D154)</f>
        <v>49112</v>
      </c>
      <c r="E156" s="609">
        <f t="shared" si="17"/>
        <v>-508</v>
      </c>
    </row>
    <row r="157" spans="1:5" s="421" customFormat="1" x14ac:dyDescent="0.2">
      <c r="A157" s="588"/>
      <c r="B157" s="592" t="s">
        <v>140</v>
      </c>
      <c r="C157" s="608">
        <f>SUM(C149+C156)</f>
        <v>73202</v>
      </c>
      <c r="D157" s="608">
        <f>SUM(D149+D156)</f>
        <v>71449</v>
      </c>
      <c r="E157" s="609">
        <f t="shared" si="17"/>
        <v>-1753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810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657</v>
      </c>
      <c r="C161" s="612">
        <f t="shared" ref="C161:D169" si="18">IF(C137=0,0,C149/C137)</f>
        <v>4.0228590924599112</v>
      </c>
      <c r="D161" s="612">
        <f t="shared" si="18"/>
        <v>3.9360352422907487</v>
      </c>
      <c r="E161" s="613">
        <f t="shared" ref="E161:E169" si="19">D161-C161</f>
        <v>-8.6823850169162498E-2</v>
      </c>
    </row>
    <row r="162" spans="1:5" s="421" customFormat="1" x14ac:dyDescent="0.2">
      <c r="A162" s="588">
        <v>2</v>
      </c>
      <c r="B162" s="587" t="s">
        <v>636</v>
      </c>
      <c r="C162" s="612">
        <f t="shared" si="18"/>
        <v>6.2396212672978875</v>
      </c>
      <c r="D162" s="612">
        <f t="shared" si="18"/>
        <v>5.9613188432492175</v>
      </c>
      <c r="E162" s="613">
        <f t="shared" si="19"/>
        <v>-0.27830242404867001</v>
      </c>
    </row>
    <row r="163" spans="1:5" s="421" customFormat="1" x14ac:dyDescent="0.2">
      <c r="A163" s="588">
        <v>3</v>
      </c>
      <c r="B163" s="587" t="s">
        <v>778</v>
      </c>
      <c r="C163" s="612">
        <f t="shared" si="18"/>
        <v>4.389176741508348</v>
      </c>
      <c r="D163" s="612">
        <f t="shared" si="18"/>
        <v>4.4095970307529164</v>
      </c>
      <c r="E163" s="613">
        <f t="shared" si="19"/>
        <v>2.0420289244568401E-2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4.3665291691219803</v>
      </c>
      <c r="D164" s="612">
        <f t="shared" si="18"/>
        <v>4.3982205446211919</v>
      </c>
      <c r="E164" s="613">
        <f t="shared" si="19"/>
        <v>3.1691375499211638E-2</v>
      </c>
    </row>
    <row r="165" spans="1:5" s="421" customFormat="1" x14ac:dyDescent="0.2">
      <c r="A165" s="588">
        <v>5</v>
      </c>
      <c r="B165" s="587" t="s">
        <v>744</v>
      </c>
      <c r="C165" s="612">
        <f t="shared" si="18"/>
        <v>5.35</v>
      </c>
      <c r="D165" s="612">
        <f t="shared" si="18"/>
        <v>5.0793650793650791</v>
      </c>
      <c r="E165" s="613">
        <f t="shared" si="19"/>
        <v>-0.27063492063492056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5.4736842105263159</v>
      </c>
      <c r="D166" s="612">
        <f t="shared" si="18"/>
        <v>3.9655172413793105</v>
      </c>
      <c r="E166" s="613">
        <f t="shared" si="19"/>
        <v>-1.5081669691470054</v>
      </c>
    </row>
    <row r="167" spans="1:5" s="421" customFormat="1" x14ac:dyDescent="0.2">
      <c r="A167" s="588">
        <v>7</v>
      </c>
      <c r="B167" s="587" t="s">
        <v>759</v>
      </c>
      <c r="C167" s="612">
        <f t="shared" si="18"/>
        <v>3.7098445595854921</v>
      </c>
      <c r="D167" s="612">
        <f t="shared" si="18"/>
        <v>3.8848920863309351</v>
      </c>
      <c r="E167" s="613">
        <f t="shared" si="19"/>
        <v>0.17504752674544299</v>
      </c>
    </row>
    <row r="168" spans="1:5" s="421" customFormat="1" x14ac:dyDescent="0.2">
      <c r="A168" s="588"/>
      <c r="B168" s="592" t="s">
        <v>811</v>
      </c>
      <c r="C168" s="614">
        <f t="shared" si="18"/>
        <v>5.5225375626043407</v>
      </c>
      <c r="D168" s="614">
        <f t="shared" si="18"/>
        <v>5.3209100758396533</v>
      </c>
      <c r="E168" s="615">
        <f t="shared" si="19"/>
        <v>-0.20162748676468745</v>
      </c>
    </row>
    <row r="169" spans="1:5" s="421" customFormat="1" x14ac:dyDescent="0.2">
      <c r="A169" s="588"/>
      <c r="B169" s="592" t="s">
        <v>745</v>
      </c>
      <c r="C169" s="614">
        <f t="shared" si="18"/>
        <v>4.930423654610359</v>
      </c>
      <c r="D169" s="614">
        <f t="shared" si="18"/>
        <v>4.7936262998993628</v>
      </c>
      <c r="E169" s="615">
        <f t="shared" si="19"/>
        <v>-0.13679735471099619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812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657</v>
      </c>
      <c r="C173" s="617">
        <f t="shared" ref="C173:D181" si="20">IF(C137=0,0,C203/C137)</f>
        <v>1.1091599999999999</v>
      </c>
      <c r="D173" s="617">
        <f t="shared" si="20"/>
        <v>1.1492800000000001</v>
      </c>
      <c r="E173" s="618">
        <f t="shared" ref="E173:E181" si="21">D173-C173</f>
        <v>4.0120000000000156E-2</v>
      </c>
    </row>
    <row r="174" spans="1:5" s="421" customFormat="1" x14ac:dyDescent="0.2">
      <c r="A174" s="588">
        <v>2</v>
      </c>
      <c r="B174" s="587" t="s">
        <v>636</v>
      </c>
      <c r="C174" s="617">
        <f t="shared" si="20"/>
        <v>1.6163400000000001</v>
      </c>
      <c r="D174" s="617">
        <f t="shared" si="20"/>
        <v>1.6795399999999998</v>
      </c>
      <c r="E174" s="618">
        <f t="shared" si="21"/>
        <v>6.3199999999999701E-2</v>
      </c>
    </row>
    <row r="175" spans="1:5" s="421" customFormat="1" x14ac:dyDescent="0.2">
      <c r="A175" s="588">
        <v>3</v>
      </c>
      <c r="B175" s="587" t="s">
        <v>778</v>
      </c>
      <c r="C175" s="617">
        <f t="shared" si="20"/>
        <v>1.0222545192861254</v>
      </c>
      <c r="D175" s="617">
        <f t="shared" si="20"/>
        <v>1.0859722667020146</v>
      </c>
      <c r="E175" s="618">
        <f t="shared" si="21"/>
        <v>6.3717747415889203E-2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1.0188999999999999</v>
      </c>
      <c r="D176" s="617">
        <f t="shared" si="20"/>
        <v>1.0799399999999999</v>
      </c>
      <c r="E176" s="618">
        <f t="shared" si="21"/>
        <v>6.1039999999999983E-2</v>
      </c>
    </row>
    <row r="177" spans="1:5" s="421" customFormat="1" x14ac:dyDescent="0.2">
      <c r="A177" s="588">
        <v>5</v>
      </c>
      <c r="B177" s="587" t="s">
        <v>744</v>
      </c>
      <c r="C177" s="617">
        <f t="shared" si="20"/>
        <v>1.1645700000000001</v>
      </c>
      <c r="D177" s="617">
        <f t="shared" si="20"/>
        <v>1.4411099999999999</v>
      </c>
      <c r="E177" s="618">
        <f t="shared" si="21"/>
        <v>0.27653999999999979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1.0184200000000001</v>
      </c>
      <c r="D178" s="617">
        <f t="shared" si="20"/>
        <v>0.98536999999999997</v>
      </c>
      <c r="E178" s="618">
        <f t="shared" si="21"/>
        <v>-3.3050000000000135E-2</v>
      </c>
    </row>
    <row r="179" spans="1:5" s="421" customFormat="1" x14ac:dyDescent="0.2">
      <c r="A179" s="588">
        <v>7</v>
      </c>
      <c r="B179" s="587" t="s">
        <v>759</v>
      </c>
      <c r="C179" s="617">
        <f t="shared" si="20"/>
        <v>1.2165999999999999</v>
      </c>
      <c r="D179" s="617">
        <f t="shared" si="20"/>
        <v>1.3370899999999999</v>
      </c>
      <c r="E179" s="618">
        <f t="shared" si="21"/>
        <v>0.12048999999999999</v>
      </c>
    </row>
    <row r="180" spans="1:5" s="421" customFormat="1" x14ac:dyDescent="0.2">
      <c r="A180" s="588"/>
      <c r="B180" s="592" t="s">
        <v>813</v>
      </c>
      <c r="C180" s="619">
        <f t="shared" si="20"/>
        <v>1.3853757885364497</v>
      </c>
      <c r="D180" s="619">
        <f t="shared" si="20"/>
        <v>1.4347871917659805</v>
      </c>
      <c r="E180" s="620">
        <f t="shared" si="21"/>
        <v>4.9411403229530748E-2</v>
      </c>
    </row>
    <row r="181" spans="1:5" s="421" customFormat="1" x14ac:dyDescent="0.2">
      <c r="A181" s="588"/>
      <c r="B181" s="592" t="s">
        <v>724</v>
      </c>
      <c r="C181" s="619">
        <f t="shared" si="20"/>
        <v>1.2763182717047215</v>
      </c>
      <c r="D181" s="619">
        <f t="shared" si="20"/>
        <v>1.3260818369674605</v>
      </c>
      <c r="E181" s="620">
        <f t="shared" si="21"/>
        <v>4.9763565262739062E-2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814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x14ac:dyDescent="0.2">
      <c r="A185" s="588">
        <v>1</v>
      </c>
      <c r="B185" s="587" t="s">
        <v>815</v>
      </c>
      <c r="C185" s="589">
        <v>757932744</v>
      </c>
      <c r="D185" s="589">
        <v>803551838</v>
      </c>
      <c r="E185" s="590">
        <f>D185-C185</f>
        <v>45619094</v>
      </c>
    </row>
    <row r="186" spans="1:5" s="421" customFormat="1" ht="25.5" x14ac:dyDescent="0.2">
      <c r="A186" s="588">
        <v>2</v>
      </c>
      <c r="B186" s="587" t="s">
        <v>816</v>
      </c>
      <c r="C186" s="589">
        <v>317763478</v>
      </c>
      <c r="D186" s="589">
        <v>332652026</v>
      </c>
      <c r="E186" s="590">
        <f>D186-C186</f>
        <v>14888548</v>
      </c>
    </row>
    <row r="187" spans="1:5" s="421" customFormat="1" x14ac:dyDescent="0.2">
      <c r="A187" s="588"/>
      <c r="B187" s="587" t="s">
        <v>669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748</v>
      </c>
      <c r="C188" s="622">
        <f>+C185-C186</f>
        <v>440169266</v>
      </c>
      <c r="D188" s="622">
        <f>+D185-D186</f>
        <v>470899812</v>
      </c>
      <c r="E188" s="590">
        <f t="shared" ref="E188:E197" si="22">D188-C188</f>
        <v>30730546</v>
      </c>
    </row>
    <row r="189" spans="1:5" s="421" customFormat="1" x14ac:dyDescent="0.2">
      <c r="A189" s="588">
        <v>4</v>
      </c>
      <c r="B189" s="587" t="s">
        <v>671</v>
      </c>
      <c r="C189" s="623">
        <f>IF(C185=0,0,+C188/C185)</f>
        <v>0.58074976900588948</v>
      </c>
      <c r="D189" s="623">
        <f>IF(D185=0,0,+D188/D185)</f>
        <v>0.58602294180801806</v>
      </c>
      <c r="E189" s="599">
        <f t="shared" si="22"/>
        <v>5.2731728021285784E-3</v>
      </c>
    </row>
    <row r="190" spans="1:5" s="421" customFormat="1" x14ac:dyDescent="0.2">
      <c r="A190" s="588">
        <v>5</v>
      </c>
      <c r="B190" s="587" t="s">
        <v>763</v>
      </c>
      <c r="C190" s="589">
        <v>33662529</v>
      </c>
      <c r="D190" s="589">
        <v>35387056</v>
      </c>
      <c r="E190" s="622">
        <f t="shared" si="22"/>
        <v>1724527</v>
      </c>
    </row>
    <row r="191" spans="1:5" s="421" customFormat="1" x14ac:dyDescent="0.2">
      <c r="A191" s="588">
        <v>6</v>
      </c>
      <c r="B191" s="587" t="s">
        <v>749</v>
      </c>
      <c r="C191" s="589">
        <v>25369317</v>
      </c>
      <c r="D191" s="589">
        <v>26996467</v>
      </c>
      <c r="E191" s="622">
        <f t="shared" si="22"/>
        <v>1627150</v>
      </c>
    </row>
    <row r="192" spans="1:5" ht="29.25" x14ac:dyDescent="0.2">
      <c r="A192" s="588">
        <v>7</v>
      </c>
      <c r="B192" s="624" t="s">
        <v>817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818</v>
      </c>
      <c r="C193" s="589">
        <v>32247209</v>
      </c>
      <c r="D193" s="589">
        <v>25881492</v>
      </c>
      <c r="E193" s="622">
        <f t="shared" si="22"/>
        <v>-6365717</v>
      </c>
    </row>
    <row r="194" spans="1:5" s="421" customFormat="1" x14ac:dyDescent="0.2">
      <c r="A194" s="588">
        <v>9</v>
      </c>
      <c r="B194" s="587" t="s">
        <v>819</v>
      </c>
      <c r="C194" s="589">
        <v>27957652</v>
      </c>
      <c r="D194" s="589">
        <v>33979285</v>
      </c>
      <c r="E194" s="622">
        <f t="shared" si="22"/>
        <v>6021633</v>
      </c>
    </row>
    <row r="195" spans="1:5" s="421" customFormat="1" x14ac:dyDescent="0.2">
      <c r="A195" s="588">
        <v>10</v>
      </c>
      <c r="B195" s="587" t="s">
        <v>820</v>
      </c>
      <c r="C195" s="589">
        <f>+C193+C194</f>
        <v>60204861</v>
      </c>
      <c r="D195" s="589">
        <f>+D193+D194</f>
        <v>59860777</v>
      </c>
      <c r="E195" s="625">
        <f t="shared" si="22"/>
        <v>-344084</v>
      </c>
    </row>
    <row r="196" spans="1:5" s="421" customFormat="1" x14ac:dyDescent="0.2">
      <c r="A196" s="588">
        <v>11</v>
      </c>
      <c r="B196" s="587" t="s">
        <v>821</v>
      </c>
      <c r="C196" s="589">
        <v>15601812</v>
      </c>
      <c r="D196" s="589">
        <v>15837000</v>
      </c>
      <c r="E196" s="622">
        <f t="shared" si="22"/>
        <v>235188</v>
      </c>
    </row>
    <row r="197" spans="1:5" s="421" customFormat="1" x14ac:dyDescent="0.2">
      <c r="A197" s="588">
        <v>12</v>
      </c>
      <c r="B197" s="587" t="s">
        <v>711</v>
      </c>
      <c r="C197" s="589">
        <v>447673528</v>
      </c>
      <c r="D197" s="589">
        <v>473410966</v>
      </c>
      <c r="E197" s="622">
        <f t="shared" si="22"/>
        <v>25737438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822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823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657</v>
      </c>
      <c r="C203" s="629">
        <v>6501.8959199999999</v>
      </c>
      <c r="D203" s="629">
        <v>6522.1640000000007</v>
      </c>
      <c r="E203" s="630">
        <f t="shared" ref="E203:E211" si="23">D203-C203</f>
        <v>20.268080000000737</v>
      </c>
    </row>
    <row r="204" spans="1:5" s="421" customFormat="1" x14ac:dyDescent="0.2">
      <c r="A204" s="588">
        <v>2</v>
      </c>
      <c r="B204" s="587" t="s">
        <v>636</v>
      </c>
      <c r="C204" s="629">
        <v>8876.9392800000005</v>
      </c>
      <c r="D204" s="629">
        <v>9118.2226599999995</v>
      </c>
      <c r="E204" s="630">
        <f t="shared" si="23"/>
        <v>241.28337999999894</v>
      </c>
    </row>
    <row r="205" spans="1:5" s="421" customFormat="1" x14ac:dyDescent="0.2">
      <c r="A205" s="588">
        <v>3</v>
      </c>
      <c r="B205" s="587" t="s">
        <v>778</v>
      </c>
      <c r="C205" s="629">
        <f>C206+C207</f>
        <v>3551.3121999999994</v>
      </c>
      <c r="D205" s="629">
        <f>D206+D207</f>
        <v>4096.2873899999995</v>
      </c>
      <c r="E205" s="630">
        <f t="shared" si="23"/>
        <v>544.97519000000011</v>
      </c>
    </row>
    <row r="206" spans="1:5" s="421" customFormat="1" x14ac:dyDescent="0.2">
      <c r="A206" s="588">
        <v>4</v>
      </c>
      <c r="B206" s="587" t="s">
        <v>115</v>
      </c>
      <c r="C206" s="629">
        <v>3458.1465999999996</v>
      </c>
      <c r="D206" s="629">
        <v>4005.4974599999996</v>
      </c>
      <c r="E206" s="630">
        <f t="shared" si="23"/>
        <v>547.35086000000001</v>
      </c>
    </row>
    <row r="207" spans="1:5" s="421" customFormat="1" x14ac:dyDescent="0.2">
      <c r="A207" s="588">
        <v>5</v>
      </c>
      <c r="B207" s="587" t="s">
        <v>744</v>
      </c>
      <c r="C207" s="629">
        <v>93.165600000000012</v>
      </c>
      <c r="D207" s="629">
        <v>90.789929999999998</v>
      </c>
      <c r="E207" s="630">
        <f t="shared" si="23"/>
        <v>-2.3756700000000137</v>
      </c>
    </row>
    <row r="208" spans="1:5" s="421" customFormat="1" x14ac:dyDescent="0.2">
      <c r="A208" s="588">
        <v>6</v>
      </c>
      <c r="B208" s="587" t="s">
        <v>424</v>
      </c>
      <c r="C208" s="629">
        <v>19.349980000000002</v>
      </c>
      <c r="D208" s="629">
        <v>28.57573</v>
      </c>
      <c r="E208" s="630">
        <f t="shared" si="23"/>
        <v>9.2257499999999979</v>
      </c>
    </row>
    <row r="209" spans="1:5" s="421" customFormat="1" x14ac:dyDescent="0.2">
      <c r="A209" s="588">
        <v>7</v>
      </c>
      <c r="B209" s="587" t="s">
        <v>759</v>
      </c>
      <c r="C209" s="629">
        <v>234.8038</v>
      </c>
      <c r="D209" s="629">
        <v>185.85550999999998</v>
      </c>
      <c r="E209" s="630">
        <f t="shared" si="23"/>
        <v>-48.948290000000014</v>
      </c>
    </row>
    <row r="210" spans="1:5" s="421" customFormat="1" x14ac:dyDescent="0.2">
      <c r="A210" s="588"/>
      <c r="B210" s="592" t="s">
        <v>824</v>
      </c>
      <c r="C210" s="631">
        <f>C204+C205+C208</f>
        <v>12447.60146</v>
      </c>
      <c r="D210" s="631">
        <f>D204+D205+D208</f>
        <v>13243.085779999999</v>
      </c>
      <c r="E210" s="632">
        <f t="shared" si="23"/>
        <v>795.48431999999957</v>
      </c>
    </row>
    <row r="211" spans="1:5" s="421" customFormat="1" x14ac:dyDescent="0.2">
      <c r="A211" s="588"/>
      <c r="B211" s="592" t="s">
        <v>725</v>
      </c>
      <c r="C211" s="631">
        <f>C210+C203</f>
        <v>18949.497380000001</v>
      </c>
      <c r="D211" s="631">
        <f>D210+D203</f>
        <v>19765.249779999998</v>
      </c>
      <c r="E211" s="632">
        <f t="shared" si="23"/>
        <v>815.75239999999758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825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657</v>
      </c>
      <c r="C215" s="633">
        <f>IF(C14*C137=0,0,C25/C14*C137)</f>
        <v>17344.497540321954</v>
      </c>
      <c r="D215" s="633">
        <f>IF(D14*D137=0,0,D25/D14*D137)</f>
        <v>18033.383499830205</v>
      </c>
      <c r="E215" s="633">
        <f t="shared" ref="E215:E223" si="24">D215-C215</f>
        <v>688.88595950825038</v>
      </c>
    </row>
    <row r="216" spans="1:5" s="421" customFormat="1" x14ac:dyDescent="0.2">
      <c r="A216" s="588">
        <v>2</v>
      </c>
      <c r="B216" s="587" t="s">
        <v>636</v>
      </c>
      <c r="C216" s="633">
        <f>IF(C15*C138=0,0,C26/C15*C138)</f>
        <v>6655.8813928787349</v>
      </c>
      <c r="D216" s="633">
        <f>IF(D15*D138=0,0,D26/D15*D138)</f>
        <v>7432.2537512817535</v>
      </c>
      <c r="E216" s="633">
        <f t="shared" si="24"/>
        <v>776.37235840301855</v>
      </c>
    </row>
    <row r="217" spans="1:5" s="421" customFormat="1" x14ac:dyDescent="0.2">
      <c r="A217" s="588">
        <v>3</v>
      </c>
      <c r="B217" s="587" t="s">
        <v>778</v>
      </c>
      <c r="C217" s="633">
        <f>C218+C219</f>
        <v>5551.6969159761538</v>
      </c>
      <c r="D217" s="633">
        <f>D218+D219</f>
        <v>5832.2875940504637</v>
      </c>
      <c r="E217" s="633">
        <f t="shared" si="24"/>
        <v>280.59067807430984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5480.3983976717764</v>
      </c>
      <c r="D218" s="633">
        <f t="shared" si="25"/>
        <v>5756.4966607891256</v>
      </c>
      <c r="E218" s="633">
        <f t="shared" si="24"/>
        <v>276.09826311734923</v>
      </c>
    </row>
    <row r="219" spans="1:5" s="421" customFormat="1" x14ac:dyDescent="0.2">
      <c r="A219" s="588">
        <v>5</v>
      </c>
      <c r="B219" s="587" t="s">
        <v>744</v>
      </c>
      <c r="C219" s="633">
        <f t="shared" si="25"/>
        <v>71.298518304377879</v>
      </c>
      <c r="D219" s="633">
        <f t="shared" si="25"/>
        <v>75.790933261337827</v>
      </c>
      <c r="E219" s="633">
        <f t="shared" si="24"/>
        <v>4.4924149569599479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24.576475627103406</v>
      </c>
      <c r="D220" s="633">
        <f t="shared" si="25"/>
        <v>38.05700243400112</v>
      </c>
      <c r="E220" s="633">
        <f t="shared" si="24"/>
        <v>13.480526806897714</v>
      </c>
    </row>
    <row r="221" spans="1:5" s="421" customFormat="1" x14ac:dyDescent="0.2">
      <c r="A221" s="588">
        <v>7</v>
      </c>
      <c r="B221" s="587" t="s">
        <v>759</v>
      </c>
      <c r="C221" s="633">
        <f t="shared" si="25"/>
        <v>1262.4925872548406</v>
      </c>
      <c r="D221" s="633">
        <f t="shared" si="25"/>
        <v>863.34615260917167</v>
      </c>
      <c r="E221" s="633">
        <f t="shared" si="24"/>
        <v>-399.14643464566893</v>
      </c>
    </row>
    <row r="222" spans="1:5" s="421" customFormat="1" x14ac:dyDescent="0.2">
      <c r="A222" s="588"/>
      <c r="B222" s="592" t="s">
        <v>826</v>
      </c>
      <c r="C222" s="634">
        <f>C216+C218+C219+C220</f>
        <v>12232.154784481992</v>
      </c>
      <c r="D222" s="634">
        <f>D216+D218+D219+D220</f>
        <v>13302.598347766219</v>
      </c>
      <c r="E222" s="634">
        <f t="shared" si="24"/>
        <v>1070.4435632842269</v>
      </c>
    </row>
    <row r="223" spans="1:5" s="421" customFormat="1" x14ac:dyDescent="0.2">
      <c r="A223" s="588"/>
      <c r="B223" s="592" t="s">
        <v>827</v>
      </c>
      <c r="C223" s="634">
        <f>C215+C222</f>
        <v>29576.652324803945</v>
      </c>
      <c r="D223" s="634">
        <f>D215+D222</f>
        <v>31335.981847596424</v>
      </c>
      <c r="E223" s="634">
        <f t="shared" si="24"/>
        <v>1759.3295227924791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828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657</v>
      </c>
      <c r="C227" s="636">
        <f t="shared" ref="C227:D235" si="26">IF(C203=0,0,C47/C203)</f>
        <v>12748.177150150383</v>
      </c>
      <c r="D227" s="636">
        <f t="shared" si="26"/>
        <v>13301.889679560341</v>
      </c>
      <c r="E227" s="636">
        <f t="shared" ref="E227:E235" si="27">D227-C227</f>
        <v>553.71252940995873</v>
      </c>
    </row>
    <row r="228" spans="1:5" s="421" customFormat="1" x14ac:dyDescent="0.2">
      <c r="A228" s="588">
        <v>2</v>
      </c>
      <c r="B228" s="587" t="s">
        <v>636</v>
      </c>
      <c r="C228" s="636">
        <f t="shared" si="26"/>
        <v>8827.7161224425981</v>
      </c>
      <c r="D228" s="636">
        <f t="shared" si="26"/>
        <v>8435.8182365333905</v>
      </c>
      <c r="E228" s="636">
        <f t="shared" si="27"/>
        <v>-391.89788590920762</v>
      </c>
    </row>
    <row r="229" spans="1:5" s="421" customFormat="1" x14ac:dyDescent="0.2">
      <c r="A229" s="588">
        <v>3</v>
      </c>
      <c r="B229" s="587" t="s">
        <v>778</v>
      </c>
      <c r="C229" s="636">
        <f t="shared" si="26"/>
        <v>4215.2711890551336</v>
      </c>
      <c r="D229" s="636">
        <f t="shared" si="26"/>
        <v>3644.6837290876706</v>
      </c>
      <c r="E229" s="636">
        <f t="shared" si="27"/>
        <v>-570.58745996746302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4187.7813971218002</v>
      </c>
      <c r="D230" s="636">
        <f t="shared" si="26"/>
        <v>3603.7568726856716</v>
      </c>
      <c r="E230" s="636">
        <f t="shared" si="27"/>
        <v>-584.02452443612856</v>
      </c>
    </row>
    <row r="231" spans="1:5" s="421" customFormat="1" x14ac:dyDescent="0.2">
      <c r="A231" s="588">
        <v>5</v>
      </c>
      <c r="B231" s="587" t="s">
        <v>744</v>
      </c>
      <c r="C231" s="636">
        <f t="shared" si="26"/>
        <v>5235.6449161493074</v>
      </c>
      <c r="D231" s="636">
        <f t="shared" si="26"/>
        <v>5450.3070990362039</v>
      </c>
      <c r="E231" s="636">
        <f t="shared" si="27"/>
        <v>214.66218288689652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6988.9994718340786</v>
      </c>
      <c r="D232" s="636">
        <f t="shared" si="26"/>
        <v>6569.9458946455607</v>
      </c>
      <c r="E232" s="636">
        <f t="shared" si="27"/>
        <v>-419.05357718851792</v>
      </c>
    </row>
    <row r="233" spans="1:5" s="421" customFormat="1" x14ac:dyDescent="0.2">
      <c r="A233" s="588">
        <v>7</v>
      </c>
      <c r="B233" s="587" t="s">
        <v>759</v>
      </c>
      <c r="C233" s="636">
        <f t="shared" si="26"/>
        <v>746.78944718952596</v>
      </c>
      <c r="D233" s="636">
        <f t="shared" si="26"/>
        <v>1047.1844498987414</v>
      </c>
      <c r="E233" s="636">
        <f t="shared" si="27"/>
        <v>300.39500270921542</v>
      </c>
    </row>
    <row r="234" spans="1:5" x14ac:dyDescent="0.2">
      <c r="A234" s="588"/>
      <c r="B234" s="592" t="s">
        <v>829</v>
      </c>
      <c r="C234" s="637">
        <f t="shared" si="26"/>
        <v>7508.9230082082013</v>
      </c>
      <c r="D234" s="637">
        <f t="shared" si="26"/>
        <v>6949.8214788426749</v>
      </c>
      <c r="E234" s="637">
        <f t="shared" si="27"/>
        <v>-559.1015293655264</v>
      </c>
    </row>
    <row r="235" spans="1:5" s="421" customFormat="1" x14ac:dyDescent="0.2">
      <c r="A235" s="588"/>
      <c r="B235" s="592" t="s">
        <v>830</v>
      </c>
      <c r="C235" s="637">
        <f t="shared" si="26"/>
        <v>9306.6005110052156</v>
      </c>
      <c r="D235" s="637">
        <f t="shared" si="26"/>
        <v>9045.8855815178067</v>
      </c>
      <c r="E235" s="637">
        <f t="shared" si="27"/>
        <v>-260.71492948740888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831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657</v>
      </c>
      <c r="C239" s="636">
        <f t="shared" ref="C239:D247" si="28">IF(C215=0,0,C58/C215)</f>
        <v>14323.642205399306</v>
      </c>
      <c r="D239" s="636">
        <f t="shared" si="28"/>
        <v>14321.07768364332</v>
      </c>
      <c r="E239" s="638">
        <f t="shared" ref="E239:E247" si="29">D239-C239</f>
        <v>-2.5645217559867888</v>
      </c>
    </row>
    <row r="240" spans="1:5" s="421" customFormat="1" x14ac:dyDescent="0.2">
      <c r="A240" s="588">
        <v>2</v>
      </c>
      <c r="B240" s="587" t="s">
        <v>636</v>
      </c>
      <c r="C240" s="636">
        <f t="shared" si="28"/>
        <v>8075.1954290389858</v>
      </c>
      <c r="D240" s="636">
        <f t="shared" si="28"/>
        <v>8327.1485435123432</v>
      </c>
      <c r="E240" s="638">
        <f t="shared" si="29"/>
        <v>251.95311447335735</v>
      </c>
    </row>
    <row r="241" spans="1:5" x14ac:dyDescent="0.2">
      <c r="A241" s="588">
        <v>3</v>
      </c>
      <c r="B241" s="587" t="s">
        <v>778</v>
      </c>
      <c r="C241" s="636">
        <f t="shared" si="28"/>
        <v>4393.8625197285137</v>
      </c>
      <c r="D241" s="636">
        <f t="shared" si="28"/>
        <v>4354.1487950465898</v>
      </c>
      <c r="E241" s="638">
        <f t="shared" si="29"/>
        <v>-39.71372468192385</v>
      </c>
    </row>
    <row r="242" spans="1:5" x14ac:dyDescent="0.2">
      <c r="A242" s="588">
        <v>4</v>
      </c>
      <c r="B242" s="587" t="s">
        <v>115</v>
      </c>
      <c r="C242" s="636">
        <f t="shared" si="28"/>
        <v>4398.1401078870203</v>
      </c>
      <c r="D242" s="636">
        <f t="shared" si="28"/>
        <v>4322.7866645872036</v>
      </c>
      <c r="E242" s="638">
        <f t="shared" si="29"/>
        <v>-75.353443299816718</v>
      </c>
    </row>
    <row r="243" spans="1:5" x14ac:dyDescent="0.2">
      <c r="A243" s="588">
        <v>5</v>
      </c>
      <c r="B243" s="587" t="s">
        <v>744</v>
      </c>
      <c r="C243" s="636">
        <f t="shared" si="28"/>
        <v>4065.0634388036597</v>
      </c>
      <c r="D243" s="636">
        <f t="shared" si="28"/>
        <v>6736.1751337667611</v>
      </c>
      <c r="E243" s="638">
        <f t="shared" si="29"/>
        <v>2671.1116949631014</v>
      </c>
    </row>
    <row r="244" spans="1:5" x14ac:dyDescent="0.2">
      <c r="A244" s="588">
        <v>6</v>
      </c>
      <c r="B244" s="587" t="s">
        <v>424</v>
      </c>
      <c r="C244" s="636">
        <f t="shared" si="28"/>
        <v>1809.4132240409092</v>
      </c>
      <c r="D244" s="636">
        <f t="shared" si="28"/>
        <v>3777.2023755494438</v>
      </c>
      <c r="E244" s="638">
        <f t="shared" si="29"/>
        <v>1967.7891515085346</v>
      </c>
    </row>
    <row r="245" spans="1:5" x14ac:dyDescent="0.2">
      <c r="A245" s="588">
        <v>7</v>
      </c>
      <c r="B245" s="587" t="s">
        <v>759</v>
      </c>
      <c r="C245" s="636">
        <f t="shared" si="28"/>
        <v>1362.5228515126116</v>
      </c>
      <c r="D245" s="636">
        <f t="shared" si="28"/>
        <v>2326.6380395967503</v>
      </c>
      <c r="E245" s="638">
        <f t="shared" si="29"/>
        <v>964.11518808413871</v>
      </c>
    </row>
    <row r="246" spans="1:5" ht="25.5" x14ac:dyDescent="0.2">
      <c r="A246" s="588"/>
      <c r="B246" s="592" t="s">
        <v>832</v>
      </c>
      <c r="C246" s="637">
        <f t="shared" si="28"/>
        <v>6391.7933003257849</v>
      </c>
      <c r="D246" s="637">
        <f t="shared" si="28"/>
        <v>6572.2406791813683</v>
      </c>
      <c r="E246" s="639">
        <f t="shared" si="29"/>
        <v>180.44737885558334</v>
      </c>
    </row>
    <row r="247" spans="1:5" x14ac:dyDescent="0.2">
      <c r="A247" s="588"/>
      <c r="B247" s="592" t="s">
        <v>833</v>
      </c>
      <c r="C247" s="637">
        <f t="shared" si="28"/>
        <v>11043.230261934828</v>
      </c>
      <c r="D247" s="637">
        <f t="shared" si="28"/>
        <v>11031.579150168394</v>
      </c>
      <c r="E247" s="639">
        <f t="shared" si="29"/>
        <v>-11.651111766434042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761</v>
      </c>
      <c r="B249" s="626" t="s">
        <v>758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20151728.090191711</v>
      </c>
      <c r="D251" s="622">
        <f>((IF((IF(D15=0,0,D26/D15)*D138)=0,0,D59/(IF(D15=0,0,D26/D15)*D138)))-(IF((IF(D17=0,0,D28/D17)*D140)=0,0,D61/(IF(D17=0,0,D28/D17)*D140))))*(IF(D17=0,0,D28/D17)*D140)</f>
        <v>23051095.784623835</v>
      </c>
      <c r="E251" s="622">
        <f>D251-C251</f>
        <v>2899367.6944321245</v>
      </c>
    </row>
    <row r="252" spans="1:5" x14ac:dyDescent="0.2">
      <c r="A252" s="588">
        <v>2</v>
      </c>
      <c r="B252" s="587" t="s">
        <v>744</v>
      </c>
      <c r="C252" s="622">
        <f>IF(C231=0,0,(C228-C231)*C207)+IF(C243=0,0,(C240-C243)*C219)</f>
        <v>620573.93828580296</v>
      </c>
      <c r="D252" s="622">
        <f>IF(D231=0,0,(D228-D231)*D207)+IF(D243=0,0,(D240-D243)*D219)</f>
        <v>391635.70670618047</v>
      </c>
      <c r="E252" s="622">
        <f>D252-C252</f>
        <v>-228938.23157962249</v>
      </c>
    </row>
    <row r="253" spans="1:5" x14ac:dyDescent="0.2">
      <c r="A253" s="588">
        <v>3</v>
      </c>
      <c r="B253" s="587" t="s">
        <v>759</v>
      </c>
      <c r="C253" s="622">
        <f>IF(C233=0,0,(C228-C233)*C209+IF(C221=0,0,(C240-C245)*C221))</f>
        <v>10372131.660666678</v>
      </c>
      <c r="D253" s="622">
        <f>IF(D233=0,0,(D228-D233)*D209+IF(D221=0,0,(D240-D245)*D221))</f>
        <v>6553735.9578646626</v>
      </c>
      <c r="E253" s="622">
        <f>D253-C253</f>
        <v>-3818395.7028020155</v>
      </c>
    </row>
    <row r="254" spans="1:5" ht="15" customHeight="1" x14ac:dyDescent="0.2">
      <c r="A254" s="588"/>
      <c r="B254" s="592" t="s">
        <v>760</v>
      </c>
      <c r="C254" s="640">
        <f>+C251+C252+C253</f>
        <v>31144433.68914419</v>
      </c>
      <c r="D254" s="640">
        <f>+D251+D252+D253</f>
        <v>29996467.449194677</v>
      </c>
      <c r="E254" s="640">
        <f>D254-C254</f>
        <v>-1147966.2399495132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834</v>
      </c>
      <c r="B256" s="626" t="s">
        <v>835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726</v>
      </c>
      <c r="C258" s="622">
        <f>+C44</f>
        <v>1872448686</v>
      </c>
      <c r="D258" s="625">
        <f>+D44</f>
        <v>2018104271</v>
      </c>
      <c r="E258" s="622">
        <f t="shared" ref="E258:E271" si="30">D258-C258</f>
        <v>145655585</v>
      </c>
    </row>
    <row r="259" spans="1:5" x14ac:dyDescent="0.2">
      <c r="A259" s="588">
        <v>2</v>
      </c>
      <c r="B259" s="587" t="s">
        <v>743</v>
      </c>
      <c r="C259" s="622">
        <f>+(C43-C76)</f>
        <v>847214045</v>
      </c>
      <c r="D259" s="625">
        <f>+(D43-D76)</f>
        <v>938041079</v>
      </c>
      <c r="E259" s="622">
        <f t="shared" si="30"/>
        <v>90827034</v>
      </c>
    </row>
    <row r="260" spans="1:5" x14ac:dyDescent="0.2">
      <c r="A260" s="588">
        <v>3</v>
      </c>
      <c r="B260" s="587" t="s">
        <v>747</v>
      </c>
      <c r="C260" s="622">
        <f>C195</f>
        <v>60204861</v>
      </c>
      <c r="D260" s="622">
        <f>D195</f>
        <v>59860777</v>
      </c>
      <c r="E260" s="622">
        <f t="shared" si="30"/>
        <v>-344084</v>
      </c>
    </row>
    <row r="261" spans="1:5" x14ac:dyDescent="0.2">
      <c r="A261" s="588">
        <v>4</v>
      </c>
      <c r="B261" s="587" t="s">
        <v>748</v>
      </c>
      <c r="C261" s="622">
        <f>C188</f>
        <v>440169266</v>
      </c>
      <c r="D261" s="622">
        <f>D188</f>
        <v>470899812</v>
      </c>
      <c r="E261" s="622">
        <f t="shared" si="30"/>
        <v>30730546</v>
      </c>
    </row>
    <row r="262" spans="1:5" x14ac:dyDescent="0.2">
      <c r="A262" s="588">
        <v>5</v>
      </c>
      <c r="B262" s="587" t="s">
        <v>749</v>
      </c>
      <c r="C262" s="622">
        <f>C191</f>
        <v>25369317</v>
      </c>
      <c r="D262" s="622">
        <f>D191</f>
        <v>26996467</v>
      </c>
      <c r="E262" s="622">
        <f t="shared" si="30"/>
        <v>1627150</v>
      </c>
    </row>
    <row r="263" spans="1:5" x14ac:dyDescent="0.2">
      <c r="A263" s="588">
        <v>6</v>
      </c>
      <c r="B263" s="587" t="s">
        <v>750</v>
      </c>
      <c r="C263" s="622">
        <f>+C259+C260+C261+C262</f>
        <v>1372957489</v>
      </c>
      <c r="D263" s="622">
        <f>+D259+D260+D261+D262</f>
        <v>1495798135</v>
      </c>
      <c r="E263" s="622">
        <f t="shared" si="30"/>
        <v>122840646</v>
      </c>
    </row>
    <row r="264" spans="1:5" x14ac:dyDescent="0.2">
      <c r="A264" s="588">
        <v>7</v>
      </c>
      <c r="B264" s="587" t="s">
        <v>655</v>
      </c>
      <c r="C264" s="622">
        <f>+C258-C263</f>
        <v>499491197</v>
      </c>
      <c r="D264" s="622">
        <f>+D258-D263</f>
        <v>522306136</v>
      </c>
      <c r="E264" s="622">
        <f t="shared" si="30"/>
        <v>22814939</v>
      </c>
    </row>
    <row r="265" spans="1:5" x14ac:dyDescent="0.2">
      <c r="A265" s="588">
        <v>8</v>
      </c>
      <c r="B265" s="587" t="s">
        <v>836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837</v>
      </c>
      <c r="C266" s="622">
        <f>+C264+C265</f>
        <v>499491197</v>
      </c>
      <c r="D266" s="622">
        <f>+D264+D265</f>
        <v>522306136</v>
      </c>
      <c r="E266" s="641">
        <f t="shared" si="30"/>
        <v>22814939</v>
      </c>
    </row>
    <row r="267" spans="1:5" x14ac:dyDescent="0.2">
      <c r="A267" s="588">
        <v>10</v>
      </c>
      <c r="B267" s="587" t="s">
        <v>838</v>
      </c>
      <c r="C267" s="642">
        <f>IF(C258=0,0,C266/C258)</f>
        <v>0.26675828327612711</v>
      </c>
      <c r="D267" s="642">
        <f>IF(D258=0,0,D266/D258)</f>
        <v>0.25881028225622343</v>
      </c>
      <c r="E267" s="643">
        <f t="shared" si="30"/>
        <v>-7.9480010199036721E-3</v>
      </c>
    </row>
    <row r="268" spans="1:5" x14ac:dyDescent="0.2">
      <c r="A268" s="588">
        <v>11</v>
      </c>
      <c r="B268" s="587" t="s">
        <v>717</v>
      </c>
      <c r="C268" s="622">
        <f>+C260*C267</f>
        <v>16060145.365237856</v>
      </c>
      <c r="D268" s="644">
        <f>+D260*D267</f>
        <v>15492584.591446849</v>
      </c>
      <c r="E268" s="622">
        <f t="shared" si="30"/>
        <v>-567560.7737910077</v>
      </c>
    </row>
    <row r="269" spans="1:5" x14ac:dyDescent="0.2">
      <c r="A269" s="588">
        <v>12</v>
      </c>
      <c r="B269" s="587" t="s">
        <v>839</v>
      </c>
      <c r="C269" s="622">
        <f>((C17+C18+C28+C29)*C267)-(C50+C51+C61+C62)</f>
        <v>40020304.923259512</v>
      </c>
      <c r="D269" s="644">
        <f>((D17+D18+D28+D29)*D267)-(D50+D51+D61+D62)</f>
        <v>48030619.451421872</v>
      </c>
      <c r="E269" s="622">
        <f t="shared" si="30"/>
        <v>8010314.5281623602</v>
      </c>
    </row>
    <row r="270" spans="1:5" s="648" customFormat="1" x14ac:dyDescent="0.2">
      <c r="A270" s="645">
        <v>13</v>
      </c>
      <c r="B270" s="646" t="s">
        <v>840</v>
      </c>
      <c r="C270" s="647">
        <v>0</v>
      </c>
      <c r="D270" s="647">
        <v>0</v>
      </c>
      <c r="E270" s="622">
        <f t="shared" si="30"/>
        <v>0</v>
      </c>
    </row>
    <row r="271" spans="1:5" x14ac:dyDescent="0.2">
      <c r="A271" s="588">
        <v>14</v>
      </c>
      <c r="B271" s="587" t="s">
        <v>841</v>
      </c>
      <c r="C271" s="622">
        <f>+C268+C269+C270</f>
        <v>56080450.288497366</v>
      </c>
      <c r="D271" s="622">
        <f>+D268+D269+D270</f>
        <v>63523204.042868719</v>
      </c>
      <c r="E271" s="625">
        <f t="shared" si="30"/>
        <v>7442753.7543713525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842</v>
      </c>
      <c r="B273" s="626" t="s">
        <v>843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844</v>
      </c>
      <c r="C275" s="425"/>
      <c r="D275" s="425"/>
      <c r="E275" s="596"/>
    </row>
    <row r="276" spans="1:5" x14ac:dyDescent="0.2">
      <c r="A276" s="588">
        <v>1</v>
      </c>
      <c r="B276" s="587" t="s">
        <v>657</v>
      </c>
      <c r="C276" s="623">
        <f t="shared" ref="C276:D284" si="31">IF(C14=0,0,+C47/C14)</f>
        <v>0.38442096956578703</v>
      </c>
      <c r="D276" s="623">
        <f t="shared" si="31"/>
        <v>0.40244825100597675</v>
      </c>
      <c r="E276" s="650">
        <f t="shared" ref="E276:E284" si="32">D276-C276</f>
        <v>1.8027281440189724E-2</v>
      </c>
    </row>
    <row r="277" spans="1:5" x14ac:dyDescent="0.2">
      <c r="A277" s="588">
        <v>2</v>
      </c>
      <c r="B277" s="587" t="s">
        <v>636</v>
      </c>
      <c r="C277" s="623">
        <f t="shared" si="31"/>
        <v>0.24085264561554387</v>
      </c>
      <c r="D277" s="623">
        <f t="shared" si="31"/>
        <v>0.23546116048842483</v>
      </c>
      <c r="E277" s="650">
        <f t="shared" si="32"/>
        <v>-5.3914851271190389E-3</v>
      </c>
    </row>
    <row r="278" spans="1:5" x14ac:dyDescent="0.2">
      <c r="A278" s="588">
        <v>3</v>
      </c>
      <c r="B278" s="587" t="s">
        <v>778</v>
      </c>
      <c r="C278" s="623">
        <f t="shared" si="31"/>
        <v>0.13045077220422091</v>
      </c>
      <c r="D278" s="623">
        <f t="shared" si="31"/>
        <v>0.11133450339294693</v>
      </c>
      <c r="E278" s="650">
        <f t="shared" si="32"/>
        <v>-1.9116268811273984E-2</v>
      </c>
    </row>
    <row r="279" spans="1:5" x14ac:dyDescent="0.2">
      <c r="A279" s="588">
        <v>4</v>
      </c>
      <c r="B279" s="587" t="s">
        <v>115</v>
      </c>
      <c r="C279" s="623">
        <f t="shared" si="31"/>
        <v>0.13006185857734029</v>
      </c>
      <c r="D279" s="623">
        <f t="shared" si="31"/>
        <v>0.10959386596100842</v>
      </c>
      <c r="E279" s="650">
        <f t="shared" si="32"/>
        <v>-2.0467992616331865E-2</v>
      </c>
    </row>
    <row r="280" spans="1:5" x14ac:dyDescent="0.2">
      <c r="A280" s="588">
        <v>5</v>
      </c>
      <c r="B280" s="587" t="s">
        <v>744</v>
      </c>
      <c r="C280" s="623">
        <f t="shared" si="31"/>
        <v>0.14316023649605472</v>
      </c>
      <c r="D280" s="623">
        <f t="shared" si="31"/>
        <v>0.20744809741528858</v>
      </c>
      <c r="E280" s="650">
        <f t="shared" si="32"/>
        <v>6.4287860919233858E-2</v>
      </c>
    </row>
    <row r="281" spans="1:5" x14ac:dyDescent="0.2">
      <c r="A281" s="588">
        <v>6</v>
      </c>
      <c r="B281" s="587" t="s">
        <v>424</v>
      </c>
      <c r="C281" s="623">
        <f t="shared" si="31"/>
        <v>0.19179642238695688</v>
      </c>
      <c r="D281" s="623">
        <f t="shared" si="31"/>
        <v>0.19528282260916599</v>
      </c>
      <c r="E281" s="650">
        <f t="shared" si="32"/>
        <v>3.4864002222091128E-3</v>
      </c>
    </row>
    <row r="282" spans="1:5" x14ac:dyDescent="0.2">
      <c r="A282" s="588">
        <v>7</v>
      </c>
      <c r="B282" s="587" t="s">
        <v>759</v>
      </c>
      <c r="C282" s="623">
        <f t="shared" si="31"/>
        <v>2.1334889099920488E-2</v>
      </c>
      <c r="D282" s="623">
        <f t="shared" si="31"/>
        <v>2.2761595198084062E-2</v>
      </c>
      <c r="E282" s="650">
        <f t="shared" si="32"/>
        <v>1.4267060981635743E-3</v>
      </c>
    </row>
    <row r="283" spans="1:5" ht="29.25" customHeight="1" x14ac:dyDescent="0.2">
      <c r="A283" s="588"/>
      <c r="B283" s="592" t="s">
        <v>845</v>
      </c>
      <c r="C283" s="651">
        <f t="shared" si="31"/>
        <v>0.21203418111989517</v>
      </c>
      <c r="D283" s="651">
        <f t="shared" si="31"/>
        <v>0.19932858270008333</v>
      </c>
      <c r="E283" s="652">
        <f t="shared" si="32"/>
        <v>-1.2705598419811837E-2</v>
      </c>
    </row>
    <row r="284" spans="1:5" x14ac:dyDescent="0.2">
      <c r="A284" s="588"/>
      <c r="B284" s="592" t="s">
        <v>846</v>
      </c>
      <c r="C284" s="651">
        <f t="shared" si="31"/>
        <v>0.2686574822949136</v>
      </c>
      <c r="D284" s="651">
        <f t="shared" si="31"/>
        <v>0.26397735200308192</v>
      </c>
      <c r="E284" s="652">
        <f t="shared" si="32"/>
        <v>-4.6801302918316745E-3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847</v>
      </c>
      <c r="C286" s="596"/>
      <c r="D286" s="596"/>
      <c r="E286" s="596"/>
    </row>
    <row r="287" spans="1:5" x14ac:dyDescent="0.2">
      <c r="A287" s="588">
        <v>1</v>
      </c>
      <c r="B287" s="587" t="s">
        <v>657</v>
      </c>
      <c r="C287" s="623">
        <f t="shared" ref="C287:D295" si="33">IF(C25=0,0,+C58/C25)</f>
        <v>0.3894199932378436</v>
      </c>
      <c r="D287" s="623">
        <f t="shared" si="33"/>
        <v>0.37700451743133762</v>
      </c>
      <c r="E287" s="650">
        <f t="shared" ref="E287:E295" si="34">D287-C287</f>
        <v>-1.2415475806505982E-2</v>
      </c>
    </row>
    <row r="288" spans="1:5" x14ac:dyDescent="0.2">
      <c r="A288" s="588">
        <v>2</v>
      </c>
      <c r="B288" s="587" t="s">
        <v>636</v>
      </c>
      <c r="C288" s="623">
        <f t="shared" si="33"/>
        <v>0.13630863950944583</v>
      </c>
      <c r="D288" s="623">
        <f t="shared" si="33"/>
        <v>0.13838787064527491</v>
      </c>
      <c r="E288" s="650">
        <f t="shared" si="34"/>
        <v>2.0792311358290849E-3</v>
      </c>
    </row>
    <row r="289" spans="1:5" x14ac:dyDescent="0.2">
      <c r="A289" s="588">
        <v>3</v>
      </c>
      <c r="B289" s="587" t="s">
        <v>778</v>
      </c>
      <c r="C289" s="623">
        <f t="shared" si="33"/>
        <v>0.13341993356097365</v>
      </c>
      <c r="D289" s="623">
        <f t="shared" si="33"/>
        <v>0.12250700872094596</v>
      </c>
      <c r="E289" s="650">
        <f t="shared" si="34"/>
        <v>-1.0912924840027691E-2</v>
      </c>
    </row>
    <row r="290" spans="1:5" x14ac:dyDescent="0.2">
      <c r="A290" s="588">
        <v>4</v>
      </c>
      <c r="B290" s="587" t="s">
        <v>115</v>
      </c>
      <c r="C290" s="623">
        <f t="shared" si="33"/>
        <v>0.13406130738168137</v>
      </c>
      <c r="D290" s="623">
        <f t="shared" si="33"/>
        <v>0.1217292480102375</v>
      </c>
      <c r="E290" s="650">
        <f t="shared" si="34"/>
        <v>-1.2332059371443868E-2</v>
      </c>
    </row>
    <row r="291" spans="1:5" x14ac:dyDescent="0.2">
      <c r="A291" s="588">
        <v>5</v>
      </c>
      <c r="B291" s="587" t="s">
        <v>744</v>
      </c>
      <c r="C291" s="623">
        <f t="shared" si="33"/>
        <v>9.5445169074807587E-2</v>
      </c>
      <c r="D291" s="623">
        <f t="shared" si="33"/>
        <v>0.17791178653694031</v>
      </c>
      <c r="E291" s="650">
        <f t="shared" si="34"/>
        <v>8.2466617462132727E-2</v>
      </c>
    </row>
    <row r="292" spans="1:5" x14ac:dyDescent="0.2">
      <c r="A292" s="588">
        <v>6</v>
      </c>
      <c r="B292" s="587" t="s">
        <v>424</v>
      </c>
      <c r="C292" s="623">
        <f t="shared" si="33"/>
        <v>4.8756928036138174E-2</v>
      </c>
      <c r="D292" s="623">
        <f t="shared" si="33"/>
        <v>0.11393920082686748</v>
      </c>
      <c r="E292" s="650">
        <f t="shared" si="34"/>
        <v>6.5182272790729301E-2</v>
      </c>
    </row>
    <row r="293" spans="1:5" x14ac:dyDescent="0.2">
      <c r="A293" s="588">
        <v>7</v>
      </c>
      <c r="B293" s="587" t="s">
        <v>759</v>
      </c>
      <c r="C293" s="623">
        <f t="shared" si="33"/>
        <v>3.1995448329296988E-2</v>
      </c>
      <c r="D293" s="623">
        <f t="shared" si="33"/>
        <v>3.7822279043994086E-2</v>
      </c>
      <c r="E293" s="650">
        <f t="shared" si="34"/>
        <v>5.8268307146970982E-3</v>
      </c>
    </row>
    <row r="294" spans="1:5" ht="29.25" customHeight="1" x14ac:dyDescent="0.2">
      <c r="A294" s="588"/>
      <c r="B294" s="592" t="s">
        <v>848</v>
      </c>
      <c r="C294" s="651">
        <f t="shared" si="33"/>
        <v>0.13525683173208308</v>
      </c>
      <c r="D294" s="651">
        <f t="shared" si="33"/>
        <v>0.13332083749910065</v>
      </c>
      <c r="E294" s="652">
        <f t="shared" si="34"/>
        <v>-1.9359942329824353E-3</v>
      </c>
    </row>
    <row r="295" spans="1:5" x14ac:dyDescent="0.2">
      <c r="A295" s="588"/>
      <c r="B295" s="592" t="s">
        <v>849</v>
      </c>
      <c r="C295" s="651">
        <f t="shared" si="33"/>
        <v>0.26859978101893628</v>
      </c>
      <c r="D295" s="651">
        <f t="shared" si="33"/>
        <v>0.25782110385944074</v>
      </c>
      <c r="E295" s="652">
        <f t="shared" si="34"/>
        <v>-1.0778677159495542E-2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850</v>
      </c>
      <c r="B297" s="579" t="s">
        <v>851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852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655</v>
      </c>
      <c r="C301" s="590">
        <f>+C48+C47+C50+C51+C52+C59+C58+C61+C62+C63</f>
        <v>502977184</v>
      </c>
      <c r="D301" s="590">
        <f>+D48+D47+D50+D51+D52+D59+D58+D61+D62+D63</f>
        <v>524479552</v>
      </c>
      <c r="E301" s="590">
        <f>D301-C301</f>
        <v>21502368</v>
      </c>
    </row>
    <row r="302" spans="1:5" ht="25.5" x14ac:dyDescent="0.2">
      <c r="A302" s="588">
        <v>2</v>
      </c>
      <c r="B302" s="587" t="s">
        <v>853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854</v>
      </c>
      <c r="C303" s="593">
        <f>+C301+C302</f>
        <v>502977184</v>
      </c>
      <c r="D303" s="593">
        <f>+D301+D302</f>
        <v>524479552</v>
      </c>
      <c r="E303" s="593">
        <f>D303-C303</f>
        <v>21502368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855</v>
      </c>
      <c r="C305" s="589">
        <v>-26565184</v>
      </c>
      <c r="D305" s="654">
        <v>-30283552</v>
      </c>
      <c r="E305" s="655">
        <f>D305-C305</f>
        <v>-3718368</v>
      </c>
    </row>
    <row r="306" spans="1:5" x14ac:dyDescent="0.2">
      <c r="A306" s="588">
        <v>4</v>
      </c>
      <c r="B306" s="592" t="s">
        <v>856</v>
      </c>
      <c r="C306" s="593">
        <f>+C303+C305+C194+C190-C191</f>
        <v>512662864</v>
      </c>
      <c r="D306" s="593">
        <f>+D303+D305</f>
        <v>494196000</v>
      </c>
      <c r="E306" s="656">
        <f>D306-C306</f>
        <v>-18466864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857</v>
      </c>
      <c r="C308" s="589">
        <v>476412000</v>
      </c>
      <c r="D308" s="589">
        <v>494196000</v>
      </c>
      <c r="E308" s="590">
        <f>D308-C308</f>
        <v>17784000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858</v>
      </c>
      <c r="C310" s="657">
        <f>C306-C308</f>
        <v>36250864</v>
      </c>
      <c r="D310" s="658">
        <f>D306-D308</f>
        <v>0</v>
      </c>
      <c r="E310" s="656">
        <f>D310-C310</f>
        <v>-36250864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859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860</v>
      </c>
      <c r="C314" s="590">
        <f>+C14+C15+C16+C19+C25+C26+C27+C30</f>
        <v>1872448686</v>
      </c>
      <c r="D314" s="590">
        <f>+D14+D15+D16+D19+D25+D26+D27+D30</f>
        <v>2018104271</v>
      </c>
      <c r="E314" s="590">
        <f>D314-C314</f>
        <v>145655585</v>
      </c>
    </row>
    <row r="315" spans="1:5" x14ac:dyDescent="0.2">
      <c r="A315" s="588">
        <v>2</v>
      </c>
      <c r="B315" s="659" t="s">
        <v>861</v>
      </c>
      <c r="C315" s="589">
        <v>-686</v>
      </c>
      <c r="D315" s="589">
        <v>-271</v>
      </c>
      <c r="E315" s="590">
        <f>D315-C315</f>
        <v>415</v>
      </c>
    </row>
    <row r="316" spans="1:5" x14ac:dyDescent="0.2">
      <c r="A316" s="588"/>
      <c r="B316" s="592" t="s">
        <v>862</v>
      </c>
      <c r="C316" s="657">
        <f>C314+C315</f>
        <v>1872448000</v>
      </c>
      <c r="D316" s="657">
        <f>D314+D315</f>
        <v>2018104000</v>
      </c>
      <c r="E316" s="593">
        <f>D316-C316</f>
        <v>145656000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863</v>
      </c>
      <c r="C318" s="589">
        <v>1872448000</v>
      </c>
      <c r="D318" s="589">
        <v>2018104000</v>
      </c>
      <c r="E318" s="590">
        <f>D318-C318</f>
        <v>145656000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858</v>
      </c>
      <c r="C320" s="657">
        <f>C316-C318</f>
        <v>0</v>
      </c>
      <c r="D320" s="657">
        <f>D316-D318</f>
        <v>0</v>
      </c>
      <c r="E320" s="593">
        <f>D320-C320</f>
        <v>0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864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865</v>
      </c>
      <c r="C324" s="589">
        <f>+C193+C194</f>
        <v>60204861</v>
      </c>
      <c r="D324" s="589">
        <f>+D193+D194</f>
        <v>59860777</v>
      </c>
      <c r="E324" s="590">
        <f>D324-C324</f>
        <v>-344084</v>
      </c>
    </row>
    <row r="325" spans="1:5" x14ac:dyDescent="0.2">
      <c r="A325" s="588">
        <v>2</v>
      </c>
      <c r="B325" s="587" t="s">
        <v>866</v>
      </c>
      <c r="C325" s="589">
        <v>139</v>
      </c>
      <c r="D325" s="589">
        <v>228</v>
      </c>
      <c r="E325" s="590">
        <f>D325-C325</f>
        <v>89</v>
      </c>
    </row>
    <row r="326" spans="1:5" x14ac:dyDescent="0.2">
      <c r="A326" s="588"/>
      <c r="B326" s="592" t="s">
        <v>867</v>
      </c>
      <c r="C326" s="657">
        <f>C324+C325</f>
        <v>60205000</v>
      </c>
      <c r="D326" s="657">
        <f>D324+D325</f>
        <v>59861005</v>
      </c>
      <c r="E326" s="593">
        <f>D326-C326</f>
        <v>-343995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868</v>
      </c>
      <c r="C328" s="589">
        <v>60205000</v>
      </c>
      <c r="D328" s="589">
        <v>59861000</v>
      </c>
      <c r="E328" s="590">
        <f>D328-C328</f>
        <v>-344000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869</v>
      </c>
      <c r="C330" s="657">
        <f>C326-C328</f>
        <v>0</v>
      </c>
      <c r="D330" s="657">
        <f>D326-D328</f>
        <v>5</v>
      </c>
      <c r="E330" s="593">
        <f>D330-C330</f>
        <v>5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70" fitToHeight="0" orientation="portrait" horizontalDpi="1200" verticalDpi="1200" r:id="rId1"/>
  <headerFooter>
    <oddHeader>_x000D_
                &amp;LOFFICE OF HEALTH CARE ACCESS&amp;CTWELVE MONTHS ACTUAL FILING&amp;RSTAMFORD HOSPITAL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143"/>
  <sheetViews>
    <sheetView zoomScaleSheetLayoutView="75" workbookViewId="0"/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630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870</v>
      </c>
      <c r="B5" s="824"/>
      <c r="C5" s="825"/>
      <c r="D5" s="661"/>
    </row>
    <row r="6" spans="1:58" s="662" customFormat="1" ht="15.75" customHeight="1" x14ac:dyDescent="0.25">
      <c r="A6" s="823" t="s">
        <v>871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872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873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777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657</v>
      </c>
      <c r="C14" s="589">
        <v>215573321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636</v>
      </c>
      <c r="C15" s="591">
        <v>326676675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778</v>
      </c>
      <c r="C16" s="591">
        <v>134097441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131712107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744</v>
      </c>
      <c r="C18" s="591">
        <v>2385334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961380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759</v>
      </c>
      <c r="C20" s="591">
        <v>8550587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779</v>
      </c>
      <c r="C21" s="593">
        <f>SUM(C15+C16+C19)</f>
        <v>461735496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677308817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780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657</v>
      </c>
      <c r="C25" s="589">
        <v>685024911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636</v>
      </c>
      <c r="C26" s="591">
        <v>447217525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778</v>
      </c>
      <c r="C27" s="591">
        <v>207291389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204421759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744</v>
      </c>
      <c r="C29" s="591">
        <v>2869630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1261629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759</v>
      </c>
      <c r="C31" s="594">
        <v>53108751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781</v>
      </c>
      <c r="C32" s="593">
        <f>SUM(C26+C27+C30)</f>
        <v>655770543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1340795454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654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874</v>
      </c>
      <c r="C36" s="590">
        <f>SUM(C14+C25)</f>
        <v>900598232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875</v>
      </c>
      <c r="C37" s="594">
        <f>SUM(C21+C32)</f>
        <v>1117506039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654</v>
      </c>
      <c r="C38" s="593">
        <f>SUM(+C36+C37)</f>
        <v>2018104271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790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657</v>
      </c>
      <c r="C41" s="589">
        <v>86757106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636</v>
      </c>
      <c r="C42" s="591">
        <v>76919669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778</v>
      </c>
      <c r="C43" s="591">
        <v>14929672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14434839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744</v>
      </c>
      <c r="C45" s="591">
        <v>494833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187741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759</v>
      </c>
      <c r="C47" s="591">
        <v>194625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791</v>
      </c>
      <c r="C48" s="593">
        <f>SUM(C42+C43+C46)</f>
        <v>92037082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178794188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792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657</v>
      </c>
      <c r="C52" s="589">
        <v>258257486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636</v>
      </c>
      <c r="C53" s="591">
        <v>61889481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778</v>
      </c>
      <c r="C54" s="591">
        <v>25394648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24884107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744</v>
      </c>
      <c r="C56" s="591">
        <v>510541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143749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759</v>
      </c>
      <c r="C58" s="591">
        <v>2008694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793</v>
      </c>
      <c r="C59" s="593">
        <f>SUM(C53+C54+C57)</f>
        <v>87427878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345685364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655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876</v>
      </c>
      <c r="C63" s="590">
        <f>SUM(C41+C52)</f>
        <v>345014592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877</v>
      </c>
      <c r="C64" s="594">
        <f>SUM(C48+C59)</f>
        <v>179464960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655</v>
      </c>
      <c r="C65" s="593">
        <f>SUM(+C63+C64)</f>
        <v>524479552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878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879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657</v>
      </c>
      <c r="C70" s="606">
        <v>5675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636</v>
      </c>
      <c r="C71" s="606">
        <v>5429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778</v>
      </c>
      <c r="C72" s="606">
        <v>3772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3709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744</v>
      </c>
      <c r="C74" s="606">
        <v>63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29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759</v>
      </c>
      <c r="C76" s="621">
        <v>139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808</v>
      </c>
      <c r="C77" s="608">
        <f>SUM(C71+C72+C75)</f>
        <v>9230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14905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812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657</v>
      </c>
      <c r="C81" s="617">
        <v>1.1492800000000001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636</v>
      </c>
      <c r="C82" s="617">
        <v>1.67954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778</v>
      </c>
      <c r="C83" s="617">
        <f>((C73*C84)+(C74*C85))/(C73+C74)</f>
        <v>1.0859722667020146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1.0799399999999999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744</v>
      </c>
      <c r="C85" s="617">
        <v>1.4411099999999999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0.98536999999999997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759</v>
      </c>
      <c r="C87" s="617">
        <v>1.3370899999999999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813</v>
      </c>
      <c r="C88" s="619">
        <f>((C71*C82)+(C73*C84)+(C74*C85)+(C75*C86))/(C71+C73+C74+C75)</f>
        <v>1.4347871917659805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724</v>
      </c>
      <c r="C89" s="619">
        <f>((C70*C81)+(C71*C82)+(C73*C84)+(C74*C85)+(C75*C86))/(C70+C71+C73+C74+C75)</f>
        <v>1.3260818369674605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814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815</v>
      </c>
      <c r="C92" s="589">
        <v>803551838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816</v>
      </c>
      <c r="C93" s="622">
        <v>332652026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669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748</v>
      </c>
      <c r="C95" s="589">
        <f>+C92-C93</f>
        <v>470899812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671</v>
      </c>
      <c r="C96" s="681">
        <f>(+C92-C93)/C92</f>
        <v>0.58602294180801806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763</v>
      </c>
      <c r="C98" s="589">
        <v>35387056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749</v>
      </c>
      <c r="C99" s="589">
        <v>26996467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880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818</v>
      </c>
      <c r="C103" s="589">
        <v>25881492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819</v>
      </c>
      <c r="C104" s="589">
        <v>33979285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820</v>
      </c>
      <c r="C105" s="654">
        <f>+C103+C104</f>
        <v>59860777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821</v>
      </c>
      <c r="C107" s="589">
        <v>15837000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711</v>
      </c>
      <c r="C108" s="589">
        <v>473410966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851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852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655</v>
      </c>
      <c r="C114" s="590">
        <f>+C65</f>
        <v>524479552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853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854</v>
      </c>
      <c r="C116" s="593">
        <f>+C114+C115</f>
        <v>524479552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855</v>
      </c>
      <c r="C118" s="654">
        <v>-30283552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856</v>
      </c>
      <c r="C119" s="656">
        <f>+C116+C118</f>
        <v>494196000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857</v>
      </c>
      <c r="C121" s="589">
        <v>494196000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858</v>
      </c>
      <c r="C123" s="658">
        <f>C119-C121</f>
        <v>0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859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860</v>
      </c>
      <c r="C127" s="590">
        <f>C38</f>
        <v>2018104271</v>
      </c>
      <c r="D127" s="664"/>
      <c r="AR127" s="485"/>
    </row>
    <row r="128" spans="1:58" s="421" customFormat="1" ht="12.75" x14ac:dyDescent="0.2">
      <c r="A128" s="588">
        <v>2</v>
      </c>
      <c r="B128" s="659" t="s">
        <v>861</v>
      </c>
      <c r="C128" s="589">
        <v>-271</v>
      </c>
      <c r="D128" s="664"/>
      <c r="AR128" s="485"/>
    </row>
    <row r="129" spans="1:44" s="421" customFormat="1" ht="12.75" x14ac:dyDescent="0.2">
      <c r="A129" s="588"/>
      <c r="B129" s="671" t="s">
        <v>862</v>
      </c>
      <c r="C129" s="657">
        <f>C127+C128</f>
        <v>2018104000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863</v>
      </c>
      <c r="C131" s="589">
        <v>2018104000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858</v>
      </c>
      <c r="C133" s="657">
        <f>C129-C131</f>
        <v>0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864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865</v>
      </c>
      <c r="C137" s="589">
        <f>C105</f>
        <v>59860777</v>
      </c>
      <c r="D137" s="664"/>
      <c r="AR137" s="485"/>
    </row>
    <row r="138" spans="1:44" s="421" customFormat="1" ht="12.75" x14ac:dyDescent="0.2">
      <c r="A138" s="588">
        <v>2</v>
      </c>
      <c r="B138" s="669" t="s">
        <v>881</v>
      </c>
      <c r="C138" s="589">
        <v>228</v>
      </c>
      <c r="D138" s="664"/>
      <c r="AR138" s="485"/>
    </row>
    <row r="139" spans="1:44" s="421" customFormat="1" ht="12.75" x14ac:dyDescent="0.2">
      <c r="A139" s="588"/>
      <c r="B139" s="671" t="s">
        <v>867</v>
      </c>
      <c r="C139" s="657">
        <f>C137+C138</f>
        <v>59861005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882</v>
      </c>
      <c r="C141" s="589">
        <v>59861000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869</v>
      </c>
      <c r="C143" s="657">
        <f>C139-C141</f>
        <v>5</v>
      </c>
      <c r="D143" s="664"/>
      <c r="AR143" s="485"/>
    </row>
  </sheetData>
  <mergeCells count="6">
    <mergeCell ref="A7:C7"/>
    <mergeCell ref="A2:C2"/>
    <mergeCell ref="A3:C3"/>
    <mergeCell ref="A4:C4"/>
    <mergeCell ref="A5:C5"/>
    <mergeCell ref="A6:C6"/>
  </mergeCells>
  <printOptions gridLines="1"/>
  <pageMargins left="0.5" right="0.5" top="0.5" bottom="0.5" header="0.25" footer="0.25"/>
  <pageSetup scale="74" fitToHeight="0" orientation="portrait" r:id="rId1"/>
  <headerFooter>
    <oddHeader>&amp;LOFFICE OF HEALTH CARE ACCESS&amp;CTWELVE MONTHS ACTUAL FILING&amp;RSTAMFORD HOSPITAL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SheetLayoutView="90" workbookViewId="0">
      <selection activeCell="B43" sqref="B43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9"/>
      <c r="B1" s="830"/>
      <c r="C1" s="830"/>
      <c r="D1" s="830"/>
      <c r="E1" s="830"/>
      <c r="F1" s="831"/>
    </row>
    <row r="2" spans="1:14" ht="15.75" customHeight="1" x14ac:dyDescent="0.25">
      <c r="A2" s="832" t="s">
        <v>0</v>
      </c>
      <c r="B2" s="833"/>
      <c r="C2" s="833"/>
      <c r="D2" s="833"/>
      <c r="E2" s="833"/>
      <c r="F2" s="834"/>
    </row>
    <row r="3" spans="1:14" ht="15.75" customHeight="1" x14ac:dyDescent="0.25">
      <c r="A3" s="832" t="s">
        <v>630</v>
      </c>
      <c r="B3" s="833"/>
      <c r="C3" s="833"/>
      <c r="D3" s="833"/>
      <c r="E3" s="833"/>
      <c r="F3" s="834"/>
    </row>
    <row r="4" spans="1:14" ht="15.75" customHeight="1" x14ac:dyDescent="0.25">
      <c r="A4" s="832" t="s">
        <v>2</v>
      </c>
      <c r="B4" s="833"/>
      <c r="C4" s="833"/>
      <c r="D4" s="833"/>
      <c r="E4" s="833"/>
      <c r="F4" s="834"/>
    </row>
    <row r="5" spans="1:14" ht="15.75" customHeight="1" x14ac:dyDescent="0.25">
      <c r="A5" s="832" t="s">
        <v>883</v>
      </c>
      <c r="B5" s="833"/>
      <c r="C5" s="833"/>
      <c r="D5" s="833"/>
      <c r="E5" s="833"/>
      <c r="F5" s="834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633</v>
      </c>
      <c r="D8" s="177" t="s">
        <v>633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884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885</v>
      </c>
      <c r="C12" s="185">
        <v>1807</v>
      </c>
      <c r="D12" s="185">
        <v>1553</v>
      </c>
      <c r="E12" s="185">
        <f>+D12-C12</f>
        <v>-254</v>
      </c>
      <c r="F12" s="77">
        <f>IF(C12=0,0,+E12/C12)</f>
        <v>-0.14056447149972329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886</v>
      </c>
      <c r="C13" s="185">
        <v>1460</v>
      </c>
      <c r="D13" s="185">
        <v>1225</v>
      </c>
      <c r="E13" s="185">
        <f>+D13-C13</f>
        <v>-235</v>
      </c>
      <c r="F13" s="77">
        <f>IF(C13=0,0,+E13/C13)</f>
        <v>-0.16095890410958905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887</v>
      </c>
      <c r="C15" s="76">
        <v>32247209</v>
      </c>
      <c r="D15" s="76">
        <v>25881492</v>
      </c>
      <c r="E15" s="76">
        <f>+D15-C15</f>
        <v>-6365717</v>
      </c>
      <c r="F15" s="77">
        <f>IF(C15=0,0,+E15/C15)</f>
        <v>-0.19740365747621755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888</v>
      </c>
      <c r="C16" s="79">
        <f>IF(C13=0,0,+C15/+C13)</f>
        <v>22087.129452054796</v>
      </c>
      <c r="D16" s="79">
        <f>IF(D13=0,0,+D15/+D13)</f>
        <v>21127.748571428572</v>
      </c>
      <c r="E16" s="79">
        <f>+D16-C16</f>
        <v>-959.3808806262241</v>
      </c>
      <c r="F16" s="80">
        <f>IF(C16=0,0,+E16/C16)</f>
        <v>-4.3436195849206272E-2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889</v>
      </c>
      <c r="C18" s="704">
        <v>0.246363</v>
      </c>
      <c r="D18" s="704">
        <v>0.23710899999999999</v>
      </c>
      <c r="E18" s="704">
        <f>+D18-C18</f>
        <v>-9.2540000000000122E-3</v>
      </c>
      <c r="F18" s="77">
        <f>IF(C18=0,0,+E18/C18)</f>
        <v>-3.7562458648417223E-2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890</v>
      </c>
      <c r="C19" s="79">
        <f>+C15*C18</f>
        <v>7944519.1508670002</v>
      </c>
      <c r="D19" s="79">
        <f>+D15*D18</f>
        <v>6136734.6866279999</v>
      </c>
      <c r="E19" s="79">
        <f>+D19-C19</f>
        <v>-1807784.4642390003</v>
      </c>
      <c r="F19" s="80">
        <f>IF(C19=0,0,+E19/C19)</f>
        <v>-0.22755114940363805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891</v>
      </c>
      <c r="C20" s="79">
        <f>IF(C13=0,0,+C19/C13)</f>
        <v>5441.4514731965755</v>
      </c>
      <c r="D20" s="79">
        <f>IF(D13=0,0,+D19/D13)</f>
        <v>5009.5793360228572</v>
      </c>
      <c r="E20" s="79">
        <f>+D20-C20</f>
        <v>-431.87213717371833</v>
      </c>
      <c r="F20" s="80">
        <f>IF(C20=0,0,+E20/C20)</f>
        <v>-7.9367084187193057E-2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892</v>
      </c>
      <c r="C22" s="76">
        <v>5593941</v>
      </c>
      <c r="D22" s="76">
        <v>3591809</v>
      </c>
      <c r="E22" s="76">
        <f>+D22-C22</f>
        <v>-2002132</v>
      </c>
      <c r="F22" s="77">
        <f>IF(C22=0,0,+E22/C22)</f>
        <v>-0.3579108181512819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893</v>
      </c>
      <c r="C23" s="185">
        <v>20298365</v>
      </c>
      <c r="D23" s="185">
        <v>16545605</v>
      </c>
      <c r="E23" s="185">
        <f>+D23-C23</f>
        <v>-3752760</v>
      </c>
      <c r="F23" s="77">
        <f>IF(C23=0,0,+E23/C23)</f>
        <v>-0.18487991520499311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894</v>
      </c>
      <c r="C24" s="185">
        <v>6354903</v>
      </c>
      <c r="D24" s="185">
        <v>5744078</v>
      </c>
      <c r="E24" s="185">
        <f>+D24-C24</f>
        <v>-610825</v>
      </c>
      <c r="F24" s="77">
        <f>IF(C24=0,0,+E24/C24)</f>
        <v>-9.611869764180507E-2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895</v>
      </c>
      <c r="C25" s="79">
        <f>+C22+C23+C24</f>
        <v>32247209</v>
      </c>
      <c r="D25" s="79">
        <f>+D22+D23+D24</f>
        <v>25881492</v>
      </c>
      <c r="E25" s="79">
        <f>+E22+E23+E24</f>
        <v>-6365717</v>
      </c>
      <c r="F25" s="80">
        <f>IF(C25=0,0,+E25/C25)</f>
        <v>-0.19740365747621755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896</v>
      </c>
      <c r="C27" s="185">
        <v>511</v>
      </c>
      <c r="D27" s="185">
        <v>273</v>
      </c>
      <c r="E27" s="185">
        <f>+D27-C27</f>
        <v>-238</v>
      </c>
      <c r="F27" s="77">
        <f>IF(C27=0,0,+E27/C27)</f>
        <v>-0.46575342465753422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897</v>
      </c>
      <c r="C28" s="185">
        <v>114</v>
      </c>
      <c r="D28" s="185">
        <v>77</v>
      </c>
      <c r="E28" s="185">
        <f>+D28-C28</f>
        <v>-37</v>
      </c>
      <c r="F28" s="77">
        <f>IF(C28=0,0,+E28/C28)</f>
        <v>-0.32456140350877194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898</v>
      </c>
      <c r="C29" s="185">
        <v>1020</v>
      </c>
      <c r="D29" s="185">
        <v>762</v>
      </c>
      <c r="E29" s="185">
        <f>+D29-C29</f>
        <v>-258</v>
      </c>
      <c r="F29" s="77">
        <f>IF(C29=0,0,+E29/C29)</f>
        <v>-0.25294117647058822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899</v>
      </c>
      <c r="C30" s="185">
        <v>8297</v>
      </c>
      <c r="D30" s="185">
        <v>6944</v>
      </c>
      <c r="E30" s="185">
        <f>+D30-C30</f>
        <v>-1353</v>
      </c>
      <c r="F30" s="77">
        <f>IF(C30=0,0,+E30/C30)</f>
        <v>-0.16307098951428228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900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901</v>
      </c>
      <c r="C33" s="76">
        <v>4195834</v>
      </c>
      <c r="D33" s="76">
        <v>5483395</v>
      </c>
      <c r="E33" s="76">
        <f>+D33-C33</f>
        <v>1287561</v>
      </c>
      <c r="F33" s="77">
        <f>IF(C33=0,0,+E33/C33)</f>
        <v>0.30686652522478247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902</v>
      </c>
      <c r="C34" s="185">
        <v>10751616</v>
      </c>
      <c r="D34" s="185">
        <v>10886523</v>
      </c>
      <c r="E34" s="185">
        <f>+D34-C34</f>
        <v>134907</v>
      </c>
      <c r="F34" s="77">
        <f>IF(C34=0,0,+E34/C34)</f>
        <v>1.2547602146505233E-2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903</v>
      </c>
      <c r="C35" s="185">
        <v>13010202</v>
      </c>
      <c r="D35" s="185">
        <v>17609367</v>
      </c>
      <c r="E35" s="185">
        <f>+D35-C35</f>
        <v>4599165</v>
      </c>
      <c r="F35" s="77">
        <f>IF(C35=0,0,+E35/C35)</f>
        <v>0.35350450361954411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904</v>
      </c>
      <c r="C36" s="79">
        <f>+C33+C34+C35</f>
        <v>27957652</v>
      </c>
      <c r="D36" s="79">
        <f>+D33+D34+D35</f>
        <v>33979285</v>
      </c>
      <c r="E36" s="79">
        <f>+E33+E34+E35</f>
        <v>6021633</v>
      </c>
      <c r="F36" s="80">
        <f>IF(C36=0,0,+E36/C36)</f>
        <v>0.21538407445661031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905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906</v>
      </c>
      <c r="C39" s="76">
        <f>+C25</f>
        <v>32247209</v>
      </c>
      <c r="D39" s="76">
        <f>+D25</f>
        <v>25881492</v>
      </c>
      <c r="E39" s="76">
        <f>+D39-C39</f>
        <v>-6365717</v>
      </c>
      <c r="F39" s="77">
        <f>IF(C39=0,0,+E39/C39)</f>
        <v>-0.19740365747621755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907</v>
      </c>
      <c r="C40" s="185">
        <f>+C36</f>
        <v>27957652</v>
      </c>
      <c r="D40" s="185">
        <f>+D36</f>
        <v>33979285</v>
      </c>
      <c r="E40" s="185">
        <f>+D40-C40</f>
        <v>6021633</v>
      </c>
      <c r="F40" s="77">
        <f>IF(C40=0,0,+E40/C40)</f>
        <v>0.21538407445661031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908</v>
      </c>
      <c r="C41" s="79">
        <f>+C39+C40</f>
        <v>60204861</v>
      </c>
      <c r="D41" s="79">
        <f>+D39+D40</f>
        <v>59860777</v>
      </c>
      <c r="E41" s="79">
        <f>+E39+E40</f>
        <v>-344084</v>
      </c>
      <c r="F41" s="80">
        <f>IF(C41=0,0,+E41/C41)</f>
        <v>-5.7152195733829536E-3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909</v>
      </c>
      <c r="C43" s="76">
        <f t="shared" ref="C43:D45" si="0">+C22+C33</f>
        <v>9789775</v>
      </c>
      <c r="D43" s="76">
        <f t="shared" si="0"/>
        <v>9075204</v>
      </c>
      <c r="E43" s="76">
        <f>+D43-C43</f>
        <v>-714571</v>
      </c>
      <c r="F43" s="77">
        <f>IF(C43=0,0,+E43/C43)</f>
        <v>-7.2991565178974996E-2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910</v>
      </c>
      <c r="C44" s="185">
        <f t="shared" si="0"/>
        <v>31049981</v>
      </c>
      <c r="D44" s="185">
        <f t="shared" si="0"/>
        <v>27432128</v>
      </c>
      <c r="E44" s="185">
        <f>+D44-C44</f>
        <v>-3617853</v>
      </c>
      <c r="F44" s="77">
        <f>IF(C44=0,0,+E44/C44)</f>
        <v>-0.1165170761296118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911</v>
      </c>
      <c r="C45" s="185">
        <f t="shared" si="0"/>
        <v>19365105</v>
      </c>
      <c r="D45" s="185">
        <f t="shared" si="0"/>
        <v>23353445</v>
      </c>
      <c r="E45" s="185">
        <f>+D45-C45</f>
        <v>3988340</v>
      </c>
      <c r="F45" s="77">
        <f>IF(C45=0,0,+E45/C45)</f>
        <v>0.20595498965794401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908</v>
      </c>
      <c r="C46" s="79">
        <f>+C43+C44+C45</f>
        <v>60204861</v>
      </c>
      <c r="D46" s="79">
        <f>+D43+D44+D45</f>
        <v>59860777</v>
      </c>
      <c r="E46" s="79">
        <f>+E43+E44+E45</f>
        <v>-344084</v>
      </c>
      <c r="F46" s="80">
        <f>IF(C46=0,0,+E46/C46)</f>
        <v>-5.7152195733829536E-3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26" t="s">
        <v>912</v>
      </c>
      <c r="B48" s="827"/>
      <c r="C48" s="827"/>
      <c r="D48" s="827"/>
      <c r="E48" s="827"/>
      <c r="F48" s="828"/>
    </row>
  </sheetData>
  <mergeCells count="6">
    <mergeCell ref="A48:F48"/>
    <mergeCell ref="A1:F1"/>
    <mergeCell ref="A2:F2"/>
    <mergeCell ref="A3:F3"/>
    <mergeCell ref="A4:F4"/>
    <mergeCell ref="A5:F5"/>
  </mergeCells>
  <pageMargins left="0.25" right="0.25" top="0.5" bottom="0.5" header="0.25" footer="0.25"/>
  <pageSetup paperSize="9" scale="74" orientation="portrait" horizontalDpi="1200" verticalDpi="1200" r:id="rId1"/>
  <headerFooter>
    <oddHeader>_x000D_
                  &amp;LOFFICE OF HEALTH CARE ACCESS&amp;CTWELVE MONTHS ACTUAL FILING&amp;RSTAMFORD HOSPITAL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SheetLayoutView="90" workbookViewId="0">
      <selection activeCell="C15" sqref="C15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32" t="s">
        <v>0</v>
      </c>
      <c r="B2" s="833"/>
      <c r="C2" s="833"/>
      <c r="D2" s="833"/>
      <c r="E2" s="833"/>
      <c r="F2" s="834"/>
    </row>
    <row r="3" spans="1:14" ht="15.75" customHeight="1" x14ac:dyDescent="0.25">
      <c r="A3" s="832" t="s">
        <v>630</v>
      </c>
      <c r="B3" s="833"/>
      <c r="C3" s="833"/>
      <c r="D3" s="833"/>
      <c r="E3" s="833"/>
      <c r="F3" s="834"/>
    </row>
    <row r="4" spans="1:14" ht="15.75" customHeight="1" x14ac:dyDescent="0.25">
      <c r="A4" s="832" t="s">
        <v>2</v>
      </c>
      <c r="B4" s="833"/>
      <c r="C4" s="833"/>
      <c r="D4" s="833"/>
      <c r="E4" s="833"/>
      <c r="F4" s="834"/>
    </row>
    <row r="5" spans="1:14" ht="15.75" customHeight="1" x14ac:dyDescent="0.25">
      <c r="A5" s="832" t="s">
        <v>913</v>
      </c>
      <c r="B5" s="833"/>
      <c r="C5" s="833"/>
      <c r="D5" s="833"/>
      <c r="E5" s="833"/>
      <c r="F5" s="834"/>
    </row>
    <row r="6" spans="1:14" ht="15.75" customHeight="1" x14ac:dyDescent="0.25">
      <c r="A6" s="832" t="s">
        <v>914</v>
      </c>
      <c r="B6" s="833"/>
      <c r="C6" s="833"/>
      <c r="D6" s="833"/>
      <c r="E6" s="833"/>
      <c r="F6" s="834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915</v>
      </c>
      <c r="D10" s="177" t="s">
        <v>915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916</v>
      </c>
      <c r="D11" s="693" t="s">
        <v>916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917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757932744</v>
      </c>
      <c r="D15" s="76">
        <v>803551838</v>
      </c>
      <c r="E15" s="76">
        <f>+D15-C15</f>
        <v>45619094</v>
      </c>
      <c r="F15" s="77">
        <f>IF(C15=0,0,E15/C15)</f>
        <v>6.0188841768788921E-2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918</v>
      </c>
      <c r="C17" s="76">
        <v>440169266</v>
      </c>
      <c r="D17" s="76">
        <v>470899812</v>
      </c>
      <c r="E17" s="76">
        <f>+D17-C17</f>
        <v>30730546</v>
      </c>
      <c r="F17" s="77">
        <f>IF(C17=0,0,E17/C17)</f>
        <v>6.9815292374365817E-2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919</v>
      </c>
      <c r="C19" s="79">
        <f>+C15-C17</f>
        <v>317763478</v>
      </c>
      <c r="D19" s="79">
        <f>+D15-D17</f>
        <v>332652026</v>
      </c>
      <c r="E19" s="79">
        <f>+D19-C19</f>
        <v>14888548</v>
      </c>
      <c r="F19" s="80">
        <f>IF(C19=0,0,E19/C19)</f>
        <v>4.6854182531322876E-2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920</v>
      </c>
      <c r="C21" s="720">
        <f>IF(C15=0,0,C17/C15)</f>
        <v>0.58074976900588948</v>
      </c>
      <c r="D21" s="720">
        <f>IF(D15=0,0,D17/D15)</f>
        <v>0.58602294180801806</v>
      </c>
      <c r="E21" s="720">
        <f>+D21-C21</f>
        <v>5.2731728021285784E-3</v>
      </c>
      <c r="F21" s="80">
        <f>IF(C21=0,0,E21/C21)</f>
        <v>9.0799395601224974E-3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921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6:F26"/>
    <mergeCell ref="A2:F2"/>
    <mergeCell ref="A3:F3"/>
    <mergeCell ref="A4:F4"/>
    <mergeCell ref="A5:F5"/>
    <mergeCell ref="A6:F6"/>
  </mergeCells>
  <pageMargins left="0.25" right="0.25" top="0.5" bottom="0.5" header="0.25" footer="0.5"/>
  <pageSetup scale="90" orientation="landscape" horizontalDpi="1200" verticalDpi="1200" r:id="rId1"/>
  <headerFooter>
    <oddHeader>&amp;L&amp;12OFFICE OF HEALTH CARE ACCESS&amp;C&amp;12TWELVE MONTHS ACTUAL FILING&amp;R&amp;12STAMFORD HOSPITAL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zoomScale="75" workbookViewId="0">
      <selection activeCell="A8" sqref="A8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922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923</v>
      </c>
      <c r="B6" s="734" t="s">
        <v>924</v>
      </c>
      <c r="C6" s="734" t="s">
        <v>925</v>
      </c>
      <c r="D6" s="734" t="s">
        <v>926</v>
      </c>
      <c r="E6" s="734" t="s">
        <v>927</v>
      </c>
    </row>
    <row r="7" spans="1:6" ht="37.5" customHeight="1" x14ac:dyDescent="0.25">
      <c r="A7" s="735" t="s">
        <v>8</v>
      </c>
      <c r="B7" s="736" t="s">
        <v>9</v>
      </c>
      <c r="C7" s="737" t="s">
        <v>928</v>
      </c>
      <c r="D7" s="737" t="s">
        <v>929</v>
      </c>
      <c r="E7" s="737" t="s">
        <v>930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931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932</v>
      </c>
      <c r="C10" s="744">
        <v>628346314</v>
      </c>
      <c r="D10" s="744">
        <v>656432125</v>
      </c>
      <c r="E10" s="744">
        <v>677308817</v>
      </c>
    </row>
    <row r="11" spans="1:6" ht="26.1" customHeight="1" x14ac:dyDescent="0.25">
      <c r="A11" s="742">
        <v>2</v>
      </c>
      <c r="B11" s="743" t="s">
        <v>933</v>
      </c>
      <c r="C11" s="744">
        <v>1150686140</v>
      </c>
      <c r="D11" s="744">
        <v>1216016561</v>
      </c>
      <c r="E11" s="744">
        <v>1340795454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1779032454</v>
      </c>
      <c r="D12" s="744">
        <f>+D11+D10</f>
        <v>1872448686</v>
      </c>
      <c r="E12" s="744">
        <f>+E11+E10</f>
        <v>2018104271</v>
      </c>
    </row>
    <row r="13" spans="1:6" ht="26.1" customHeight="1" x14ac:dyDescent="0.25">
      <c r="A13" s="742">
        <v>4</v>
      </c>
      <c r="B13" s="743" t="s">
        <v>507</v>
      </c>
      <c r="C13" s="744">
        <v>457806205</v>
      </c>
      <c r="D13" s="744">
        <v>476412504</v>
      </c>
      <c r="E13" s="744">
        <v>494195662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934</v>
      </c>
      <c r="C16" s="744">
        <v>443491017</v>
      </c>
      <c r="D16" s="744">
        <v>447673528</v>
      </c>
      <c r="E16" s="744">
        <v>473410966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935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71084</v>
      </c>
      <c r="D19" s="747">
        <v>73202</v>
      </c>
      <c r="E19" s="747">
        <v>71449</v>
      </c>
    </row>
    <row r="20" spans="1:5" ht="26.1" customHeight="1" x14ac:dyDescent="0.25">
      <c r="A20" s="742">
        <v>2</v>
      </c>
      <c r="B20" s="743" t="s">
        <v>381</v>
      </c>
      <c r="C20" s="748">
        <v>14848</v>
      </c>
      <c r="D20" s="748">
        <v>14847</v>
      </c>
      <c r="E20" s="748">
        <v>14905</v>
      </c>
    </row>
    <row r="21" spans="1:5" ht="26.1" customHeight="1" x14ac:dyDescent="0.25">
      <c r="A21" s="742">
        <v>3</v>
      </c>
      <c r="B21" s="743" t="s">
        <v>936</v>
      </c>
      <c r="C21" s="749">
        <f>IF(C20=0,0,+C19/C20)</f>
        <v>4.7874461206896548</v>
      </c>
      <c r="D21" s="749">
        <f>IF(D20=0,0,+D19/D20)</f>
        <v>4.930423654610359</v>
      </c>
      <c r="E21" s="749">
        <f>IF(E20=0,0,+E19/E20)</f>
        <v>4.7936262998993628</v>
      </c>
    </row>
    <row r="22" spans="1:5" ht="26.1" customHeight="1" x14ac:dyDescent="0.25">
      <c r="A22" s="742">
        <v>4</v>
      </c>
      <c r="B22" s="743" t="s">
        <v>937</v>
      </c>
      <c r="C22" s="748">
        <f>IF(C10=0,0,C19*(C12/C10))</f>
        <v>201259.62409980176</v>
      </c>
      <c r="D22" s="748">
        <f>IF(D10=0,0,D19*(D12/D10))</f>
        <v>208806.03415405971</v>
      </c>
      <c r="E22" s="748">
        <f>IF(E10=0,0,E19*(E12/E10))</f>
        <v>212888.90449905215</v>
      </c>
    </row>
    <row r="23" spans="1:5" ht="26.1" customHeight="1" x14ac:dyDescent="0.25">
      <c r="A23" s="742">
        <v>0</v>
      </c>
      <c r="B23" s="743" t="s">
        <v>938</v>
      </c>
      <c r="C23" s="748">
        <f>IF(C10=0,0,C20*(C12/C10))</f>
        <v>42039.036894854769</v>
      </c>
      <c r="D23" s="748">
        <f>IF(D10=0,0,D20*(D12/D10))</f>
        <v>42350.525792810644</v>
      </c>
      <c r="E23" s="748">
        <f>IF(E10=0,0,E20*(E12/E10))</f>
        <v>44410.826205522433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939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1.2474442739762934</v>
      </c>
      <c r="D26" s="750">
        <v>1.2763182717047215</v>
      </c>
      <c r="E26" s="750">
        <v>1.3260818369674607</v>
      </c>
    </row>
    <row r="27" spans="1:5" ht="26.1" customHeight="1" x14ac:dyDescent="0.25">
      <c r="A27" s="742">
        <v>2</v>
      </c>
      <c r="B27" s="743" t="s">
        <v>940</v>
      </c>
      <c r="C27" s="748">
        <f>C19*C26</f>
        <v>88673.328771330838</v>
      </c>
      <c r="D27" s="748">
        <f>D19*D26</f>
        <v>93429.050125329013</v>
      </c>
      <c r="E27" s="748">
        <f>E19*E26</f>
        <v>94747.221169488097</v>
      </c>
    </row>
    <row r="28" spans="1:5" ht="26.1" customHeight="1" x14ac:dyDescent="0.25">
      <c r="A28" s="742">
        <v>3</v>
      </c>
      <c r="B28" s="743" t="s">
        <v>941</v>
      </c>
      <c r="C28" s="748">
        <f>C20*C26</f>
        <v>18522.052580000003</v>
      </c>
      <c r="D28" s="748">
        <f>D20*D26</f>
        <v>18949.497380000001</v>
      </c>
      <c r="E28" s="748">
        <f>E20*E26</f>
        <v>19765.249780000002</v>
      </c>
    </row>
    <row r="29" spans="1:5" ht="26.1" customHeight="1" x14ac:dyDescent="0.25">
      <c r="A29" s="742">
        <v>4</v>
      </c>
      <c r="B29" s="743" t="s">
        <v>942</v>
      </c>
      <c r="C29" s="748">
        <f>C22*C26</f>
        <v>251060.16566591893</v>
      </c>
      <c r="D29" s="748">
        <f>D22*D26</f>
        <v>266502.95663302654</v>
      </c>
      <c r="E29" s="748">
        <f>E22*E26</f>
        <v>282308.1095480934</v>
      </c>
    </row>
    <row r="30" spans="1:5" ht="26.1" customHeight="1" x14ac:dyDescent="0.25">
      <c r="A30" s="742">
        <v>5</v>
      </c>
      <c r="B30" s="743" t="s">
        <v>943</v>
      </c>
      <c r="C30" s="748">
        <f>C23*C26</f>
        <v>52441.355857964722</v>
      </c>
      <c r="D30" s="748">
        <f>D23*D26</f>
        <v>54052.749885666308</v>
      </c>
      <c r="E30" s="748">
        <f>E23*E26</f>
        <v>58892.389995861835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944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945</v>
      </c>
      <c r="C33" s="744">
        <f>IF(C19=0,0,C12/C19)</f>
        <v>25027.185498846437</v>
      </c>
      <c r="D33" s="744">
        <f>IF(D19=0,0,D12/D19)</f>
        <v>25579.201196688617</v>
      </c>
      <c r="E33" s="744">
        <f>IF(E19=0,0,E12/E19)</f>
        <v>28245.38161485815</v>
      </c>
    </row>
    <row r="34" spans="1:5" ht="26.1" customHeight="1" x14ac:dyDescent="0.25">
      <c r="A34" s="742">
        <v>2</v>
      </c>
      <c r="B34" s="743" t="s">
        <v>946</v>
      </c>
      <c r="C34" s="744">
        <f>IF(C20=0,0,C12/C20)</f>
        <v>119816.30212823275</v>
      </c>
      <c r="D34" s="744">
        <f>IF(D20=0,0,D12/D20)</f>
        <v>126116.29864619115</v>
      </c>
      <c r="E34" s="744">
        <f>IF(E20=0,0,E12/E20)</f>
        <v>135397.80415967797</v>
      </c>
    </row>
    <row r="35" spans="1:5" ht="26.1" customHeight="1" x14ac:dyDescent="0.25">
      <c r="A35" s="742">
        <v>3</v>
      </c>
      <c r="B35" s="743" t="s">
        <v>947</v>
      </c>
      <c r="C35" s="744">
        <f>IF(C22=0,0,C12/C22)</f>
        <v>8839.4900962241845</v>
      </c>
      <c r="D35" s="744">
        <f>IF(D22=0,0,D12/D22)</f>
        <v>8967.4069697549257</v>
      </c>
      <c r="E35" s="744">
        <f>IF(E22=0,0,E12/E22)</f>
        <v>9479.6122688910982</v>
      </c>
    </row>
    <row r="36" spans="1:5" ht="26.1" customHeight="1" x14ac:dyDescent="0.25">
      <c r="A36" s="742">
        <v>4</v>
      </c>
      <c r="B36" s="743" t="s">
        <v>948</v>
      </c>
      <c r="C36" s="744">
        <f>IF(C23=0,0,C12/C23)</f>
        <v>42318.582570043101</v>
      </c>
      <c r="D36" s="744">
        <f>IF(D23=0,0,D12/D23)</f>
        <v>44213.11544419748</v>
      </c>
      <c r="E36" s="744">
        <f>IF(E23=0,0,E12/E23)</f>
        <v>45441.718685005035</v>
      </c>
    </row>
    <row r="37" spans="1:5" ht="26.1" customHeight="1" x14ac:dyDescent="0.25">
      <c r="A37" s="742">
        <v>5</v>
      </c>
      <c r="B37" s="743" t="s">
        <v>949</v>
      </c>
      <c r="C37" s="744">
        <f>IF(C29=0,0,C12/C29)</f>
        <v>7086.0801405162983</v>
      </c>
      <c r="D37" s="744">
        <f>IF(D29=0,0,D12/D29)</f>
        <v>7025.9959201066349</v>
      </c>
      <c r="E37" s="744">
        <f>IF(E29=0,0,E12/E29)</f>
        <v>7148.5876697998292</v>
      </c>
    </row>
    <row r="38" spans="1:5" ht="26.1" customHeight="1" x14ac:dyDescent="0.25">
      <c r="A38" s="742">
        <v>6</v>
      </c>
      <c r="B38" s="743" t="s">
        <v>950</v>
      </c>
      <c r="C38" s="744">
        <f>IF(C30=0,0,C12/C30)</f>
        <v>33924.22687961076</v>
      </c>
      <c r="D38" s="744">
        <f>IF(D30=0,0,D12/D30)</f>
        <v>34641.136481689631</v>
      </c>
      <c r="E38" s="744">
        <f>IF(E30=0,0,E12/E30)</f>
        <v>34267.657861088759</v>
      </c>
    </row>
    <row r="39" spans="1:5" ht="26.1" customHeight="1" x14ac:dyDescent="0.25">
      <c r="A39" s="742">
        <v>7</v>
      </c>
      <c r="B39" s="743" t="s">
        <v>951</v>
      </c>
      <c r="C39" s="744">
        <f>IF(C22=0,0,C10/C22)</f>
        <v>3122.068406966775</v>
      </c>
      <c r="D39" s="744">
        <f>IF(D22=0,0,D10/D22)</f>
        <v>3143.7411646623013</v>
      </c>
      <c r="E39" s="744">
        <f>IF(E22=0,0,E10/E22)</f>
        <v>3181.512998968979</v>
      </c>
    </row>
    <row r="40" spans="1:5" ht="26.1" customHeight="1" x14ac:dyDescent="0.25">
      <c r="A40" s="742">
        <v>8</v>
      </c>
      <c r="B40" s="743" t="s">
        <v>952</v>
      </c>
      <c r="C40" s="744">
        <f>IF(C23=0,0,C10/C23)</f>
        <v>14946.734283460819</v>
      </c>
      <c r="D40" s="744">
        <f>IF(D23=0,0,D10/D23)</f>
        <v>15499.975802223331</v>
      </c>
      <c r="E40" s="744">
        <f>IF(E23=0,0,E10/E23)</f>
        <v>15250.984385329391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953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954</v>
      </c>
      <c r="C43" s="744">
        <f>IF(C19=0,0,C13/C19)</f>
        <v>6440.3551432108488</v>
      </c>
      <c r="D43" s="744">
        <f>IF(D19=0,0,D13/D19)</f>
        <v>6508.1897215923063</v>
      </c>
      <c r="E43" s="744">
        <f>IF(E19=0,0,E13/E19)</f>
        <v>6916.7610743327405</v>
      </c>
    </row>
    <row r="44" spans="1:5" ht="26.1" customHeight="1" x14ac:dyDescent="0.25">
      <c r="A44" s="742">
        <v>2</v>
      </c>
      <c r="B44" s="743" t="s">
        <v>955</v>
      </c>
      <c r="C44" s="744">
        <f>IF(C20=0,0,C13/C20)</f>
        <v>30832.853246228449</v>
      </c>
      <c r="D44" s="744">
        <f>IF(D20=0,0,D13/D20)</f>
        <v>32088.132552030715</v>
      </c>
      <c r="E44" s="744">
        <f>IF(E20=0,0,E13/E20)</f>
        <v>33156.367796041595</v>
      </c>
    </row>
    <row r="45" spans="1:5" ht="26.1" customHeight="1" x14ac:dyDescent="0.25">
      <c r="A45" s="742">
        <v>3</v>
      </c>
      <c r="B45" s="743" t="s">
        <v>956</v>
      </c>
      <c r="C45" s="744">
        <f>IF(C22=0,0,C13/C22)</f>
        <v>2274.704660945707</v>
      </c>
      <c r="D45" s="744">
        <f>IF(D22=0,0,D13/D22)</f>
        <v>2281.6031439421758</v>
      </c>
      <c r="E45" s="744">
        <f>IF(E22=0,0,E13/E22)</f>
        <v>2321.3782003476858</v>
      </c>
    </row>
    <row r="46" spans="1:5" ht="26.1" customHeight="1" x14ac:dyDescent="0.25">
      <c r="A46" s="742">
        <v>4</v>
      </c>
      <c r="B46" s="743" t="s">
        <v>957</v>
      </c>
      <c r="C46" s="744">
        <f>IF(C23=0,0,C13/C23)</f>
        <v>10890.026004759202</v>
      </c>
      <c r="D46" s="744">
        <f>IF(D23=0,0,D13/D23)</f>
        <v>11249.270111325866</v>
      </c>
      <c r="E46" s="744">
        <f>IF(E23=0,0,E13/E23)</f>
        <v>11127.819593199718</v>
      </c>
    </row>
    <row r="47" spans="1:5" ht="26.1" customHeight="1" x14ac:dyDescent="0.25">
      <c r="A47" s="742">
        <v>5</v>
      </c>
      <c r="B47" s="743" t="s">
        <v>958</v>
      </c>
      <c r="C47" s="744">
        <f>IF(C29=0,0,C13/C29)</f>
        <v>1823.4920055346181</v>
      </c>
      <c r="D47" s="744">
        <f>IF(D29=0,0,D13/D29)</f>
        <v>1787.6443474359576</v>
      </c>
      <c r="E47" s="744">
        <f>IF(E29=0,0,E13/E29)</f>
        <v>1750.5542536170392</v>
      </c>
    </row>
    <row r="48" spans="1:5" ht="26.1" customHeight="1" x14ac:dyDescent="0.25">
      <c r="A48" s="742">
        <v>6</v>
      </c>
      <c r="B48" s="743" t="s">
        <v>959</v>
      </c>
      <c r="C48" s="744">
        <f>IF(C30=0,0,C13/C30)</f>
        <v>8729.8697280053075</v>
      </c>
      <c r="D48" s="744">
        <f>IF(D30=0,0,D13/D30)</f>
        <v>8813.8439766287429</v>
      </c>
      <c r="E48" s="744">
        <f>IF(E30=0,0,E13/E30)</f>
        <v>8391.5029095393384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960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961</v>
      </c>
      <c r="C51" s="744">
        <f>IF(C19=0,0,C16/C19)</f>
        <v>6238.9710342693152</v>
      </c>
      <c r="D51" s="744">
        <f>IF(D19=0,0,D16/D19)</f>
        <v>6115.5914865714049</v>
      </c>
      <c r="E51" s="744">
        <f>IF(E19=0,0,E16/E19)</f>
        <v>6625.8585284608598</v>
      </c>
    </row>
    <row r="52" spans="1:6" ht="26.1" customHeight="1" x14ac:dyDescent="0.25">
      <c r="A52" s="742">
        <v>2</v>
      </c>
      <c r="B52" s="743" t="s">
        <v>962</v>
      </c>
      <c r="C52" s="744">
        <f>IF(C20=0,0,C16/C20)</f>
        <v>29868.737675107757</v>
      </c>
      <c r="D52" s="744">
        <f>IF(D20=0,0,D16/D20)</f>
        <v>30152.456927325387</v>
      </c>
      <c r="E52" s="744">
        <f>IF(E20=0,0,E16/E20)</f>
        <v>31761.889701442469</v>
      </c>
    </row>
    <row r="53" spans="1:6" ht="26.1" customHeight="1" x14ac:dyDescent="0.25">
      <c r="A53" s="742">
        <v>3</v>
      </c>
      <c r="B53" s="743" t="s">
        <v>963</v>
      </c>
      <c r="C53" s="744">
        <f>IF(C22=0,0,C16/C22)</f>
        <v>2203.5766934558078</v>
      </c>
      <c r="D53" s="744">
        <f>IF(D22=0,0,D16/D22)</f>
        <v>2143.9683475320489</v>
      </c>
      <c r="E53" s="744">
        <f>IF(E22=0,0,E16/E22)</f>
        <v>2223.7465457111589</v>
      </c>
    </row>
    <row r="54" spans="1:6" ht="26.1" customHeight="1" x14ac:dyDescent="0.25">
      <c r="A54" s="742">
        <v>4</v>
      </c>
      <c r="B54" s="743" t="s">
        <v>964</v>
      </c>
      <c r="C54" s="744">
        <f>IF(C23=0,0,C16/C23)</f>
        <v>10549.504692727145</v>
      </c>
      <c r="D54" s="744">
        <f>IF(D23=0,0,D16/D23)</f>
        <v>10570.672255407897</v>
      </c>
      <c r="E54" s="744">
        <f>IF(E23=0,0,E16/E23)</f>
        <v>10659.80992583137</v>
      </c>
    </row>
    <row r="55" spans="1:6" ht="26.1" customHeight="1" x14ac:dyDescent="0.25">
      <c r="A55" s="742">
        <v>5</v>
      </c>
      <c r="B55" s="743" t="s">
        <v>965</v>
      </c>
      <c r="C55" s="744">
        <f>IF(C29=0,0,C16/C29)</f>
        <v>1766.4730516833372</v>
      </c>
      <c r="D55" s="744">
        <f>IF(D29=0,0,D16/D29)</f>
        <v>1679.8069847174138</v>
      </c>
      <c r="E55" s="744">
        <f>IF(E29=0,0,E16/E29)</f>
        <v>1676.9300986706182</v>
      </c>
    </row>
    <row r="56" spans="1:6" ht="26.1" customHeight="1" x14ac:dyDescent="0.25">
      <c r="A56" s="742">
        <v>6</v>
      </c>
      <c r="B56" s="743" t="s">
        <v>966</v>
      </c>
      <c r="C56" s="744">
        <f>IF(C30=0,0,C16/C30)</f>
        <v>8456.8945585842084</v>
      </c>
      <c r="D56" s="744">
        <f>IF(D30=0,0,D16/D30)</f>
        <v>8282.1600926304382</v>
      </c>
      <c r="E56" s="744">
        <f>IF(E30=0,0,E16/E30)</f>
        <v>8038.5762240803087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967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968</v>
      </c>
      <c r="C59" s="752">
        <v>56682682</v>
      </c>
      <c r="D59" s="752">
        <v>57680343</v>
      </c>
      <c r="E59" s="752">
        <v>61043001</v>
      </c>
    </row>
    <row r="60" spans="1:6" ht="26.1" customHeight="1" x14ac:dyDescent="0.25">
      <c r="A60" s="742">
        <v>2</v>
      </c>
      <c r="B60" s="743" t="s">
        <v>969</v>
      </c>
      <c r="C60" s="752">
        <v>14315699</v>
      </c>
      <c r="D60" s="752">
        <v>14861218</v>
      </c>
      <c r="E60" s="752">
        <v>15743256</v>
      </c>
    </row>
    <row r="61" spans="1:6" ht="26.1" customHeight="1" x14ac:dyDescent="0.25">
      <c r="A61" s="753">
        <v>3</v>
      </c>
      <c r="B61" s="754" t="s">
        <v>970</v>
      </c>
      <c r="C61" s="755">
        <f>C59+C60</f>
        <v>70998381</v>
      </c>
      <c r="D61" s="755">
        <f>D59+D60</f>
        <v>72541561</v>
      </c>
      <c r="E61" s="755">
        <f>E59+E60</f>
        <v>76786257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971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972</v>
      </c>
      <c r="C64" s="744">
        <v>23802174</v>
      </c>
      <c r="D64" s="744">
        <v>24318376</v>
      </c>
      <c r="E64" s="752">
        <v>25323702</v>
      </c>
      <c r="F64" s="756"/>
    </row>
    <row r="65" spans="1:6" ht="26.1" customHeight="1" x14ac:dyDescent="0.25">
      <c r="A65" s="742">
        <v>2</v>
      </c>
      <c r="B65" s="743" t="s">
        <v>973</v>
      </c>
      <c r="C65" s="752">
        <v>6011575</v>
      </c>
      <c r="D65" s="752">
        <v>6268293</v>
      </c>
      <c r="E65" s="752">
        <v>6531093</v>
      </c>
      <c r="F65" s="756"/>
    </row>
    <row r="66" spans="1:6" ht="26.1" customHeight="1" x14ac:dyDescent="0.25">
      <c r="A66" s="753">
        <v>3</v>
      </c>
      <c r="B66" s="754" t="s">
        <v>974</v>
      </c>
      <c r="C66" s="757">
        <f>C64+C65</f>
        <v>29813749</v>
      </c>
      <c r="D66" s="757">
        <f>D64+D65</f>
        <v>30586669</v>
      </c>
      <c r="E66" s="757">
        <f>E64+E65</f>
        <v>31854795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975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976</v>
      </c>
      <c r="C69" s="752">
        <v>102909633</v>
      </c>
      <c r="D69" s="752">
        <v>105564140</v>
      </c>
      <c r="E69" s="752">
        <v>106668123</v>
      </c>
    </row>
    <row r="70" spans="1:6" ht="26.1" customHeight="1" x14ac:dyDescent="0.25">
      <c r="A70" s="742">
        <v>2</v>
      </c>
      <c r="B70" s="743" t="s">
        <v>977</v>
      </c>
      <c r="C70" s="752">
        <v>25986862</v>
      </c>
      <c r="D70" s="752">
        <v>27199654</v>
      </c>
      <c r="E70" s="752">
        <v>27510173</v>
      </c>
    </row>
    <row r="71" spans="1:6" ht="26.1" customHeight="1" x14ac:dyDescent="0.25">
      <c r="A71" s="753">
        <v>3</v>
      </c>
      <c r="B71" s="754" t="s">
        <v>978</v>
      </c>
      <c r="C71" s="755">
        <f>C69+C70</f>
        <v>128896495</v>
      </c>
      <c r="D71" s="755">
        <f>D69+D70</f>
        <v>132763794</v>
      </c>
      <c r="E71" s="755">
        <f>E69+E70</f>
        <v>134178296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979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980</v>
      </c>
      <c r="C75" s="744">
        <f t="shared" ref="C75:E76" si="0">+C59+C64+C69</f>
        <v>183394489</v>
      </c>
      <c r="D75" s="744">
        <f t="shared" si="0"/>
        <v>187562859</v>
      </c>
      <c r="E75" s="744">
        <f t="shared" si="0"/>
        <v>193034826</v>
      </c>
    </row>
    <row r="76" spans="1:6" ht="26.1" customHeight="1" x14ac:dyDescent="0.25">
      <c r="A76" s="742">
        <v>2</v>
      </c>
      <c r="B76" s="743" t="s">
        <v>981</v>
      </c>
      <c r="C76" s="744">
        <f t="shared" si="0"/>
        <v>46314136</v>
      </c>
      <c r="D76" s="744">
        <f t="shared" si="0"/>
        <v>48329165</v>
      </c>
      <c r="E76" s="744">
        <f t="shared" si="0"/>
        <v>49784522</v>
      </c>
    </row>
    <row r="77" spans="1:6" ht="26.1" customHeight="1" x14ac:dyDescent="0.25">
      <c r="A77" s="753">
        <v>3</v>
      </c>
      <c r="B77" s="754" t="s">
        <v>979</v>
      </c>
      <c r="C77" s="757">
        <f>C75+C76</f>
        <v>229708625</v>
      </c>
      <c r="D77" s="757">
        <f>D75+D76</f>
        <v>235892024</v>
      </c>
      <c r="E77" s="757">
        <f>E75+E76</f>
        <v>242819348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982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791.8</v>
      </c>
      <c r="D80" s="749">
        <v>803.7</v>
      </c>
      <c r="E80" s="749">
        <v>800.6</v>
      </c>
    </row>
    <row r="81" spans="1:5" ht="26.1" customHeight="1" x14ac:dyDescent="0.25">
      <c r="A81" s="742">
        <v>2</v>
      </c>
      <c r="B81" s="743" t="s">
        <v>617</v>
      </c>
      <c r="C81" s="749">
        <v>113.3</v>
      </c>
      <c r="D81" s="749">
        <v>116.5</v>
      </c>
      <c r="E81" s="749">
        <v>117.2</v>
      </c>
    </row>
    <row r="82" spans="1:5" ht="26.1" customHeight="1" x14ac:dyDescent="0.25">
      <c r="A82" s="742">
        <v>3</v>
      </c>
      <c r="B82" s="743" t="s">
        <v>983</v>
      </c>
      <c r="C82" s="749">
        <v>1051.5999999999999</v>
      </c>
      <c r="D82" s="749">
        <v>1058.5</v>
      </c>
      <c r="E82" s="749">
        <v>1105.2</v>
      </c>
    </row>
    <row r="83" spans="1:5" ht="26.1" customHeight="1" x14ac:dyDescent="0.25">
      <c r="A83" s="753">
        <v>4</v>
      </c>
      <c r="B83" s="754" t="s">
        <v>982</v>
      </c>
      <c r="C83" s="759">
        <f>C80+C81+C82</f>
        <v>1956.6999999999998</v>
      </c>
      <c r="D83" s="759">
        <f>D80+D81+D82</f>
        <v>1978.7</v>
      </c>
      <c r="E83" s="759">
        <f>E80+E81+E82</f>
        <v>2023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984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985</v>
      </c>
      <c r="C86" s="752">
        <f>IF(C80=0,0,C59/C80)</f>
        <v>71587.120484970961</v>
      </c>
      <c r="D86" s="752">
        <f>IF(D80=0,0,D59/D80)</f>
        <v>71768.499440089581</v>
      </c>
      <c r="E86" s="752">
        <f>IF(E80=0,0,E59/E80)</f>
        <v>76246.566325256063</v>
      </c>
    </row>
    <row r="87" spans="1:5" ht="26.1" customHeight="1" x14ac:dyDescent="0.25">
      <c r="A87" s="742">
        <v>2</v>
      </c>
      <c r="B87" s="743" t="s">
        <v>986</v>
      </c>
      <c r="C87" s="752">
        <f>IF(C80=0,0,C60/C80)</f>
        <v>18079.943167466532</v>
      </c>
      <c r="D87" s="752">
        <f>IF(D80=0,0,D60/D80)</f>
        <v>18491.001617518974</v>
      </c>
      <c r="E87" s="752">
        <f>IF(E80=0,0,E60/E80)</f>
        <v>19664.321758680988</v>
      </c>
    </row>
    <row r="88" spans="1:5" ht="26.1" customHeight="1" x14ac:dyDescent="0.25">
      <c r="A88" s="753">
        <v>3</v>
      </c>
      <c r="B88" s="754" t="s">
        <v>987</v>
      </c>
      <c r="C88" s="755">
        <f>+C86+C87</f>
        <v>89667.0636524375</v>
      </c>
      <c r="D88" s="755">
        <f>+D86+D87</f>
        <v>90259.501057608548</v>
      </c>
      <c r="E88" s="755">
        <f>+E86+E87</f>
        <v>95910.888083937054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988</v>
      </c>
    </row>
    <row r="91" spans="1:5" ht="26.1" customHeight="1" x14ac:dyDescent="0.25">
      <c r="A91" s="742">
        <v>1</v>
      </c>
      <c r="B91" s="743" t="s">
        <v>989</v>
      </c>
      <c r="C91" s="744">
        <f>IF(C81=0,0,C64/C81)</f>
        <v>210080.97087378643</v>
      </c>
      <c r="D91" s="744">
        <f>IF(D81=0,0,D64/D81)</f>
        <v>208741.42489270386</v>
      </c>
      <c r="E91" s="744">
        <f>IF(E81=0,0,E64/E81)</f>
        <v>216072.54266211603</v>
      </c>
    </row>
    <row r="92" spans="1:5" ht="26.1" customHeight="1" x14ac:dyDescent="0.25">
      <c r="A92" s="742">
        <v>2</v>
      </c>
      <c r="B92" s="743" t="s">
        <v>990</v>
      </c>
      <c r="C92" s="744">
        <f>IF(C81=0,0,C65/C81)</f>
        <v>53058.914386584293</v>
      </c>
      <c r="D92" s="744">
        <f>IF(D81=0,0,D65/D81)</f>
        <v>53805.090128755364</v>
      </c>
      <c r="E92" s="744">
        <f>IF(E81=0,0,E65/E81)</f>
        <v>55726.049488054603</v>
      </c>
    </row>
    <row r="93" spans="1:5" ht="26.1" customHeight="1" x14ac:dyDescent="0.25">
      <c r="A93" s="753">
        <v>3</v>
      </c>
      <c r="B93" s="754" t="s">
        <v>991</v>
      </c>
      <c r="C93" s="757">
        <f>+C91+C92</f>
        <v>263139.88526037073</v>
      </c>
      <c r="D93" s="757">
        <f>+D91+D92</f>
        <v>262546.5150214592</v>
      </c>
      <c r="E93" s="757">
        <f>+E91+E92</f>
        <v>271798.59215017065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992</v>
      </c>
      <c r="B95" s="745" t="s">
        <v>993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994</v>
      </c>
      <c r="C96" s="752">
        <f>IF(C82=0,0,C69/C82)</f>
        <v>97860.054203119071</v>
      </c>
      <c r="D96" s="752">
        <f>IF(D82=0,0,D69/D82)</f>
        <v>99729.938592347666</v>
      </c>
      <c r="E96" s="752">
        <f>IF(E82=0,0,E69/E82)</f>
        <v>96514.769272529855</v>
      </c>
    </row>
    <row r="97" spans="1:5" ht="26.1" customHeight="1" x14ac:dyDescent="0.25">
      <c r="A97" s="742">
        <v>2</v>
      </c>
      <c r="B97" s="743" t="s">
        <v>995</v>
      </c>
      <c r="C97" s="752">
        <f>IF(C82=0,0,C70/C82)</f>
        <v>24711.736401673643</v>
      </c>
      <c r="D97" s="752">
        <f>IF(D82=0,0,D70/D82)</f>
        <v>25696.413793103449</v>
      </c>
      <c r="E97" s="752">
        <f>IF(E82=0,0,E70/E82)</f>
        <v>24891.578899746652</v>
      </c>
    </row>
    <row r="98" spans="1:5" ht="26.1" customHeight="1" x14ac:dyDescent="0.25">
      <c r="A98" s="753">
        <v>3</v>
      </c>
      <c r="B98" s="754" t="s">
        <v>996</v>
      </c>
      <c r="C98" s="757">
        <f>+C96+C97</f>
        <v>122571.79060479271</v>
      </c>
      <c r="D98" s="757">
        <f>+D96+D97</f>
        <v>125426.35238545111</v>
      </c>
      <c r="E98" s="757">
        <f>+E96+E97</f>
        <v>121406.34817227651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997</v>
      </c>
      <c r="B100" s="745" t="s">
        <v>998</v>
      </c>
    </row>
    <row r="101" spans="1:5" ht="26.1" customHeight="1" x14ac:dyDescent="0.25">
      <c r="A101" s="742">
        <v>1</v>
      </c>
      <c r="B101" s="743" t="s">
        <v>999</v>
      </c>
      <c r="C101" s="744">
        <f>IF(C83=0,0,C75/C83)</f>
        <v>93726.421526038743</v>
      </c>
      <c r="D101" s="744">
        <f>IF(D83=0,0,D75/D83)</f>
        <v>94790.953151058769</v>
      </c>
      <c r="E101" s="744">
        <f>IF(E83=0,0,E75/E83)</f>
        <v>95420.082056351952</v>
      </c>
    </row>
    <row r="102" spans="1:5" ht="26.1" customHeight="1" x14ac:dyDescent="0.25">
      <c r="A102" s="742">
        <v>2</v>
      </c>
      <c r="B102" s="743" t="s">
        <v>1000</v>
      </c>
      <c r="C102" s="761">
        <f>IF(C83=0,0,C76/C83)</f>
        <v>23669.51295548628</v>
      </c>
      <c r="D102" s="761">
        <f>IF(D83=0,0,D76/D83)</f>
        <v>24424.705614797593</v>
      </c>
      <c r="E102" s="761">
        <f>IF(E83=0,0,E76/E83)</f>
        <v>24609.254572417201</v>
      </c>
    </row>
    <row r="103" spans="1:5" ht="26.1" customHeight="1" x14ac:dyDescent="0.25">
      <c r="A103" s="753">
        <v>3</v>
      </c>
      <c r="B103" s="754" t="s">
        <v>998</v>
      </c>
      <c r="C103" s="757">
        <f>+C101+C102</f>
        <v>117395.93448152502</v>
      </c>
      <c r="D103" s="757">
        <f>+D101+D102</f>
        <v>119215.65876585637</v>
      </c>
      <c r="E103" s="757">
        <f>+E101+E102</f>
        <v>120029.33662876915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1001</v>
      </c>
      <c r="B107" s="736" t="s">
        <v>1002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1003</v>
      </c>
      <c r="C108" s="744">
        <f>IF(C19=0,0,C77/C19)</f>
        <v>3231.5095520792302</v>
      </c>
      <c r="D108" s="744">
        <f>IF(D19=0,0,D77/D19)</f>
        <v>3222.4805879620776</v>
      </c>
      <c r="E108" s="744">
        <f>IF(E19=0,0,E77/E19)</f>
        <v>3398.498901314224</v>
      </c>
    </row>
    <row r="109" spans="1:5" ht="26.1" customHeight="1" x14ac:dyDescent="0.25">
      <c r="A109" s="742">
        <v>2</v>
      </c>
      <c r="B109" s="743" t="s">
        <v>1004</v>
      </c>
      <c r="C109" s="744">
        <f>IF(C20=0,0,C77/C20)</f>
        <v>15470.677869073275</v>
      </c>
      <c r="D109" s="744">
        <f>IF(D20=0,0,D77/D20)</f>
        <v>15888.194517410924</v>
      </c>
      <c r="E109" s="744">
        <f>IF(E20=0,0,E77/E20)</f>
        <v>16291.133713518953</v>
      </c>
    </row>
    <row r="110" spans="1:5" ht="26.1" customHeight="1" x14ac:dyDescent="0.25">
      <c r="A110" s="742">
        <v>3</v>
      </c>
      <c r="B110" s="743" t="s">
        <v>1005</v>
      </c>
      <c r="C110" s="744">
        <f>IF(C22=0,0,C77/C22)</f>
        <v>1141.354735344685</v>
      </c>
      <c r="D110" s="744">
        <f>IF(D22=0,0,D77/D22)</f>
        <v>1129.7184248322819</v>
      </c>
      <c r="E110" s="744">
        <f>IF(E22=0,0,E77/E22)</f>
        <v>1140.5918432967517</v>
      </c>
    </row>
    <row r="111" spans="1:5" ht="26.1" customHeight="1" x14ac:dyDescent="0.25">
      <c r="A111" s="742">
        <v>4</v>
      </c>
      <c r="B111" s="743" t="s">
        <v>1006</v>
      </c>
      <c r="C111" s="744">
        <f>IF(C23=0,0,C77/C23)</f>
        <v>5464.1743000566803</v>
      </c>
      <c r="D111" s="744">
        <f>IF(D23=0,0,D77/D23)</f>
        <v>5569.9904448422376</v>
      </c>
      <c r="E111" s="744">
        <f>IF(E23=0,0,E77/E23)</f>
        <v>5467.5710574780005</v>
      </c>
    </row>
    <row r="112" spans="1:5" ht="26.1" customHeight="1" x14ac:dyDescent="0.25">
      <c r="A112" s="742">
        <v>5</v>
      </c>
      <c r="B112" s="743" t="s">
        <v>1007</v>
      </c>
      <c r="C112" s="744">
        <f>IF(C29=0,0,C77/C29)</f>
        <v>914.95448666941843</v>
      </c>
      <c r="D112" s="744">
        <f>IF(D29=0,0,D77/D29)</f>
        <v>885.13848769348681</v>
      </c>
      <c r="E112" s="744">
        <f>IF(E29=0,0,E77/E29)</f>
        <v>860.12175983429836</v>
      </c>
    </row>
    <row r="113" spans="1:7" ht="25.5" customHeight="1" x14ac:dyDescent="0.25">
      <c r="A113" s="742">
        <v>6</v>
      </c>
      <c r="B113" s="743" t="s">
        <v>1008</v>
      </c>
      <c r="C113" s="744">
        <f>IF(C30=0,0,C77/C30)</f>
        <v>4380.2953078131022</v>
      </c>
      <c r="D113" s="744">
        <f>IF(D30=0,0,D77/D30)</f>
        <v>4364.1077373300077</v>
      </c>
      <c r="E113" s="744">
        <f>IF(E30=0,0,E77/E30)</f>
        <v>4123.1022890574159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paperSize="9" scale="65" fitToHeight="5" orientation="portrait" horizontalDpi="1200" verticalDpi="1200" r:id="rId1"/>
  <headerFooter>
    <oddHeader>&amp;L&amp;"Arial,Bold"&amp;12OFFICE OF HEALTH CARE ACCESS&amp;C&amp;"Arial,Bold"&amp;12TWELVE MONTHS ACTUAL FILING&amp;R&amp;"Arial,Bold"&amp;12STAMFORD HOSPITAL</oddHeader>
    <oddFooter>&amp;L&amp;"Arial,Bold"&amp;12REPORT 700&amp;C&amp;"Arial,Bold"&amp;12PAGE &amp;P of &amp;N&amp;R&amp;"Arial,Bold"&amp;12&amp;D,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1872448686</v>
      </c>
      <c r="D12" s="76">
        <v>2018104271</v>
      </c>
      <c r="E12" s="76">
        <f t="shared" ref="E12:E21" si="0">D12-C12</f>
        <v>145655585</v>
      </c>
      <c r="F12" s="77">
        <f t="shared" ref="F12:F21" si="1">IF(C12=0,0,E12/C12)</f>
        <v>7.7788825984414722E-2</v>
      </c>
    </row>
    <row r="13" spans="1:8" ht="23.1" customHeight="1" x14ac:dyDescent="0.2">
      <c r="A13" s="74">
        <v>2</v>
      </c>
      <c r="B13" s="75" t="s">
        <v>72</v>
      </c>
      <c r="C13" s="76">
        <v>1335831323</v>
      </c>
      <c r="D13" s="76">
        <v>1464047832</v>
      </c>
      <c r="E13" s="76">
        <f t="shared" si="0"/>
        <v>128216509</v>
      </c>
      <c r="F13" s="77">
        <f t="shared" si="1"/>
        <v>9.5982559169261225E-2</v>
      </c>
    </row>
    <row r="14" spans="1:8" ht="23.1" customHeight="1" x14ac:dyDescent="0.2">
      <c r="A14" s="74">
        <v>3</v>
      </c>
      <c r="B14" s="75" t="s">
        <v>73</v>
      </c>
      <c r="C14" s="76">
        <v>32247209</v>
      </c>
      <c r="D14" s="76">
        <v>25881492</v>
      </c>
      <c r="E14" s="76">
        <f t="shared" si="0"/>
        <v>-6365717</v>
      </c>
      <c r="F14" s="77">
        <f t="shared" si="1"/>
        <v>-0.19740365747621755</v>
      </c>
    </row>
    <row r="15" spans="1:8" ht="23.1" customHeight="1" x14ac:dyDescent="0.2">
      <c r="A15" s="74">
        <v>4</v>
      </c>
      <c r="B15" s="75" t="s">
        <v>74</v>
      </c>
      <c r="C15" s="76">
        <v>0</v>
      </c>
      <c r="D15" s="76">
        <v>0</v>
      </c>
      <c r="E15" s="76">
        <f t="shared" si="0"/>
        <v>0</v>
      </c>
      <c r="F15" s="77">
        <f t="shared" si="1"/>
        <v>0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504370154</v>
      </c>
      <c r="D16" s="79">
        <f>D12-D13-D14-D15</f>
        <v>528174947</v>
      </c>
      <c r="E16" s="79">
        <f t="shared" si="0"/>
        <v>23804793</v>
      </c>
      <c r="F16" s="80">
        <f t="shared" si="1"/>
        <v>4.7197069079547481E-2</v>
      </c>
    </row>
    <row r="17" spans="1:7" ht="23.1" customHeight="1" x14ac:dyDescent="0.2">
      <c r="A17" s="74">
        <v>5</v>
      </c>
      <c r="B17" s="75" t="s">
        <v>76</v>
      </c>
      <c r="C17" s="76">
        <v>27957650</v>
      </c>
      <c r="D17" s="76">
        <v>33979285</v>
      </c>
      <c r="E17" s="76">
        <f t="shared" si="0"/>
        <v>6021635</v>
      </c>
      <c r="F17" s="77">
        <f t="shared" si="1"/>
        <v>0.21538416140126226</v>
      </c>
      <c r="G17" s="65"/>
    </row>
    <row r="18" spans="1:7" ht="31.5" customHeight="1" x14ac:dyDescent="0.25">
      <c r="A18" s="71"/>
      <c r="B18" s="81" t="s">
        <v>77</v>
      </c>
      <c r="C18" s="79">
        <f>C16-C17</f>
        <v>476412504</v>
      </c>
      <c r="D18" s="79">
        <f>D16-D17</f>
        <v>494195662</v>
      </c>
      <c r="E18" s="79">
        <f t="shared" si="0"/>
        <v>17783158</v>
      </c>
      <c r="F18" s="80">
        <f t="shared" si="1"/>
        <v>3.7327227666551756E-2</v>
      </c>
    </row>
    <row r="19" spans="1:7" ht="23.1" customHeight="1" x14ac:dyDescent="0.2">
      <c r="A19" s="74">
        <v>6</v>
      </c>
      <c r="B19" s="75" t="s">
        <v>78</v>
      </c>
      <c r="C19" s="76">
        <v>15601812</v>
      </c>
      <c r="D19" s="76">
        <v>15837452</v>
      </c>
      <c r="E19" s="76">
        <f t="shared" si="0"/>
        <v>235640</v>
      </c>
      <c r="F19" s="77">
        <f t="shared" si="1"/>
        <v>1.5103373890160964E-2</v>
      </c>
      <c r="G19" s="65"/>
    </row>
    <row r="20" spans="1:7" ht="33" customHeight="1" x14ac:dyDescent="0.2">
      <c r="A20" s="74">
        <v>7</v>
      </c>
      <c r="B20" s="82" t="s">
        <v>79</v>
      </c>
      <c r="C20" s="76">
        <v>1638154</v>
      </c>
      <c r="D20" s="76">
        <v>1714558</v>
      </c>
      <c r="E20" s="76">
        <f t="shared" si="0"/>
        <v>76404</v>
      </c>
      <c r="F20" s="77">
        <f t="shared" si="1"/>
        <v>4.664030365887456E-2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493652470</v>
      </c>
      <c r="D21" s="79">
        <f>SUM(D18:D20)</f>
        <v>511747672</v>
      </c>
      <c r="E21" s="79">
        <f t="shared" si="0"/>
        <v>18095202</v>
      </c>
      <c r="F21" s="80">
        <f t="shared" si="1"/>
        <v>3.6655750957753738E-2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187562859</v>
      </c>
      <c r="D24" s="76">
        <v>193034826</v>
      </c>
      <c r="E24" s="76">
        <f t="shared" ref="E24:E33" si="2">D24-C24</f>
        <v>5471967</v>
      </c>
      <c r="F24" s="77">
        <f t="shared" ref="F24:F33" si="3">IF(C24=0,0,E24/C24)</f>
        <v>2.9174043460278028E-2</v>
      </c>
    </row>
    <row r="25" spans="1:7" ht="23.1" customHeight="1" x14ac:dyDescent="0.2">
      <c r="A25" s="74">
        <v>2</v>
      </c>
      <c r="B25" s="75" t="s">
        <v>83</v>
      </c>
      <c r="C25" s="76">
        <v>48329165</v>
      </c>
      <c r="D25" s="76">
        <v>49784522</v>
      </c>
      <c r="E25" s="76">
        <f t="shared" si="2"/>
        <v>1455357</v>
      </c>
      <c r="F25" s="77">
        <f t="shared" si="3"/>
        <v>3.0113431506627521E-2</v>
      </c>
    </row>
    <row r="26" spans="1:7" ht="23.1" customHeight="1" x14ac:dyDescent="0.2">
      <c r="A26" s="74">
        <v>3</v>
      </c>
      <c r="B26" s="75" t="s">
        <v>84</v>
      </c>
      <c r="C26" s="76">
        <v>11231023</v>
      </c>
      <c r="D26" s="76">
        <v>10308674</v>
      </c>
      <c r="E26" s="76">
        <f t="shared" si="2"/>
        <v>-922349</v>
      </c>
      <c r="F26" s="77">
        <f t="shared" si="3"/>
        <v>-8.2125110063437673E-2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63499078</v>
      </c>
      <c r="D27" s="76">
        <v>69712077</v>
      </c>
      <c r="E27" s="76">
        <f t="shared" si="2"/>
        <v>6212999</v>
      </c>
      <c r="F27" s="77">
        <f t="shared" si="3"/>
        <v>9.7843924599976081E-2</v>
      </c>
    </row>
    <row r="28" spans="1:7" ht="23.1" customHeight="1" x14ac:dyDescent="0.2">
      <c r="A28" s="74">
        <v>5</v>
      </c>
      <c r="B28" s="75" t="s">
        <v>86</v>
      </c>
      <c r="C28" s="76">
        <v>23802655</v>
      </c>
      <c r="D28" s="76">
        <v>30944924</v>
      </c>
      <c r="E28" s="76">
        <f t="shared" si="2"/>
        <v>7142269</v>
      </c>
      <c r="F28" s="77">
        <f t="shared" si="3"/>
        <v>0.30006186284681269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5743115</v>
      </c>
      <c r="D30" s="76">
        <v>6792759</v>
      </c>
      <c r="E30" s="76">
        <f t="shared" si="2"/>
        <v>1049644</v>
      </c>
      <c r="F30" s="77">
        <f t="shared" si="3"/>
        <v>0.1827656245782994</v>
      </c>
    </row>
    <row r="31" spans="1:7" ht="23.1" customHeight="1" x14ac:dyDescent="0.2">
      <c r="A31" s="74">
        <v>8</v>
      </c>
      <c r="B31" s="75" t="s">
        <v>89</v>
      </c>
      <c r="C31" s="76">
        <v>6712666</v>
      </c>
      <c r="D31" s="76">
        <v>6004273</v>
      </c>
      <c r="E31" s="76">
        <f t="shared" si="2"/>
        <v>-708393</v>
      </c>
      <c r="F31" s="77">
        <f t="shared" si="3"/>
        <v>-0.10553079804655854</v>
      </c>
    </row>
    <row r="32" spans="1:7" ht="23.1" customHeight="1" x14ac:dyDescent="0.2">
      <c r="A32" s="74">
        <v>9</v>
      </c>
      <c r="B32" s="75" t="s">
        <v>90</v>
      </c>
      <c r="C32" s="76">
        <v>100792967</v>
      </c>
      <c r="D32" s="76">
        <v>106828911</v>
      </c>
      <c r="E32" s="76">
        <f t="shared" si="2"/>
        <v>6035944</v>
      </c>
      <c r="F32" s="77">
        <f t="shared" si="3"/>
        <v>5.9884575081513375E-2</v>
      </c>
    </row>
    <row r="33" spans="1:6" ht="23.1" customHeight="1" x14ac:dyDescent="0.25">
      <c r="A33" s="71"/>
      <c r="B33" s="78" t="s">
        <v>91</v>
      </c>
      <c r="C33" s="79">
        <f>SUM(C24:C32)</f>
        <v>447673528</v>
      </c>
      <c r="D33" s="79">
        <f>SUM(D24:D32)</f>
        <v>473410966</v>
      </c>
      <c r="E33" s="79">
        <f t="shared" si="2"/>
        <v>25737438</v>
      </c>
      <c r="F33" s="80">
        <f t="shared" si="3"/>
        <v>5.7491534321859654E-2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45978942</v>
      </c>
      <c r="D35" s="79">
        <f>+D21-D33</f>
        <v>38336706</v>
      </c>
      <c r="E35" s="79">
        <f>D35-C35</f>
        <v>-7642236</v>
      </c>
      <c r="F35" s="80">
        <f>IF(C35=0,0,E35/C35)</f>
        <v>-0.16621165402196511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252412</v>
      </c>
      <c r="D38" s="76">
        <v>482730</v>
      </c>
      <c r="E38" s="76">
        <f>D38-C38</f>
        <v>230318</v>
      </c>
      <c r="F38" s="77">
        <f>IF(C38=0,0,E38/C38)</f>
        <v>0.91246850387461764</v>
      </c>
    </row>
    <row r="39" spans="1:6" ht="23.1" customHeight="1" x14ac:dyDescent="0.2">
      <c r="A39" s="85">
        <v>2</v>
      </c>
      <c r="B39" s="75" t="s">
        <v>95</v>
      </c>
      <c r="C39" s="76">
        <v>0</v>
      </c>
      <c r="D39" s="76">
        <v>0</v>
      </c>
      <c r="E39" s="76">
        <f>D39-C39</f>
        <v>0</v>
      </c>
      <c r="F39" s="77">
        <f>IF(C39=0,0,E39/C39)</f>
        <v>0</v>
      </c>
    </row>
    <row r="40" spans="1:6" ht="23.1" customHeight="1" x14ac:dyDescent="0.2">
      <c r="A40" s="85">
        <v>3</v>
      </c>
      <c r="B40" s="75" t="s">
        <v>96</v>
      </c>
      <c r="C40" s="76">
        <v>2462029</v>
      </c>
      <c r="D40" s="76">
        <v>2056587</v>
      </c>
      <c r="E40" s="76">
        <f>D40-C40</f>
        <v>-405442</v>
      </c>
      <c r="F40" s="77">
        <f>IF(C40=0,0,E40/C40)</f>
        <v>-0.16467799526325644</v>
      </c>
    </row>
    <row r="41" spans="1:6" ht="23.1" customHeight="1" x14ac:dyDescent="0.25">
      <c r="A41" s="83"/>
      <c r="B41" s="78" t="s">
        <v>97</v>
      </c>
      <c r="C41" s="79">
        <f>SUM(C38:C40)</f>
        <v>2714441</v>
      </c>
      <c r="D41" s="79">
        <f>SUM(D38:D40)</f>
        <v>2539317</v>
      </c>
      <c r="E41" s="79">
        <f>D41-C41</f>
        <v>-175124</v>
      </c>
      <c r="F41" s="80">
        <f>IF(C41=0,0,E41/C41)</f>
        <v>-6.4515677445190378E-2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48693383</v>
      </c>
      <c r="D43" s="79">
        <f>D35+D41</f>
        <v>40876023</v>
      </c>
      <c r="E43" s="79">
        <f>D43-C43</f>
        <v>-7817360</v>
      </c>
      <c r="F43" s="80">
        <f>IF(C43=0,0,E43/C43)</f>
        <v>-0.16054255256817954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-2678999</v>
      </c>
      <c r="D46" s="76">
        <v>-1214565</v>
      </c>
      <c r="E46" s="76">
        <f>D46-C46</f>
        <v>1464434</v>
      </c>
      <c r="F46" s="77">
        <f>IF(C46=0,0,E46/C46)</f>
        <v>-0.54663476918057829</v>
      </c>
    </row>
    <row r="47" spans="1:6" ht="23.1" customHeight="1" x14ac:dyDescent="0.2">
      <c r="A47" s="85"/>
      <c r="B47" s="75" t="s">
        <v>101</v>
      </c>
      <c r="C47" s="76">
        <v>-617584</v>
      </c>
      <c r="D47" s="76">
        <v>195085</v>
      </c>
      <c r="E47" s="76">
        <f>D47-C47</f>
        <v>812669</v>
      </c>
      <c r="F47" s="77">
        <f>IF(C47=0,0,E47/C47)</f>
        <v>-1.315884155029923</v>
      </c>
    </row>
    <row r="48" spans="1:6" ht="23.1" customHeight="1" x14ac:dyDescent="0.25">
      <c r="A48" s="83"/>
      <c r="B48" s="78" t="s">
        <v>102</v>
      </c>
      <c r="C48" s="79">
        <f>SUM(C46:C47)</f>
        <v>-3296583</v>
      </c>
      <c r="D48" s="79">
        <f>SUM(D46:D47)</f>
        <v>-1019480</v>
      </c>
      <c r="E48" s="79">
        <f>D48-C48</f>
        <v>2277103</v>
      </c>
      <c r="F48" s="80">
        <f>IF(C48=0,0,E48/C48)</f>
        <v>-0.69074644867124535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45396800</v>
      </c>
      <c r="D50" s="79">
        <f>D43+D48</f>
        <v>39856543</v>
      </c>
      <c r="E50" s="79">
        <f>D50-C50</f>
        <v>-5540257</v>
      </c>
      <c r="F50" s="80">
        <f>IF(C50=0,0,E50/C50)</f>
        <v>-0.12204069449829062</v>
      </c>
    </row>
    <row r="51" spans="1:6" ht="23.1" customHeight="1" x14ac:dyDescent="0.2">
      <c r="A51" s="85"/>
      <c r="B51" s="75" t="s">
        <v>104</v>
      </c>
      <c r="C51" s="76">
        <v>5295000</v>
      </c>
      <c r="D51" s="76">
        <v>5429000</v>
      </c>
      <c r="E51" s="76">
        <f>D51-C51</f>
        <v>134000</v>
      </c>
      <c r="F51" s="77">
        <f>IF(C51=0,0,E51/C51)</f>
        <v>2.530689329556185E-2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71" orientation="portrait" horizontalDpi="1200" verticalDpi="1200" r:id="rId1"/>
  <headerFooter>
    <oddHeader>&amp;LOFFICE OF HEALTH CARE ACCESS&amp;CTWELVE MONTHS ACTUAL FILING&amp;RSTAMFORD HOSPITAL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zoomScale="75" workbookViewId="0">
      <selection activeCell="D93" sqref="D93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69" t="s">
        <v>0</v>
      </c>
      <c r="B2" s="769"/>
      <c r="C2" s="769"/>
      <c r="D2" s="769"/>
      <c r="E2" s="769"/>
      <c r="F2" s="769"/>
    </row>
    <row r="3" spans="1:6" ht="15.75" customHeight="1" x14ac:dyDescent="0.25">
      <c r="A3" s="769" t="s">
        <v>1</v>
      </c>
      <c r="B3" s="769"/>
      <c r="C3" s="769"/>
      <c r="D3" s="769"/>
      <c r="E3" s="769"/>
      <c r="F3" s="769"/>
    </row>
    <row r="4" spans="1:6" ht="15.75" customHeight="1" x14ac:dyDescent="0.25">
      <c r="A4" s="769" t="s">
        <v>2</v>
      </c>
      <c r="B4" s="769"/>
      <c r="C4" s="769"/>
      <c r="D4" s="769"/>
      <c r="E4" s="769"/>
      <c r="F4" s="769"/>
    </row>
    <row r="5" spans="1:6" ht="15.75" customHeight="1" x14ac:dyDescent="0.25">
      <c r="A5" s="769" t="s">
        <v>105</v>
      </c>
      <c r="B5" s="769"/>
      <c r="C5" s="769"/>
      <c r="D5" s="769"/>
      <c r="E5" s="769"/>
      <c r="F5" s="76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70"/>
      <c r="D9" s="771"/>
      <c r="E9" s="771"/>
      <c r="F9" s="772"/>
    </row>
    <row r="10" spans="1:6" x14ac:dyDescent="0.2">
      <c r="A10" s="773" t="s">
        <v>12</v>
      </c>
      <c r="B10" s="775" t="s">
        <v>111</v>
      </c>
      <c r="C10" s="777"/>
      <c r="D10" s="778"/>
      <c r="E10" s="778"/>
      <c r="F10" s="779"/>
    </row>
    <row r="11" spans="1:6" x14ac:dyDescent="0.2">
      <c r="A11" s="774"/>
      <c r="B11" s="776"/>
      <c r="C11" s="780"/>
      <c r="D11" s="781"/>
      <c r="E11" s="781"/>
      <c r="F11" s="782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268461126</v>
      </c>
      <c r="D14" s="113">
        <v>266398113</v>
      </c>
      <c r="E14" s="113">
        <f t="shared" ref="E14:E25" si="0">D14-C14</f>
        <v>-2063013</v>
      </c>
      <c r="F14" s="114">
        <f t="shared" ref="F14:F25" si="1">IF(C14=0,0,E14/C14)</f>
        <v>-7.6845874512200324E-3</v>
      </c>
    </row>
    <row r="15" spans="1:6" x14ac:dyDescent="0.2">
      <c r="A15" s="115">
        <v>2</v>
      </c>
      <c r="B15" s="116" t="s">
        <v>114</v>
      </c>
      <c r="C15" s="113">
        <v>56895898</v>
      </c>
      <c r="D15" s="113">
        <v>60278562</v>
      </c>
      <c r="E15" s="113">
        <f t="shared" si="0"/>
        <v>3382664</v>
      </c>
      <c r="F15" s="114">
        <f t="shared" si="1"/>
        <v>5.9453565527694104E-2</v>
      </c>
    </row>
    <row r="16" spans="1:6" x14ac:dyDescent="0.2">
      <c r="A16" s="115">
        <v>3</v>
      </c>
      <c r="B16" s="116" t="s">
        <v>115</v>
      </c>
      <c r="C16" s="113">
        <v>111346725</v>
      </c>
      <c r="D16" s="113">
        <v>131712107</v>
      </c>
      <c r="E16" s="113">
        <f t="shared" si="0"/>
        <v>20365382</v>
      </c>
      <c r="F16" s="114">
        <f t="shared" si="1"/>
        <v>0.18290059272062109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705107</v>
      </c>
      <c r="D18" s="113">
        <v>961380</v>
      </c>
      <c r="E18" s="113">
        <f t="shared" si="0"/>
        <v>256273</v>
      </c>
      <c r="F18" s="114">
        <f t="shared" si="1"/>
        <v>0.36345263910300141</v>
      </c>
    </row>
    <row r="19" spans="1:6" x14ac:dyDescent="0.2">
      <c r="A19" s="115">
        <v>6</v>
      </c>
      <c r="B19" s="116" t="s">
        <v>118</v>
      </c>
      <c r="C19" s="113">
        <v>49981620</v>
      </c>
      <c r="D19" s="113">
        <v>48251847</v>
      </c>
      <c r="E19" s="113">
        <f t="shared" si="0"/>
        <v>-1729773</v>
      </c>
      <c r="F19" s="114">
        <f t="shared" si="1"/>
        <v>-3.4608181967691325E-2</v>
      </c>
    </row>
    <row r="20" spans="1:6" x14ac:dyDescent="0.2">
      <c r="A20" s="115">
        <v>7</v>
      </c>
      <c r="B20" s="116" t="s">
        <v>119</v>
      </c>
      <c r="C20" s="113">
        <v>151427080</v>
      </c>
      <c r="D20" s="113">
        <v>152964658</v>
      </c>
      <c r="E20" s="113">
        <f t="shared" si="0"/>
        <v>1537578</v>
      </c>
      <c r="F20" s="114">
        <f t="shared" si="1"/>
        <v>1.0153916987635236E-2</v>
      </c>
    </row>
    <row r="21" spans="1:6" x14ac:dyDescent="0.2">
      <c r="A21" s="115">
        <v>8</v>
      </c>
      <c r="B21" s="116" t="s">
        <v>120</v>
      </c>
      <c r="C21" s="113">
        <v>5988439</v>
      </c>
      <c r="D21" s="113">
        <v>5806229</v>
      </c>
      <c r="E21" s="113">
        <f t="shared" si="0"/>
        <v>-182210</v>
      </c>
      <c r="F21" s="114">
        <f t="shared" si="1"/>
        <v>-3.0426961016051093E-2</v>
      </c>
    </row>
    <row r="22" spans="1:6" x14ac:dyDescent="0.2">
      <c r="A22" s="115">
        <v>9</v>
      </c>
      <c r="B22" s="116" t="s">
        <v>121</v>
      </c>
      <c r="C22" s="113">
        <v>8218885</v>
      </c>
      <c r="D22" s="113">
        <v>8550587</v>
      </c>
      <c r="E22" s="113">
        <f t="shared" si="0"/>
        <v>331702</v>
      </c>
      <c r="F22" s="114">
        <f t="shared" si="1"/>
        <v>4.0358515784075337E-2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3407245</v>
      </c>
      <c r="D24" s="113">
        <v>2385334</v>
      </c>
      <c r="E24" s="113">
        <f t="shared" si="0"/>
        <v>-1021911</v>
      </c>
      <c r="F24" s="114">
        <f t="shared" si="1"/>
        <v>-0.29992295828447912</v>
      </c>
    </row>
    <row r="25" spans="1:6" ht="15.75" x14ac:dyDescent="0.25">
      <c r="A25" s="117"/>
      <c r="B25" s="118" t="s">
        <v>124</v>
      </c>
      <c r="C25" s="119">
        <f>SUM(C14:C24)</f>
        <v>656432125</v>
      </c>
      <c r="D25" s="119">
        <f>SUM(D14:D24)</f>
        <v>677308817</v>
      </c>
      <c r="E25" s="119">
        <f t="shared" si="0"/>
        <v>20876692</v>
      </c>
      <c r="F25" s="120">
        <f t="shared" si="1"/>
        <v>3.180327592894696E-2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325798695</v>
      </c>
      <c r="D27" s="113">
        <v>364989054</v>
      </c>
      <c r="E27" s="113">
        <f t="shared" ref="E27:E38" si="2">D27-C27</f>
        <v>39190359</v>
      </c>
      <c r="F27" s="114">
        <f t="shared" ref="F27:F38" si="3">IF(C27=0,0,E27/C27)</f>
        <v>0.12029010429277502</v>
      </c>
    </row>
    <row r="28" spans="1:6" x14ac:dyDescent="0.2">
      <c r="A28" s="115">
        <v>2</v>
      </c>
      <c r="B28" s="116" t="s">
        <v>114</v>
      </c>
      <c r="C28" s="113">
        <v>68508982</v>
      </c>
      <c r="D28" s="113">
        <v>82228471</v>
      </c>
      <c r="E28" s="113">
        <f t="shared" si="2"/>
        <v>13719489</v>
      </c>
      <c r="F28" s="114">
        <f t="shared" si="3"/>
        <v>0.2002582522682938</v>
      </c>
    </row>
    <row r="29" spans="1:6" x14ac:dyDescent="0.2">
      <c r="A29" s="115">
        <v>3</v>
      </c>
      <c r="B29" s="116" t="s">
        <v>115</v>
      </c>
      <c r="C29" s="113">
        <v>179795054</v>
      </c>
      <c r="D29" s="113">
        <v>204421759</v>
      </c>
      <c r="E29" s="113">
        <f t="shared" si="2"/>
        <v>24626705</v>
      </c>
      <c r="F29" s="114">
        <f t="shared" si="3"/>
        <v>0.13697098141531747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912055</v>
      </c>
      <c r="D31" s="113">
        <v>1261629</v>
      </c>
      <c r="E31" s="113">
        <f t="shared" si="2"/>
        <v>349574</v>
      </c>
      <c r="F31" s="114">
        <f t="shared" si="3"/>
        <v>0.38328170998459521</v>
      </c>
    </row>
    <row r="32" spans="1:6" x14ac:dyDescent="0.2">
      <c r="A32" s="115">
        <v>6</v>
      </c>
      <c r="B32" s="116" t="s">
        <v>118</v>
      </c>
      <c r="C32" s="113">
        <v>144031939</v>
      </c>
      <c r="D32" s="113">
        <v>154223610</v>
      </c>
      <c r="E32" s="113">
        <f t="shared" si="2"/>
        <v>10191671</v>
      </c>
      <c r="F32" s="114">
        <f t="shared" si="3"/>
        <v>7.0759798630496806E-2</v>
      </c>
    </row>
    <row r="33" spans="1:6" x14ac:dyDescent="0.2">
      <c r="A33" s="115">
        <v>7</v>
      </c>
      <c r="B33" s="116" t="s">
        <v>119</v>
      </c>
      <c r="C33" s="113">
        <v>429128547</v>
      </c>
      <c r="D33" s="113">
        <v>466701261</v>
      </c>
      <c r="E33" s="113">
        <f t="shared" si="2"/>
        <v>37572714</v>
      </c>
      <c r="F33" s="114">
        <f t="shared" si="3"/>
        <v>8.7555848387779245E-2</v>
      </c>
    </row>
    <row r="34" spans="1:6" x14ac:dyDescent="0.2">
      <c r="A34" s="115">
        <v>8</v>
      </c>
      <c r="B34" s="116" t="s">
        <v>120</v>
      </c>
      <c r="C34" s="113">
        <v>11041529</v>
      </c>
      <c r="D34" s="113">
        <v>10991289</v>
      </c>
      <c r="E34" s="113">
        <f t="shared" si="2"/>
        <v>-50240</v>
      </c>
      <c r="F34" s="114">
        <f t="shared" si="3"/>
        <v>-4.5500944660834567E-3</v>
      </c>
    </row>
    <row r="35" spans="1:6" x14ac:dyDescent="0.2">
      <c r="A35" s="115">
        <v>9</v>
      </c>
      <c r="B35" s="116" t="s">
        <v>121</v>
      </c>
      <c r="C35" s="113">
        <v>53763116</v>
      </c>
      <c r="D35" s="113">
        <v>53108751</v>
      </c>
      <c r="E35" s="113">
        <f t="shared" si="2"/>
        <v>-654365</v>
      </c>
      <c r="F35" s="114">
        <f t="shared" si="3"/>
        <v>-1.2171262543636794E-2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3036644</v>
      </c>
      <c r="D37" s="113">
        <v>2869630</v>
      </c>
      <c r="E37" s="113">
        <f t="shared" si="2"/>
        <v>-167014</v>
      </c>
      <c r="F37" s="114">
        <f t="shared" si="3"/>
        <v>-5.4999532378507326E-2</v>
      </c>
    </row>
    <row r="38" spans="1:6" ht="15.75" x14ac:dyDescent="0.25">
      <c r="A38" s="117"/>
      <c r="B38" s="118" t="s">
        <v>126</v>
      </c>
      <c r="C38" s="119">
        <f>SUM(C27:C37)</f>
        <v>1216016561</v>
      </c>
      <c r="D38" s="119">
        <f>SUM(D27:D37)</f>
        <v>1340795454</v>
      </c>
      <c r="E38" s="119">
        <f t="shared" si="2"/>
        <v>124778893</v>
      </c>
      <c r="F38" s="120">
        <f t="shared" si="3"/>
        <v>0.10261282370808106</v>
      </c>
    </row>
    <row r="39" spans="1:6" ht="15" customHeight="1" x14ac:dyDescent="0.2">
      <c r="A39" s="773" t="s">
        <v>127</v>
      </c>
      <c r="B39" s="775" t="s">
        <v>128</v>
      </c>
      <c r="C39" s="777"/>
      <c r="D39" s="778"/>
      <c r="E39" s="778"/>
      <c r="F39" s="779"/>
    </row>
    <row r="40" spans="1:6" ht="15" customHeight="1" x14ac:dyDescent="0.2">
      <c r="A40" s="774"/>
      <c r="B40" s="776"/>
      <c r="C40" s="780"/>
      <c r="D40" s="781"/>
      <c r="E40" s="781"/>
      <c r="F40" s="782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594259821</v>
      </c>
      <c r="D41" s="119">
        <f t="shared" si="4"/>
        <v>631387167</v>
      </c>
      <c r="E41" s="123">
        <f t="shared" ref="E41:E52" si="5">D41-C41</f>
        <v>37127346</v>
      </c>
      <c r="F41" s="124">
        <f t="shared" ref="F41:F52" si="6">IF(C41=0,0,E41/C41)</f>
        <v>6.2476621652669331E-2</v>
      </c>
    </row>
    <row r="42" spans="1:6" ht="15.75" x14ac:dyDescent="0.25">
      <c r="A42" s="121">
        <v>2</v>
      </c>
      <c r="B42" s="122" t="s">
        <v>114</v>
      </c>
      <c r="C42" s="119">
        <f t="shared" si="4"/>
        <v>125404880</v>
      </c>
      <c r="D42" s="119">
        <f t="shared" si="4"/>
        <v>142507033</v>
      </c>
      <c r="E42" s="123">
        <f t="shared" si="5"/>
        <v>17102153</v>
      </c>
      <c r="F42" s="124">
        <f t="shared" si="6"/>
        <v>0.13637549830596704</v>
      </c>
    </row>
    <row r="43" spans="1:6" ht="15.75" x14ac:dyDescent="0.25">
      <c r="A43" s="121">
        <v>3</v>
      </c>
      <c r="B43" s="122" t="s">
        <v>115</v>
      </c>
      <c r="C43" s="119">
        <f t="shared" si="4"/>
        <v>291141779</v>
      </c>
      <c r="D43" s="119">
        <f t="shared" si="4"/>
        <v>336133866</v>
      </c>
      <c r="E43" s="123">
        <f t="shared" si="5"/>
        <v>44992087</v>
      </c>
      <c r="F43" s="124">
        <f t="shared" si="6"/>
        <v>0.1545366905242411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1617162</v>
      </c>
      <c r="D45" s="119">
        <f t="shared" si="4"/>
        <v>2223009</v>
      </c>
      <c r="E45" s="123">
        <f t="shared" si="5"/>
        <v>605847</v>
      </c>
      <c r="F45" s="124">
        <f t="shared" si="6"/>
        <v>0.37463593628838671</v>
      </c>
    </row>
    <row r="46" spans="1:6" ht="15.75" x14ac:dyDescent="0.25">
      <c r="A46" s="121">
        <v>6</v>
      </c>
      <c r="B46" s="122" t="s">
        <v>118</v>
      </c>
      <c r="C46" s="119">
        <f t="shared" si="4"/>
        <v>194013559</v>
      </c>
      <c r="D46" s="119">
        <f t="shared" si="4"/>
        <v>202475457</v>
      </c>
      <c r="E46" s="123">
        <f t="shared" si="5"/>
        <v>8461898</v>
      </c>
      <c r="F46" s="124">
        <f t="shared" si="6"/>
        <v>4.3614982600262489E-2</v>
      </c>
    </row>
    <row r="47" spans="1:6" ht="15.75" x14ac:dyDescent="0.25">
      <c r="A47" s="121">
        <v>7</v>
      </c>
      <c r="B47" s="122" t="s">
        <v>119</v>
      </c>
      <c r="C47" s="119">
        <f t="shared" si="4"/>
        <v>580555627</v>
      </c>
      <c r="D47" s="119">
        <f t="shared" si="4"/>
        <v>619665919</v>
      </c>
      <c r="E47" s="123">
        <f t="shared" si="5"/>
        <v>39110292</v>
      </c>
      <c r="F47" s="124">
        <f t="shared" si="6"/>
        <v>6.7367001853209152E-2</v>
      </c>
    </row>
    <row r="48" spans="1:6" ht="15.75" x14ac:dyDescent="0.25">
      <c r="A48" s="121">
        <v>8</v>
      </c>
      <c r="B48" s="122" t="s">
        <v>120</v>
      </c>
      <c r="C48" s="119">
        <f t="shared" si="4"/>
        <v>17029968</v>
      </c>
      <c r="D48" s="119">
        <f t="shared" si="4"/>
        <v>16797518</v>
      </c>
      <c r="E48" s="123">
        <f t="shared" si="5"/>
        <v>-232450</v>
      </c>
      <c r="F48" s="124">
        <f t="shared" si="6"/>
        <v>-1.3649467808747498E-2</v>
      </c>
    </row>
    <row r="49" spans="1:6" ht="15.75" x14ac:dyDescent="0.25">
      <c r="A49" s="121">
        <v>9</v>
      </c>
      <c r="B49" s="122" t="s">
        <v>121</v>
      </c>
      <c r="C49" s="119">
        <f t="shared" si="4"/>
        <v>61982001</v>
      </c>
      <c r="D49" s="119">
        <f t="shared" si="4"/>
        <v>61659338</v>
      </c>
      <c r="E49" s="123">
        <f t="shared" si="5"/>
        <v>-322663</v>
      </c>
      <c r="F49" s="124">
        <f t="shared" si="6"/>
        <v>-5.2057531992231098E-3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6443889</v>
      </c>
      <c r="D51" s="119">
        <f t="shared" si="4"/>
        <v>5254964</v>
      </c>
      <c r="E51" s="123">
        <f t="shared" si="5"/>
        <v>-1188925</v>
      </c>
      <c r="F51" s="124">
        <f t="shared" si="6"/>
        <v>-0.18450426442789439</v>
      </c>
    </row>
    <row r="52" spans="1:6" ht="18.75" customHeight="1" thickBot="1" x14ac:dyDescent="0.3">
      <c r="A52" s="125"/>
      <c r="B52" s="126" t="s">
        <v>128</v>
      </c>
      <c r="C52" s="127">
        <f>SUM(C41:C51)</f>
        <v>1872448686</v>
      </c>
      <c r="D52" s="128">
        <f>SUM(D41:D51)</f>
        <v>2018104271</v>
      </c>
      <c r="E52" s="127">
        <f t="shared" si="5"/>
        <v>145655585</v>
      </c>
      <c r="F52" s="129">
        <f t="shared" si="6"/>
        <v>7.7788825984414722E-2</v>
      </c>
    </row>
    <row r="53" spans="1:6" x14ac:dyDescent="0.2">
      <c r="A53" s="773" t="s">
        <v>44</v>
      </c>
      <c r="B53" s="775" t="s">
        <v>129</v>
      </c>
      <c r="C53" s="777"/>
      <c r="D53" s="778"/>
      <c r="E53" s="778"/>
      <c r="F53" s="779"/>
    </row>
    <row r="54" spans="1:6" ht="15" customHeight="1" x14ac:dyDescent="0.2">
      <c r="A54" s="774"/>
      <c r="B54" s="776"/>
      <c r="C54" s="780"/>
      <c r="D54" s="781"/>
      <c r="E54" s="781"/>
      <c r="F54" s="782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66249926</v>
      </c>
      <c r="D57" s="113">
        <v>63029430</v>
      </c>
      <c r="E57" s="113">
        <f t="shared" ref="E57:E68" si="7">D57-C57</f>
        <v>-3220496</v>
      </c>
      <c r="F57" s="114">
        <f t="shared" ref="F57:F68" si="8">IF(C57=0,0,E57/C57)</f>
        <v>-4.8611314675279786E-2</v>
      </c>
    </row>
    <row r="58" spans="1:6" x14ac:dyDescent="0.2">
      <c r="A58" s="115">
        <v>2</v>
      </c>
      <c r="B58" s="116" t="s">
        <v>114</v>
      </c>
      <c r="C58" s="113">
        <v>12113174</v>
      </c>
      <c r="D58" s="113">
        <v>13890239</v>
      </c>
      <c r="E58" s="113">
        <f t="shared" si="7"/>
        <v>1777065</v>
      </c>
      <c r="F58" s="114">
        <f t="shared" si="8"/>
        <v>0.14670514928622341</v>
      </c>
    </row>
    <row r="59" spans="1:6" x14ac:dyDescent="0.2">
      <c r="A59" s="115">
        <v>3</v>
      </c>
      <c r="B59" s="116" t="s">
        <v>115</v>
      </c>
      <c r="C59" s="113">
        <v>14481962</v>
      </c>
      <c r="D59" s="113">
        <v>14434839</v>
      </c>
      <c r="E59" s="113">
        <f t="shared" si="7"/>
        <v>-47123</v>
      </c>
      <c r="F59" s="114">
        <f t="shared" si="8"/>
        <v>-3.2539099329220722E-3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135237</v>
      </c>
      <c r="D61" s="113">
        <v>187741</v>
      </c>
      <c r="E61" s="113">
        <f t="shared" si="7"/>
        <v>52504</v>
      </c>
      <c r="F61" s="114">
        <f t="shared" si="8"/>
        <v>0.3882369469893594</v>
      </c>
    </row>
    <row r="62" spans="1:6" x14ac:dyDescent="0.2">
      <c r="A62" s="115">
        <v>6</v>
      </c>
      <c r="B62" s="116" t="s">
        <v>118</v>
      </c>
      <c r="C62" s="113">
        <v>22409554</v>
      </c>
      <c r="D62" s="113">
        <v>19116393</v>
      </c>
      <c r="E62" s="113">
        <f t="shared" si="7"/>
        <v>-3293161</v>
      </c>
      <c r="F62" s="114">
        <f t="shared" si="8"/>
        <v>-0.14695343780603576</v>
      </c>
    </row>
    <row r="63" spans="1:6" x14ac:dyDescent="0.2">
      <c r="A63" s="115">
        <v>7</v>
      </c>
      <c r="B63" s="116" t="s">
        <v>119</v>
      </c>
      <c r="C63" s="113">
        <v>59677070</v>
      </c>
      <c r="D63" s="113">
        <v>64479310</v>
      </c>
      <c r="E63" s="113">
        <f t="shared" si="7"/>
        <v>4802240</v>
      </c>
      <c r="F63" s="114">
        <f t="shared" si="8"/>
        <v>8.0470438645865158E-2</v>
      </c>
    </row>
    <row r="64" spans="1:6" x14ac:dyDescent="0.2">
      <c r="A64" s="115">
        <v>8</v>
      </c>
      <c r="B64" s="116" t="s">
        <v>120</v>
      </c>
      <c r="C64" s="113">
        <v>625348</v>
      </c>
      <c r="D64" s="113">
        <v>2966778</v>
      </c>
      <c r="E64" s="113">
        <f t="shared" si="7"/>
        <v>2341430</v>
      </c>
      <c r="F64" s="114">
        <f t="shared" si="8"/>
        <v>3.7442032276428483</v>
      </c>
    </row>
    <row r="65" spans="1:6" x14ac:dyDescent="0.2">
      <c r="A65" s="115">
        <v>9</v>
      </c>
      <c r="B65" s="116" t="s">
        <v>121</v>
      </c>
      <c r="C65" s="113">
        <v>175349</v>
      </c>
      <c r="D65" s="113">
        <v>194625</v>
      </c>
      <c r="E65" s="113">
        <f t="shared" si="7"/>
        <v>19276</v>
      </c>
      <c r="F65" s="114">
        <f t="shared" si="8"/>
        <v>0.10992934091440498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487782</v>
      </c>
      <c r="D67" s="113">
        <v>494833</v>
      </c>
      <c r="E67" s="113">
        <f t="shared" si="7"/>
        <v>7051</v>
      </c>
      <c r="F67" s="114">
        <f t="shared" si="8"/>
        <v>1.4455227950190865E-2</v>
      </c>
    </row>
    <row r="68" spans="1:6" ht="15.75" x14ac:dyDescent="0.25">
      <c r="A68" s="117"/>
      <c r="B68" s="118" t="s">
        <v>131</v>
      </c>
      <c r="C68" s="119">
        <f>SUM(C57:C67)</f>
        <v>176355402</v>
      </c>
      <c r="D68" s="119">
        <f>SUM(D57:D67)</f>
        <v>178794188</v>
      </c>
      <c r="E68" s="119">
        <f t="shared" si="7"/>
        <v>2438786</v>
      </c>
      <c r="F68" s="120">
        <f t="shared" si="8"/>
        <v>1.3828813704272013E-2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44875439</v>
      </c>
      <c r="D70" s="113">
        <v>51924736</v>
      </c>
      <c r="E70" s="113">
        <f t="shared" ref="E70:E81" si="9">D70-C70</f>
        <v>7049297</v>
      </c>
      <c r="F70" s="114">
        <f t="shared" ref="F70:F81" si="10">IF(C70=0,0,E70/C70)</f>
        <v>0.15708586160015059</v>
      </c>
    </row>
    <row r="71" spans="1:6" x14ac:dyDescent="0.2">
      <c r="A71" s="115">
        <v>2</v>
      </c>
      <c r="B71" s="116" t="s">
        <v>114</v>
      </c>
      <c r="C71" s="113">
        <v>8872104</v>
      </c>
      <c r="D71" s="113">
        <v>9964745</v>
      </c>
      <c r="E71" s="113">
        <f t="shared" si="9"/>
        <v>1092641</v>
      </c>
      <c r="F71" s="114">
        <f t="shared" si="10"/>
        <v>0.12315466545477825</v>
      </c>
    </row>
    <row r="72" spans="1:6" x14ac:dyDescent="0.2">
      <c r="A72" s="115">
        <v>3</v>
      </c>
      <c r="B72" s="116" t="s">
        <v>115</v>
      </c>
      <c r="C72" s="113">
        <v>24103560</v>
      </c>
      <c r="D72" s="113">
        <v>24884107</v>
      </c>
      <c r="E72" s="113">
        <f t="shared" si="9"/>
        <v>780547</v>
      </c>
      <c r="F72" s="114">
        <f t="shared" si="10"/>
        <v>3.2383058768082389E-2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44469</v>
      </c>
      <c r="D74" s="113">
        <v>143749</v>
      </c>
      <c r="E74" s="113">
        <f t="shared" si="9"/>
        <v>99280</v>
      </c>
      <c r="F74" s="114">
        <f t="shared" si="10"/>
        <v>2.2325665070048797</v>
      </c>
    </row>
    <row r="75" spans="1:6" x14ac:dyDescent="0.2">
      <c r="A75" s="115">
        <v>6</v>
      </c>
      <c r="B75" s="116" t="s">
        <v>118</v>
      </c>
      <c r="C75" s="113">
        <v>69421992</v>
      </c>
      <c r="D75" s="113">
        <v>71882432</v>
      </c>
      <c r="E75" s="113">
        <f t="shared" si="9"/>
        <v>2460440</v>
      </c>
      <c r="F75" s="114">
        <f t="shared" si="10"/>
        <v>3.5441794870997079E-2</v>
      </c>
    </row>
    <row r="76" spans="1:6" x14ac:dyDescent="0.2">
      <c r="A76" s="115">
        <v>7</v>
      </c>
      <c r="B76" s="116" t="s">
        <v>119</v>
      </c>
      <c r="C76" s="113">
        <v>173791103</v>
      </c>
      <c r="D76" s="113">
        <v>183238038</v>
      </c>
      <c r="E76" s="113">
        <f t="shared" si="9"/>
        <v>9446935</v>
      </c>
      <c r="F76" s="114">
        <f t="shared" si="10"/>
        <v>5.4357989775805728E-2</v>
      </c>
    </row>
    <row r="77" spans="1:6" x14ac:dyDescent="0.2">
      <c r="A77" s="115">
        <v>8</v>
      </c>
      <c r="B77" s="116" t="s">
        <v>120</v>
      </c>
      <c r="C77" s="113">
        <v>3503107</v>
      </c>
      <c r="D77" s="113">
        <v>1128322</v>
      </c>
      <c r="E77" s="113">
        <f t="shared" si="9"/>
        <v>-2374785</v>
      </c>
      <c r="F77" s="114">
        <f t="shared" si="10"/>
        <v>-0.67790821119651778</v>
      </c>
    </row>
    <row r="78" spans="1:6" x14ac:dyDescent="0.2">
      <c r="A78" s="115">
        <v>9</v>
      </c>
      <c r="B78" s="116" t="s">
        <v>121</v>
      </c>
      <c r="C78" s="113">
        <v>1720175</v>
      </c>
      <c r="D78" s="113">
        <v>2008694</v>
      </c>
      <c r="E78" s="113">
        <f t="shared" si="9"/>
        <v>288519</v>
      </c>
      <c r="F78" s="114">
        <f t="shared" si="10"/>
        <v>0.16772653945092797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289833</v>
      </c>
      <c r="D80" s="113">
        <v>510541</v>
      </c>
      <c r="E80" s="113">
        <f t="shared" si="9"/>
        <v>220708</v>
      </c>
      <c r="F80" s="114">
        <f t="shared" si="10"/>
        <v>0.76150058826979672</v>
      </c>
    </row>
    <row r="81" spans="1:6" ht="15.75" x14ac:dyDescent="0.25">
      <c r="A81" s="117"/>
      <c r="B81" s="118" t="s">
        <v>133</v>
      </c>
      <c r="C81" s="119">
        <f>SUM(C70:C80)</f>
        <v>326621782</v>
      </c>
      <c r="D81" s="119">
        <f>SUM(D70:D80)</f>
        <v>345685364</v>
      </c>
      <c r="E81" s="119">
        <f t="shared" si="9"/>
        <v>19063582</v>
      </c>
      <c r="F81" s="120">
        <f t="shared" si="10"/>
        <v>5.8365923678660232E-2</v>
      </c>
    </row>
    <row r="82" spans="1:6" ht="15" customHeight="1" x14ac:dyDescent="0.2">
      <c r="A82" s="773" t="s">
        <v>127</v>
      </c>
      <c r="B82" s="775" t="s">
        <v>134</v>
      </c>
      <c r="C82" s="777"/>
      <c r="D82" s="778"/>
      <c r="E82" s="778"/>
      <c r="F82" s="779"/>
    </row>
    <row r="83" spans="1:6" ht="15" customHeight="1" x14ac:dyDescent="0.2">
      <c r="A83" s="774"/>
      <c r="B83" s="776"/>
      <c r="C83" s="780"/>
      <c r="D83" s="781"/>
      <c r="E83" s="781"/>
      <c r="F83" s="782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111125365</v>
      </c>
      <c r="D84" s="119">
        <f t="shared" si="11"/>
        <v>114954166</v>
      </c>
      <c r="E84" s="119">
        <f t="shared" ref="E84:E95" si="12">D84-C84</f>
        <v>3828801</v>
      </c>
      <c r="F84" s="120">
        <f t="shared" ref="F84:F95" si="13">IF(C84=0,0,E84/C84)</f>
        <v>3.4454788967397315E-2</v>
      </c>
    </row>
    <row r="85" spans="1:6" ht="15.75" x14ac:dyDescent="0.25">
      <c r="A85" s="130">
        <v>2</v>
      </c>
      <c r="B85" s="122" t="s">
        <v>114</v>
      </c>
      <c r="C85" s="119">
        <f t="shared" si="11"/>
        <v>20985278</v>
      </c>
      <c r="D85" s="119">
        <f t="shared" si="11"/>
        <v>23854984</v>
      </c>
      <c r="E85" s="119">
        <f t="shared" si="12"/>
        <v>2869706</v>
      </c>
      <c r="F85" s="120">
        <f t="shared" si="13"/>
        <v>0.13674853390076605</v>
      </c>
    </row>
    <row r="86" spans="1:6" ht="15.75" x14ac:dyDescent="0.25">
      <c r="A86" s="130">
        <v>3</v>
      </c>
      <c r="B86" s="122" t="s">
        <v>115</v>
      </c>
      <c r="C86" s="119">
        <f t="shared" si="11"/>
        <v>38585522</v>
      </c>
      <c r="D86" s="119">
        <f t="shared" si="11"/>
        <v>39318946</v>
      </c>
      <c r="E86" s="119">
        <f t="shared" si="12"/>
        <v>733424</v>
      </c>
      <c r="F86" s="120">
        <f t="shared" si="13"/>
        <v>1.9007751145623999E-2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179706</v>
      </c>
      <c r="D88" s="119">
        <f t="shared" si="11"/>
        <v>331490</v>
      </c>
      <c r="E88" s="119">
        <f t="shared" si="12"/>
        <v>151784</v>
      </c>
      <c r="F88" s="120">
        <f t="shared" si="13"/>
        <v>0.84462399697283341</v>
      </c>
    </row>
    <row r="89" spans="1:6" ht="15.75" x14ac:dyDescent="0.25">
      <c r="A89" s="130">
        <v>6</v>
      </c>
      <c r="B89" s="122" t="s">
        <v>118</v>
      </c>
      <c r="C89" s="119">
        <f t="shared" si="11"/>
        <v>91831546</v>
      </c>
      <c r="D89" s="119">
        <f t="shared" si="11"/>
        <v>90998825</v>
      </c>
      <c r="E89" s="119">
        <f t="shared" si="12"/>
        <v>-832721</v>
      </c>
      <c r="F89" s="120">
        <f t="shared" si="13"/>
        <v>-9.0679187737947916E-3</v>
      </c>
    </row>
    <row r="90" spans="1:6" ht="15.75" x14ac:dyDescent="0.25">
      <c r="A90" s="130">
        <v>7</v>
      </c>
      <c r="B90" s="122" t="s">
        <v>119</v>
      </c>
      <c r="C90" s="119">
        <f t="shared" si="11"/>
        <v>233468173</v>
      </c>
      <c r="D90" s="119">
        <f t="shared" si="11"/>
        <v>247717348</v>
      </c>
      <c r="E90" s="119">
        <f t="shared" si="12"/>
        <v>14249175</v>
      </c>
      <c r="F90" s="120">
        <f t="shared" si="13"/>
        <v>6.1032623063358618E-2</v>
      </c>
    </row>
    <row r="91" spans="1:6" ht="15.75" x14ac:dyDescent="0.25">
      <c r="A91" s="130">
        <v>8</v>
      </c>
      <c r="B91" s="122" t="s">
        <v>120</v>
      </c>
      <c r="C91" s="119">
        <f t="shared" si="11"/>
        <v>4128455</v>
      </c>
      <c r="D91" s="119">
        <f t="shared" si="11"/>
        <v>4095100</v>
      </c>
      <c r="E91" s="119">
        <f t="shared" si="12"/>
        <v>-33355</v>
      </c>
      <c r="F91" s="120">
        <f t="shared" si="13"/>
        <v>-8.0792935856149571E-3</v>
      </c>
    </row>
    <row r="92" spans="1:6" ht="15.75" x14ac:dyDescent="0.25">
      <c r="A92" s="130">
        <v>9</v>
      </c>
      <c r="B92" s="122" t="s">
        <v>121</v>
      </c>
      <c r="C92" s="119">
        <f t="shared" si="11"/>
        <v>1895524</v>
      </c>
      <c r="D92" s="119">
        <f t="shared" si="11"/>
        <v>2203319</v>
      </c>
      <c r="E92" s="119">
        <f t="shared" si="12"/>
        <v>307795</v>
      </c>
      <c r="F92" s="120">
        <f t="shared" si="13"/>
        <v>0.16237990128323354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777615</v>
      </c>
      <c r="D94" s="119">
        <f t="shared" si="11"/>
        <v>1005374</v>
      </c>
      <c r="E94" s="119">
        <f t="shared" si="12"/>
        <v>227759</v>
      </c>
      <c r="F94" s="120">
        <f t="shared" si="13"/>
        <v>0.29289429859249116</v>
      </c>
    </row>
    <row r="95" spans="1:6" ht="18.75" customHeight="1" thickBot="1" x14ac:dyDescent="0.3">
      <c r="A95" s="131"/>
      <c r="B95" s="132" t="s">
        <v>134</v>
      </c>
      <c r="C95" s="128">
        <f>SUM(C84:C94)</f>
        <v>502977184</v>
      </c>
      <c r="D95" s="128">
        <f>SUM(D84:D94)</f>
        <v>524479552</v>
      </c>
      <c r="E95" s="128">
        <f t="shared" si="12"/>
        <v>21502368</v>
      </c>
      <c r="F95" s="129">
        <f t="shared" si="13"/>
        <v>4.2750185662497171E-2</v>
      </c>
    </row>
    <row r="96" spans="1:6" x14ac:dyDescent="0.2">
      <c r="A96" s="773" t="s">
        <v>135</v>
      </c>
      <c r="B96" s="775" t="s">
        <v>136</v>
      </c>
      <c r="C96" s="777"/>
      <c r="D96" s="778"/>
      <c r="E96" s="778"/>
      <c r="F96" s="779"/>
    </row>
    <row r="97" spans="1:6" ht="15" customHeight="1" x14ac:dyDescent="0.2">
      <c r="A97" s="774"/>
      <c r="B97" s="776"/>
      <c r="C97" s="780"/>
      <c r="D97" s="781"/>
      <c r="E97" s="781"/>
      <c r="F97" s="782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4619</v>
      </c>
      <c r="D100" s="133">
        <v>4504</v>
      </c>
      <c r="E100" s="133">
        <f t="shared" ref="E100:E111" si="14">D100-C100</f>
        <v>-115</v>
      </c>
      <c r="F100" s="114">
        <f t="shared" ref="F100:F111" si="15">IF(C100=0,0,E100/C100)</f>
        <v>-2.4897163888287509E-2</v>
      </c>
    </row>
    <row r="101" spans="1:6" x14ac:dyDescent="0.2">
      <c r="A101" s="115">
        <v>2</v>
      </c>
      <c r="B101" s="116" t="s">
        <v>114</v>
      </c>
      <c r="C101" s="133">
        <v>873</v>
      </c>
      <c r="D101" s="133">
        <v>925</v>
      </c>
      <c r="E101" s="133">
        <f t="shared" si="14"/>
        <v>52</v>
      </c>
      <c r="F101" s="114">
        <f t="shared" si="15"/>
        <v>5.9564719358533788E-2</v>
      </c>
    </row>
    <row r="102" spans="1:6" x14ac:dyDescent="0.2">
      <c r="A102" s="115">
        <v>3</v>
      </c>
      <c r="B102" s="116" t="s">
        <v>115</v>
      </c>
      <c r="C102" s="133">
        <v>3394</v>
      </c>
      <c r="D102" s="133">
        <v>3709</v>
      </c>
      <c r="E102" s="133">
        <f t="shared" si="14"/>
        <v>315</v>
      </c>
      <c r="F102" s="114">
        <f t="shared" si="15"/>
        <v>9.2810842663523865E-2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19</v>
      </c>
      <c r="D104" s="133">
        <v>29</v>
      </c>
      <c r="E104" s="133">
        <f t="shared" si="14"/>
        <v>10</v>
      </c>
      <c r="F104" s="114">
        <f t="shared" si="15"/>
        <v>0.52631578947368418</v>
      </c>
    </row>
    <row r="105" spans="1:6" x14ac:dyDescent="0.2">
      <c r="A105" s="115">
        <v>6</v>
      </c>
      <c r="B105" s="116" t="s">
        <v>118</v>
      </c>
      <c r="C105" s="133">
        <v>1468</v>
      </c>
      <c r="D105" s="133">
        <v>1485</v>
      </c>
      <c r="E105" s="133">
        <f t="shared" si="14"/>
        <v>17</v>
      </c>
      <c r="F105" s="114">
        <f t="shared" si="15"/>
        <v>1.1580381471389645E-2</v>
      </c>
    </row>
    <row r="106" spans="1:6" x14ac:dyDescent="0.2">
      <c r="A106" s="115">
        <v>7</v>
      </c>
      <c r="B106" s="116" t="s">
        <v>119</v>
      </c>
      <c r="C106" s="133">
        <v>4143</v>
      </c>
      <c r="D106" s="133">
        <v>4005</v>
      </c>
      <c r="E106" s="133">
        <f t="shared" si="14"/>
        <v>-138</v>
      </c>
      <c r="F106" s="114">
        <f t="shared" si="15"/>
        <v>-3.3309196234612599E-2</v>
      </c>
    </row>
    <row r="107" spans="1:6" x14ac:dyDescent="0.2">
      <c r="A107" s="115">
        <v>8</v>
      </c>
      <c r="B107" s="116" t="s">
        <v>120</v>
      </c>
      <c r="C107" s="133">
        <v>58</v>
      </c>
      <c r="D107" s="133">
        <v>46</v>
      </c>
      <c r="E107" s="133">
        <f t="shared" si="14"/>
        <v>-12</v>
      </c>
      <c r="F107" s="114">
        <f t="shared" si="15"/>
        <v>-0.20689655172413793</v>
      </c>
    </row>
    <row r="108" spans="1:6" x14ac:dyDescent="0.2">
      <c r="A108" s="115">
        <v>9</v>
      </c>
      <c r="B108" s="116" t="s">
        <v>121</v>
      </c>
      <c r="C108" s="133">
        <v>193</v>
      </c>
      <c r="D108" s="133">
        <v>139</v>
      </c>
      <c r="E108" s="133">
        <f t="shared" si="14"/>
        <v>-54</v>
      </c>
      <c r="F108" s="114">
        <f t="shared" si="15"/>
        <v>-0.27979274611398963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80</v>
      </c>
      <c r="D110" s="133">
        <v>63</v>
      </c>
      <c r="E110" s="133">
        <f t="shared" si="14"/>
        <v>-17</v>
      </c>
      <c r="F110" s="114">
        <f t="shared" si="15"/>
        <v>-0.21249999999999999</v>
      </c>
    </row>
    <row r="111" spans="1:6" ht="15.75" x14ac:dyDescent="0.25">
      <c r="A111" s="117"/>
      <c r="B111" s="118" t="s">
        <v>138</v>
      </c>
      <c r="C111" s="134">
        <f>SUM(C100:C110)</f>
        <v>14847</v>
      </c>
      <c r="D111" s="134">
        <f>SUM(D100:D110)</f>
        <v>14905</v>
      </c>
      <c r="E111" s="134">
        <f t="shared" si="14"/>
        <v>58</v>
      </c>
      <c r="F111" s="120">
        <f t="shared" si="15"/>
        <v>3.9065131002896207E-3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28894</v>
      </c>
      <c r="D113" s="133">
        <v>26816</v>
      </c>
      <c r="E113" s="133">
        <f t="shared" ref="E113:E124" si="16">D113-C113</f>
        <v>-2078</v>
      </c>
      <c r="F113" s="114">
        <f t="shared" ref="F113:F124" si="17">IF(C113=0,0,E113/C113)</f>
        <v>-7.191804526891396E-2</v>
      </c>
    </row>
    <row r="114" spans="1:6" x14ac:dyDescent="0.2">
      <c r="A114" s="115">
        <v>2</v>
      </c>
      <c r="B114" s="116" t="s">
        <v>114</v>
      </c>
      <c r="C114" s="133">
        <v>5374</v>
      </c>
      <c r="D114" s="133">
        <v>5548</v>
      </c>
      <c r="E114" s="133">
        <f t="shared" si="16"/>
        <v>174</v>
      </c>
      <c r="F114" s="114">
        <f t="shared" si="17"/>
        <v>3.2378116858950499E-2</v>
      </c>
    </row>
    <row r="115" spans="1:6" x14ac:dyDescent="0.2">
      <c r="A115" s="115">
        <v>3</v>
      </c>
      <c r="B115" s="116" t="s">
        <v>115</v>
      </c>
      <c r="C115" s="133">
        <v>14820</v>
      </c>
      <c r="D115" s="133">
        <v>16313</v>
      </c>
      <c r="E115" s="133">
        <f t="shared" si="16"/>
        <v>1493</v>
      </c>
      <c r="F115" s="114">
        <f t="shared" si="17"/>
        <v>0.10074224021592443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104</v>
      </c>
      <c r="D117" s="133">
        <v>115</v>
      </c>
      <c r="E117" s="133">
        <f t="shared" si="16"/>
        <v>11</v>
      </c>
      <c r="F117" s="114">
        <f t="shared" si="17"/>
        <v>0.10576923076923077</v>
      </c>
    </row>
    <row r="118" spans="1:6" x14ac:dyDescent="0.2">
      <c r="A118" s="115">
        <v>6</v>
      </c>
      <c r="B118" s="116" t="s">
        <v>118</v>
      </c>
      <c r="C118" s="133">
        <v>5791</v>
      </c>
      <c r="D118" s="133">
        <v>5493</v>
      </c>
      <c r="E118" s="133">
        <f t="shared" si="16"/>
        <v>-298</v>
      </c>
      <c r="F118" s="114">
        <f t="shared" si="17"/>
        <v>-5.1459160766706959E-2</v>
      </c>
    </row>
    <row r="119" spans="1:6" x14ac:dyDescent="0.2">
      <c r="A119" s="115">
        <v>7</v>
      </c>
      <c r="B119" s="116" t="s">
        <v>119</v>
      </c>
      <c r="C119" s="133">
        <v>16783</v>
      </c>
      <c r="D119" s="133">
        <v>16026</v>
      </c>
      <c r="E119" s="133">
        <f t="shared" si="16"/>
        <v>-757</v>
      </c>
      <c r="F119" s="114">
        <f t="shared" si="17"/>
        <v>-4.5105165941726748E-2</v>
      </c>
    </row>
    <row r="120" spans="1:6" x14ac:dyDescent="0.2">
      <c r="A120" s="115">
        <v>8</v>
      </c>
      <c r="B120" s="116" t="s">
        <v>120</v>
      </c>
      <c r="C120" s="133">
        <v>292</v>
      </c>
      <c r="D120" s="133">
        <v>278</v>
      </c>
      <c r="E120" s="133">
        <f t="shared" si="16"/>
        <v>-14</v>
      </c>
      <c r="F120" s="114">
        <f t="shared" si="17"/>
        <v>-4.7945205479452052E-2</v>
      </c>
    </row>
    <row r="121" spans="1:6" x14ac:dyDescent="0.2">
      <c r="A121" s="115">
        <v>9</v>
      </c>
      <c r="B121" s="116" t="s">
        <v>121</v>
      </c>
      <c r="C121" s="133">
        <v>716</v>
      </c>
      <c r="D121" s="133">
        <v>540</v>
      </c>
      <c r="E121" s="133">
        <f t="shared" si="16"/>
        <v>-176</v>
      </c>
      <c r="F121" s="114">
        <f t="shared" si="17"/>
        <v>-0.24581005586592178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428</v>
      </c>
      <c r="D123" s="133">
        <v>320</v>
      </c>
      <c r="E123" s="133">
        <f t="shared" si="16"/>
        <v>-108</v>
      </c>
      <c r="F123" s="114">
        <f t="shared" si="17"/>
        <v>-0.25233644859813081</v>
      </c>
    </row>
    <row r="124" spans="1:6" ht="15.75" x14ac:dyDescent="0.25">
      <c r="A124" s="117"/>
      <c r="B124" s="118" t="s">
        <v>140</v>
      </c>
      <c r="C124" s="134">
        <f>SUM(C113:C123)</f>
        <v>73202</v>
      </c>
      <c r="D124" s="134">
        <f>SUM(D113:D123)</f>
        <v>71449</v>
      </c>
      <c r="E124" s="134">
        <f t="shared" si="16"/>
        <v>-1753</v>
      </c>
      <c r="F124" s="120">
        <f t="shared" si="17"/>
        <v>-2.3947433130242342E-2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93254</v>
      </c>
      <c r="D126" s="133">
        <v>98868</v>
      </c>
      <c r="E126" s="133">
        <f t="shared" ref="E126:E137" si="18">D126-C126</f>
        <v>5614</v>
      </c>
      <c r="F126" s="114">
        <f t="shared" ref="F126:F137" si="19">IF(C126=0,0,E126/C126)</f>
        <v>6.0201170995346047E-2</v>
      </c>
    </row>
    <row r="127" spans="1:6" x14ac:dyDescent="0.2">
      <c r="A127" s="115">
        <v>2</v>
      </c>
      <c r="B127" s="116" t="s">
        <v>114</v>
      </c>
      <c r="C127" s="133">
        <v>19614</v>
      </c>
      <c r="D127" s="133">
        <v>22999</v>
      </c>
      <c r="E127" s="133">
        <f t="shared" si="18"/>
        <v>3385</v>
      </c>
      <c r="F127" s="114">
        <f t="shared" si="19"/>
        <v>0.17258080962577751</v>
      </c>
    </row>
    <row r="128" spans="1:6" x14ac:dyDescent="0.2">
      <c r="A128" s="115">
        <v>3</v>
      </c>
      <c r="B128" s="116" t="s">
        <v>115</v>
      </c>
      <c r="C128" s="133">
        <v>67407</v>
      </c>
      <c r="D128" s="133">
        <v>74533</v>
      </c>
      <c r="E128" s="133">
        <f t="shared" si="18"/>
        <v>7126</v>
      </c>
      <c r="F128" s="114">
        <f t="shared" si="19"/>
        <v>0.10571602355838415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257</v>
      </c>
      <c r="D130" s="133">
        <v>319</v>
      </c>
      <c r="E130" s="133">
        <f t="shared" si="18"/>
        <v>62</v>
      </c>
      <c r="F130" s="114">
        <f t="shared" si="19"/>
        <v>0.24124513618677043</v>
      </c>
    </row>
    <row r="131" spans="1:6" x14ac:dyDescent="0.2">
      <c r="A131" s="115">
        <v>6</v>
      </c>
      <c r="B131" s="116" t="s">
        <v>118</v>
      </c>
      <c r="C131" s="133">
        <v>48029</v>
      </c>
      <c r="D131" s="133">
        <v>50779</v>
      </c>
      <c r="E131" s="133">
        <f t="shared" si="18"/>
        <v>2750</v>
      </c>
      <c r="F131" s="114">
        <f t="shared" si="19"/>
        <v>5.7257073851214889E-2</v>
      </c>
    </row>
    <row r="132" spans="1:6" x14ac:dyDescent="0.2">
      <c r="A132" s="115">
        <v>7</v>
      </c>
      <c r="B132" s="116" t="s">
        <v>119</v>
      </c>
      <c r="C132" s="133">
        <v>147649</v>
      </c>
      <c r="D132" s="133">
        <v>148477</v>
      </c>
      <c r="E132" s="133">
        <f t="shared" si="18"/>
        <v>828</v>
      </c>
      <c r="F132" s="114">
        <f t="shared" si="19"/>
        <v>5.6078943982011391E-3</v>
      </c>
    </row>
    <row r="133" spans="1:6" x14ac:dyDescent="0.2">
      <c r="A133" s="115">
        <v>8</v>
      </c>
      <c r="B133" s="116" t="s">
        <v>120</v>
      </c>
      <c r="C133" s="133">
        <v>2255</v>
      </c>
      <c r="D133" s="133">
        <v>2313</v>
      </c>
      <c r="E133" s="133">
        <f t="shared" si="18"/>
        <v>58</v>
      </c>
      <c r="F133" s="114">
        <f t="shared" si="19"/>
        <v>2.5720620842572064E-2</v>
      </c>
    </row>
    <row r="134" spans="1:6" x14ac:dyDescent="0.2">
      <c r="A134" s="115">
        <v>9</v>
      </c>
      <c r="B134" s="116" t="s">
        <v>121</v>
      </c>
      <c r="C134" s="133">
        <v>19418</v>
      </c>
      <c r="D134" s="133">
        <v>19122</v>
      </c>
      <c r="E134" s="133">
        <f t="shared" si="18"/>
        <v>-296</v>
      </c>
      <c r="F134" s="114">
        <f t="shared" si="19"/>
        <v>-1.5243588423112575E-2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638</v>
      </c>
      <c r="D136" s="133">
        <v>622</v>
      </c>
      <c r="E136" s="133">
        <f t="shared" si="18"/>
        <v>-16</v>
      </c>
      <c r="F136" s="114">
        <f t="shared" si="19"/>
        <v>-2.5078369905956112E-2</v>
      </c>
    </row>
    <row r="137" spans="1:6" ht="15.75" x14ac:dyDescent="0.25">
      <c r="A137" s="117"/>
      <c r="B137" s="118" t="s">
        <v>142</v>
      </c>
      <c r="C137" s="134">
        <f>SUM(C126:C136)</f>
        <v>398521</v>
      </c>
      <c r="D137" s="134">
        <f>SUM(D126:D136)</f>
        <v>418032</v>
      </c>
      <c r="E137" s="134">
        <f t="shared" si="18"/>
        <v>19511</v>
      </c>
      <c r="F137" s="120">
        <f t="shared" si="19"/>
        <v>4.8958524143018815E-2</v>
      </c>
    </row>
    <row r="138" spans="1:6" x14ac:dyDescent="0.2">
      <c r="A138" s="773" t="s">
        <v>143</v>
      </c>
      <c r="B138" s="775" t="s">
        <v>144</v>
      </c>
      <c r="C138" s="777"/>
      <c r="D138" s="778"/>
      <c r="E138" s="778"/>
      <c r="F138" s="779"/>
    </row>
    <row r="139" spans="1:6" ht="15" customHeight="1" x14ac:dyDescent="0.2">
      <c r="A139" s="774"/>
      <c r="B139" s="776"/>
      <c r="C139" s="780"/>
      <c r="D139" s="781"/>
      <c r="E139" s="781"/>
      <c r="F139" s="782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52845562</v>
      </c>
      <c r="D142" s="113">
        <v>57932720</v>
      </c>
      <c r="E142" s="113">
        <f t="shared" ref="E142:E153" si="20">D142-C142</f>
        <v>5087158</v>
      </c>
      <c r="F142" s="114">
        <f t="shared" ref="F142:F153" si="21">IF(C142=0,0,E142/C142)</f>
        <v>9.6264621048026702E-2</v>
      </c>
    </row>
    <row r="143" spans="1:6" x14ac:dyDescent="0.2">
      <c r="A143" s="115">
        <v>2</v>
      </c>
      <c r="B143" s="116" t="s">
        <v>114</v>
      </c>
      <c r="C143" s="113">
        <v>12312435</v>
      </c>
      <c r="D143" s="113">
        <v>14788446</v>
      </c>
      <c r="E143" s="113">
        <f t="shared" si="20"/>
        <v>2476011</v>
      </c>
      <c r="F143" s="114">
        <f t="shared" si="21"/>
        <v>0.20109840173775537</v>
      </c>
    </row>
    <row r="144" spans="1:6" x14ac:dyDescent="0.2">
      <c r="A144" s="115">
        <v>3</v>
      </c>
      <c r="B144" s="116" t="s">
        <v>115</v>
      </c>
      <c r="C144" s="113">
        <v>67328413</v>
      </c>
      <c r="D144" s="113">
        <v>74025960</v>
      </c>
      <c r="E144" s="113">
        <f t="shared" si="20"/>
        <v>6697547</v>
      </c>
      <c r="F144" s="114">
        <f t="shared" si="21"/>
        <v>9.9475788921387462E-2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418317</v>
      </c>
      <c r="D146" s="113">
        <v>499094</v>
      </c>
      <c r="E146" s="113">
        <f t="shared" si="20"/>
        <v>80777</v>
      </c>
      <c r="F146" s="114">
        <f t="shared" si="21"/>
        <v>0.19309996964024889</v>
      </c>
    </row>
    <row r="147" spans="1:6" x14ac:dyDescent="0.2">
      <c r="A147" s="115">
        <v>6</v>
      </c>
      <c r="B147" s="116" t="s">
        <v>118</v>
      </c>
      <c r="C147" s="113">
        <v>26973838</v>
      </c>
      <c r="D147" s="113">
        <v>27704166</v>
      </c>
      <c r="E147" s="113">
        <f t="shared" si="20"/>
        <v>730328</v>
      </c>
      <c r="F147" s="114">
        <f t="shared" si="21"/>
        <v>2.7075420264628267E-2</v>
      </c>
    </row>
    <row r="148" spans="1:6" x14ac:dyDescent="0.2">
      <c r="A148" s="115">
        <v>7</v>
      </c>
      <c r="B148" s="116" t="s">
        <v>119</v>
      </c>
      <c r="C148" s="113">
        <v>61064756</v>
      </c>
      <c r="D148" s="113">
        <v>66542143</v>
      </c>
      <c r="E148" s="113">
        <f t="shared" si="20"/>
        <v>5477387</v>
      </c>
      <c r="F148" s="114">
        <f t="shared" si="21"/>
        <v>8.9698008455155381E-2</v>
      </c>
    </row>
    <row r="149" spans="1:6" x14ac:dyDescent="0.2">
      <c r="A149" s="115">
        <v>8</v>
      </c>
      <c r="B149" s="116" t="s">
        <v>120</v>
      </c>
      <c r="C149" s="113">
        <v>3753166</v>
      </c>
      <c r="D149" s="113">
        <v>3922735</v>
      </c>
      <c r="E149" s="113">
        <f t="shared" si="20"/>
        <v>169569</v>
      </c>
      <c r="F149" s="114">
        <f t="shared" si="21"/>
        <v>4.5180255816023057E-2</v>
      </c>
    </row>
    <row r="150" spans="1:6" x14ac:dyDescent="0.2">
      <c r="A150" s="115">
        <v>9</v>
      </c>
      <c r="B150" s="116" t="s">
        <v>121</v>
      </c>
      <c r="C150" s="113">
        <v>25962366</v>
      </c>
      <c r="D150" s="113">
        <v>29107063</v>
      </c>
      <c r="E150" s="113">
        <f t="shared" si="20"/>
        <v>3144697</v>
      </c>
      <c r="F150" s="114">
        <f t="shared" si="21"/>
        <v>0.12112520869631065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2473942</v>
      </c>
      <c r="D152" s="113">
        <v>2649958</v>
      </c>
      <c r="E152" s="113">
        <f t="shared" si="20"/>
        <v>176016</v>
      </c>
      <c r="F152" s="114">
        <f t="shared" si="21"/>
        <v>7.1147989726517438E-2</v>
      </c>
    </row>
    <row r="153" spans="1:6" ht="33.75" customHeight="1" x14ac:dyDescent="0.25">
      <c r="A153" s="117"/>
      <c r="B153" s="118" t="s">
        <v>146</v>
      </c>
      <c r="C153" s="119">
        <f>SUM(C142:C152)</f>
        <v>253132795</v>
      </c>
      <c r="D153" s="119">
        <f>SUM(D142:D152)</f>
        <v>277172285</v>
      </c>
      <c r="E153" s="119">
        <f t="shared" si="20"/>
        <v>24039490</v>
      </c>
      <c r="F153" s="120">
        <f t="shared" si="21"/>
        <v>9.4967900149010714E-2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5955047</v>
      </c>
      <c r="D155" s="113">
        <v>5843824</v>
      </c>
      <c r="E155" s="113">
        <f t="shared" ref="E155:E166" si="22">D155-C155</f>
        <v>-111223</v>
      </c>
      <c r="F155" s="114">
        <f t="shared" ref="F155:F166" si="23">IF(C155=0,0,E155/C155)</f>
        <v>-1.8677098602244448E-2</v>
      </c>
    </row>
    <row r="156" spans="1:6" x14ac:dyDescent="0.2">
      <c r="A156" s="115">
        <v>2</v>
      </c>
      <c r="B156" s="116" t="s">
        <v>114</v>
      </c>
      <c r="C156" s="113">
        <v>1203061</v>
      </c>
      <c r="D156" s="113">
        <v>1410431</v>
      </c>
      <c r="E156" s="113">
        <f t="shared" si="22"/>
        <v>207370</v>
      </c>
      <c r="F156" s="114">
        <f t="shared" si="23"/>
        <v>0.17236864963621962</v>
      </c>
    </row>
    <row r="157" spans="1:6" x14ac:dyDescent="0.2">
      <c r="A157" s="115">
        <v>3</v>
      </c>
      <c r="B157" s="116" t="s">
        <v>115</v>
      </c>
      <c r="C157" s="113">
        <v>4841910</v>
      </c>
      <c r="D157" s="113">
        <v>5921660</v>
      </c>
      <c r="E157" s="113">
        <f t="shared" si="22"/>
        <v>1079750</v>
      </c>
      <c r="F157" s="114">
        <f t="shared" si="23"/>
        <v>0.22300084057737546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40923</v>
      </c>
      <c r="D159" s="113">
        <v>56651</v>
      </c>
      <c r="E159" s="113">
        <f t="shared" si="22"/>
        <v>15728</v>
      </c>
      <c r="F159" s="114">
        <f t="shared" si="23"/>
        <v>0.38433154949539378</v>
      </c>
    </row>
    <row r="160" spans="1:6" x14ac:dyDescent="0.2">
      <c r="A160" s="115">
        <v>6</v>
      </c>
      <c r="B160" s="116" t="s">
        <v>118</v>
      </c>
      <c r="C160" s="113">
        <v>11516482</v>
      </c>
      <c r="D160" s="113">
        <v>11334207</v>
      </c>
      <c r="E160" s="113">
        <f t="shared" si="22"/>
        <v>-182275</v>
      </c>
      <c r="F160" s="114">
        <f t="shared" si="23"/>
        <v>-1.5827316015429017E-2</v>
      </c>
    </row>
    <row r="161" spans="1:6" x14ac:dyDescent="0.2">
      <c r="A161" s="115">
        <v>7</v>
      </c>
      <c r="B161" s="116" t="s">
        <v>119</v>
      </c>
      <c r="C161" s="113">
        <v>28427571</v>
      </c>
      <c r="D161" s="113">
        <v>28324326</v>
      </c>
      <c r="E161" s="113">
        <f t="shared" si="22"/>
        <v>-103245</v>
      </c>
      <c r="F161" s="114">
        <f t="shared" si="23"/>
        <v>-3.6318614770146913E-3</v>
      </c>
    </row>
    <row r="162" spans="1:6" x14ac:dyDescent="0.2">
      <c r="A162" s="115">
        <v>8</v>
      </c>
      <c r="B162" s="116" t="s">
        <v>120</v>
      </c>
      <c r="C162" s="113">
        <v>2289940</v>
      </c>
      <c r="D162" s="113">
        <v>1343404</v>
      </c>
      <c r="E162" s="113">
        <f t="shared" si="22"/>
        <v>-946536</v>
      </c>
      <c r="F162" s="114">
        <f t="shared" si="23"/>
        <v>-0.41334532782518318</v>
      </c>
    </row>
    <row r="163" spans="1:6" x14ac:dyDescent="0.2">
      <c r="A163" s="115">
        <v>9</v>
      </c>
      <c r="B163" s="116" t="s">
        <v>121</v>
      </c>
      <c r="C163" s="113">
        <v>229070</v>
      </c>
      <c r="D163" s="113">
        <v>223457</v>
      </c>
      <c r="E163" s="113">
        <f t="shared" si="22"/>
        <v>-5613</v>
      </c>
      <c r="F163" s="114">
        <f t="shared" si="23"/>
        <v>-2.4503426900074215E-2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215679</v>
      </c>
      <c r="D165" s="113">
        <v>575499</v>
      </c>
      <c r="E165" s="113">
        <f t="shared" si="22"/>
        <v>359820</v>
      </c>
      <c r="F165" s="114">
        <f t="shared" si="23"/>
        <v>1.6683126312714729</v>
      </c>
    </row>
    <row r="166" spans="1:6" ht="33.75" customHeight="1" x14ac:dyDescent="0.25">
      <c r="A166" s="117"/>
      <c r="B166" s="118" t="s">
        <v>148</v>
      </c>
      <c r="C166" s="119">
        <f>SUM(C155:C165)</f>
        <v>54719683</v>
      </c>
      <c r="D166" s="119">
        <f>SUM(D155:D165)</f>
        <v>55033459</v>
      </c>
      <c r="E166" s="119">
        <f t="shared" si="22"/>
        <v>313776</v>
      </c>
      <c r="F166" s="120">
        <f t="shared" si="23"/>
        <v>5.7342437455275459E-3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6350</v>
      </c>
      <c r="D168" s="133">
        <v>6165</v>
      </c>
      <c r="E168" s="133">
        <f t="shared" ref="E168:E179" si="24">D168-C168</f>
        <v>-185</v>
      </c>
      <c r="F168" s="114">
        <f t="shared" ref="F168:F179" si="25">IF(C168=0,0,E168/C168)</f>
        <v>-2.9133858267716535E-2</v>
      </c>
    </row>
    <row r="169" spans="1:6" x14ac:dyDescent="0.2">
      <c r="A169" s="115">
        <v>2</v>
      </c>
      <c r="B169" s="116" t="s">
        <v>114</v>
      </c>
      <c r="C169" s="133">
        <v>1342</v>
      </c>
      <c r="D169" s="133">
        <v>1474</v>
      </c>
      <c r="E169" s="133">
        <f t="shared" si="24"/>
        <v>132</v>
      </c>
      <c r="F169" s="114">
        <f t="shared" si="25"/>
        <v>9.8360655737704916E-2</v>
      </c>
    </row>
    <row r="170" spans="1:6" x14ac:dyDescent="0.2">
      <c r="A170" s="115">
        <v>3</v>
      </c>
      <c r="B170" s="116" t="s">
        <v>115</v>
      </c>
      <c r="C170" s="133">
        <v>14413</v>
      </c>
      <c r="D170" s="133">
        <v>14440</v>
      </c>
      <c r="E170" s="133">
        <f t="shared" si="24"/>
        <v>27</v>
      </c>
      <c r="F170" s="114">
        <f t="shared" si="25"/>
        <v>1.8733088184278081E-3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60</v>
      </c>
      <c r="D172" s="133">
        <v>84</v>
      </c>
      <c r="E172" s="133">
        <f t="shared" si="24"/>
        <v>24</v>
      </c>
      <c r="F172" s="114">
        <f t="shared" si="25"/>
        <v>0.4</v>
      </c>
    </row>
    <row r="173" spans="1:6" x14ac:dyDescent="0.2">
      <c r="A173" s="115">
        <v>6</v>
      </c>
      <c r="B173" s="116" t="s">
        <v>118</v>
      </c>
      <c r="C173" s="133">
        <v>3977</v>
      </c>
      <c r="D173" s="133">
        <v>3885</v>
      </c>
      <c r="E173" s="133">
        <f t="shared" si="24"/>
        <v>-92</v>
      </c>
      <c r="F173" s="114">
        <f t="shared" si="25"/>
        <v>-2.3133014835302994E-2</v>
      </c>
    </row>
    <row r="174" spans="1:6" x14ac:dyDescent="0.2">
      <c r="A174" s="115">
        <v>7</v>
      </c>
      <c r="B174" s="116" t="s">
        <v>119</v>
      </c>
      <c r="C174" s="133">
        <v>8962</v>
      </c>
      <c r="D174" s="133">
        <v>9054</v>
      </c>
      <c r="E174" s="133">
        <f t="shared" si="24"/>
        <v>92</v>
      </c>
      <c r="F174" s="114">
        <f t="shared" si="25"/>
        <v>1.0265565721937068E-2</v>
      </c>
    </row>
    <row r="175" spans="1:6" x14ac:dyDescent="0.2">
      <c r="A175" s="115">
        <v>8</v>
      </c>
      <c r="B175" s="116" t="s">
        <v>120</v>
      </c>
      <c r="C175" s="133">
        <v>826</v>
      </c>
      <c r="D175" s="133">
        <v>792</v>
      </c>
      <c r="E175" s="133">
        <f t="shared" si="24"/>
        <v>-34</v>
      </c>
      <c r="F175" s="114">
        <f t="shared" si="25"/>
        <v>-4.1162227602905568E-2</v>
      </c>
    </row>
    <row r="176" spans="1:6" x14ac:dyDescent="0.2">
      <c r="A176" s="115">
        <v>9</v>
      </c>
      <c r="B176" s="116" t="s">
        <v>121</v>
      </c>
      <c r="C176" s="133">
        <v>4873</v>
      </c>
      <c r="D176" s="133">
        <v>5180</v>
      </c>
      <c r="E176" s="133">
        <f t="shared" si="24"/>
        <v>307</v>
      </c>
      <c r="F176" s="114">
        <f t="shared" si="25"/>
        <v>6.3000205212394828E-2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441</v>
      </c>
      <c r="D178" s="133">
        <v>416</v>
      </c>
      <c r="E178" s="133">
        <f t="shared" si="24"/>
        <v>-25</v>
      </c>
      <c r="F178" s="114">
        <f t="shared" si="25"/>
        <v>-5.6689342403628121E-2</v>
      </c>
    </row>
    <row r="179" spans="1:6" ht="33.75" customHeight="1" x14ac:dyDescent="0.25">
      <c r="A179" s="117"/>
      <c r="B179" s="118" t="s">
        <v>150</v>
      </c>
      <c r="C179" s="134">
        <f>SUM(C168:C178)</f>
        <v>41244</v>
      </c>
      <c r="D179" s="134">
        <f>SUM(D168:D178)</f>
        <v>41490</v>
      </c>
      <c r="E179" s="134">
        <f t="shared" si="24"/>
        <v>246</v>
      </c>
      <c r="F179" s="120">
        <f t="shared" si="25"/>
        <v>5.9645039278440502E-3</v>
      </c>
    </row>
  </sheetData>
  <mergeCells count="23"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  <mergeCell ref="A10:A11"/>
    <mergeCell ref="B10:B11"/>
    <mergeCell ref="C10:F11"/>
    <mergeCell ref="A39:A40"/>
    <mergeCell ref="B39:B40"/>
    <mergeCell ref="C39:F40"/>
    <mergeCell ref="A2:F2"/>
    <mergeCell ref="A3:F3"/>
    <mergeCell ref="A4:F4"/>
    <mergeCell ref="A5:F5"/>
    <mergeCell ref="C9:F9"/>
  </mergeCells>
  <pageMargins left="0.25" right="0.25" top="0.5" bottom="0.5" header="0.25" footer="0.25"/>
  <pageSetup paperSize="9" scale="74" fitToHeight="2" orientation="portrait" horizontalDpi="1200" verticalDpi="1200" r:id="rId1"/>
  <headerFooter>
    <oddHeader>&amp;LOFFICE OF HEALTH CARE ACCESS&amp;CTWELVE MONTHS ACTUAL FILING&amp;RSTAMFORD HOSPITAL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B1" zoomScale="75" workbookViewId="0">
      <selection activeCell="F18" sqref="F18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57680343</v>
      </c>
      <c r="D15" s="157">
        <v>61043001</v>
      </c>
      <c r="E15" s="157">
        <f>+D15-C15</f>
        <v>3362658</v>
      </c>
      <c r="F15" s="161">
        <f>IF(C15=0,0,E15/C15)</f>
        <v>5.8298162339291221E-2</v>
      </c>
    </row>
    <row r="16" spans="1:6" ht="15" customHeight="1" x14ac:dyDescent="0.2">
      <c r="A16" s="147">
        <v>2</v>
      </c>
      <c r="B16" s="160" t="s">
        <v>157</v>
      </c>
      <c r="C16" s="157">
        <v>24318376</v>
      </c>
      <c r="D16" s="157">
        <v>25323702</v>
      </c>
      <c r="E16" s="157">
        <f>+D16-C16</f>
        <v>1005326</v>
      </c>
      <c r="F16" s="161">
        <f>IF(C16=0,0,E16/C16)</f>
        <v>4.1340178307959378E-2</v>
      </c>
    </row>
    <row r="17" spans="1:6" ht="15" customHeight="1" x14ac:dyDescent="0.2">
      <c r="A17" s="147">
        <v>3</v>
      </c>
      <c r="B17" s="160" t="s">
        <v>158</v>
      </c>
      <c r="C17" s="157">
        <v>105564140</v>
      </c>
      <c r="D17" s="157">
        <v>106668123</v>
      </c>
      <c r="E17" s="157">
        <f>+D17-C17</f>
        <v>1103983</v>
      </c>
      <c r="F17" s="161">
        <f>IF(C17=0,0,E17/C17)</f>
        <v>1.0457935810399251E-2</v>
      </c>
    </row>
    <row r="18" spans="1:6" ht="15.75" customHeight="1" x14ac:dyDescent="0.25">
      <c r="A18" s="147"/>
      <c r="B18" s="162" t="s">
        <v>159</v>
      </c>
      <c r="C18" s="158">
        <f>SUM(C15:C17)</f>
        <v>187562859</v>
      </c>
      <c r="D18" s="158">
        <f>SUM(D15:D17)</f>
        <v>193034826</v>
      </c>
      <c r="E18" s="158">
        <f>+D18-C18</f>
        <v>5471967</v>
      </c>
      <c r="F18" s="159">
        <f>IF(C18=0,0,E18/C18)</f>
        <v>2.9174043460278028E-2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14861218</v>
      </c>
      <c r="D21" s="157">
        <v>15743256</v>
      </c>
      <c r="E21" s="157">
        <f>+D21-C21</f>
        <v>882038</v>
      </c>
      <c r="F21" s="161">
        <f>IF(C21=0,0,E21/C21)</f>
        <v>5.9351662831404535E-2</v>
      </c>
    </row>
    <row r="22" spans="1:6" ht="15" customHeight="1" x14ac:dyDescent="0.2">
      <c r="A22" s="147">
        <v>2</v>
      </c>
      <c r="B22" s="160" t="s">
        <v>162</v>
      </c>
      <c r="C22" s="157">
        <v>6268293</v>
      </c>
      <c r="D22" s="157">
        <v>6531093</v>
      </c>
      <c r="E22" s="157">
        <f>+D22-C22</f>
        <v>262800</v>
      </c>
      <c r="F22" s="161">
        <f>IF(C22=0,0,E22/C22)</f>
        <v>4.1925289708059275E-2</v>
      </c>
    </row>
    <row r="23" spans="1:6" ht="15" customHeight="1" x14ac:dyDescent="0.2">
      <c r="A23" s="147">
        <v>3</v>
      </c>
      <c r="B23" s="160" t="s">
        <v>163</v>
      </c>
      <c r="C23" s="157">
        <v>27199654</v>
      </c>
      <c r="D23" s="157">
        <v>27510173</v>
      </c>
      <c r="E23" s="157">
        <f>+D23-C23</f>
        <v>310519</v>
      </c>
      <c r="F23" s="161">
        <f>IF(C23=0,0,E23/C23)</f>
        <v>1.1416284927742095E-2</v>
      </c>
    </row>
    <row r="24" spans="1:6" ht="15.75" customHeight="1" x14ac:dyDescent="0.25">
      <c r="A24" s="147"/>
      <c r="B24" s="162" t="s">
        <v>164</v>
      </c>
      <c r="C24" s="158">
        <f>SUM(C21:C23)</f>
        <v>48329165</v>
      </c>
      <c r="D24" s="158">
        <f>SUM(D21:D23)</f>
        <v>49784522</v>
      </c>
      <c r="E24" s="158">
        <f>+D24-C24</f>
        <v>1455357</v>
      </c>
      <c r="F24" s="159">
        <f>IF(C24=0,0,E24/C24)</f>
        <v>3.0113431506627521E-2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1848139</v>
      </c>
      <c r="D27" s="157">
        <v>1046032</v>
      </c>
      <c r="E27" s="157">
        <f>+D27-C27</f>
        <v>-802107</v>
      </c>
      <c r="F27" s="161">
        <f>IF(C27=0,0,E27/C27)</f>
        <v>-0.43400793987898095</v>
      </c>
    </row>
    <row r="28" spans="1:6" ht="15" customHeight="1" x14ac:dyDescent="0.2">
      <c r="A28" s="147">
        <v>2</v>
      </c>
      <c r="B28" s="160" t="s">
        <v>167</v>
      </c>
      <c r="C28" s="157">
        <v>11231023</v>
      </c>
      <c r="D28" s="157">
        <v>10308674</v>
      </c>
      <c r="E28" s="157">
        <f>+D28-C28</f>
        <v>-922349</v>
      </c>
      <c r="F28" s="161">
        <f>IF(C28=0,0,E28/C28)</f>
        <v>-8.2125110063437673E-2</v>
      </c>
    </row>
    <row r="29" spans="1:6" ht="15" customHeight="1" x14ac:dyDescent="0.2">
      <c r="A29" s="147">
        <v>3</v>
      </c>
      <c r="B29" s="160" t="s">
        <v>168</v>
      </c>
      <c r="C29" s="157">
        <v>28642702</v>
      </c>
      <c r="D29" s="157">
        <v>31348626</v>
      </c>
      <c r="E29" s="157">
        <f>+D29-C29</f>
        <v>2705924</v>
      </c>
      <c r="F29" s="161">
        <f>IF(C29=0,0,E29/C29)</f>
        <v>9.4471673796696978E-2</v>
      </c>
    </row>
    <row r="30" spans="1:6" ht="15.75" customHeight="1" x14ac:dyDescent="0.25">
      <c r="A30" s="147"/>
      <c r="B30" s="162" t="s">
        <v>169</v>
      </c>
      <c r="C30" s="158">
        <f>SUM(C27:C29)</f>
        <v>41721864</v>
      </c>
      <c r="D30" s="158">
        <f>SUM(D27:D29)</f>
        <v>42703332</v>
      </c>
      <c r="E30" s="158">
        <f>+D30-C30</f>
        <v>981468</v>
      </c>
      <c r="F30" s="159">
        <f>IF(C30=0,0,E30/C30)</f>
        <v>2.352406881916877E-2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44919996</v>
      </c>
      <c r="D33" s="157">
        <v>45816562</v>
      </c>
      <c r="E33" s="157">
        <f>+D33-C33</f>
        <v>896566</v>
      </c>
      <c r="F33" s="161">
        <f>IF(C33=0,0,E33/C33)</f>
        <v>1.9959173638394802E-2</v>
      </c>
    </row>
    <row r="34" spans="1:6" ht="15" customHeight="1" x14ac:dyDescent="0.2">
      <c r="A34" s="147">
        <v>2</v>
      </c>
      <c r="B34" s="160" t="s">
        <v>173</v>
      </c>
      <c r="C34" s="157">
        <v>18579082</v>
      </c>
      <c r="D34" s="157">
        <v>23895515</v>
      </c>
      <c r="E34" s="157">
        <f>+D34-C34</f>
        <v>5316433</v>
      </c>
      <c r="F34" s="161">
        <f>IF(C34=0,0,E34/C34)</f>
        <v>0.28615154397833004</v>
      </c>
    </row>
    <row r="35" spans="1:6" ht="15.75" customHeight="1" x14ac:dyDescent="0.25">
      <c r="A35" s="147"/>
      <c r="B35" s="162" t="s">
        <v>174</v>
      </c>
      <c r="C35" s="158">
        <f>SUM(C33:C34)</f>
        <v>63499078</v>
      </c>
      <c r="D35" s="158">
        <f>SUM(D33:D34)</f>
        <v>69712077</v>
      </c>
      <c r="E35" s="158">
        <f>+D35-C35</f>
        <v>6212999</v>
      </c>
      <c r="F35" s="159">
        <f>IF(C35=0,0,E35/C35)</f>
        <v>9.7843924599976081E-2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18484876</v>
      </c>
      <c r="D38" s="157">
        <v>24034241</v>
      </c>
      <c r="E38" s="157">
        <f>+D38-C38</f>
        <v>5549365</v>
      </c>
      <c r="F38" s="161">
        <f>IF(C38=0,0,E38/C38)</f>
        <v>0.30021110230871983</v>
      </c>
    </row>
    <row r="39" spans="1:6" ht="15" customHeight="1" x14ac:dyDescent="0.2">
      <c r="A39" s="147">
        <v>2</v>
      </c>
      <c r="B39" s="160" t="s">
        <v>178</v>
      </c>
      <c r="C39" s="157">
        <v>5317779</v>
      </c>
      <c r="D39" s="157">
        <v>6910683</v>
      </c>
      <c r="E39" s="157">
        <f>+D39-C39</f>
        <v>1592904</v>
      </c>
      <c r="F39" s="161">
        <f>IF(C39=0,0,E39/C39)</f>
        <v>0.29954309872599066</v>
      </c>
    </row>
    <row r="40" spans="1:6" ht="15" customHeight="1" x14ac:dyDescent="0.2">
      <c r="A40" s="147">
        <v>3</v>
      </c>
      <c r="B40" s="160" t="s">
        <v>179</v>
      </c>
      <c r="C40" s="157">
        <v>0</v>
      </c>
      <c r="D40" s="157">
        <v>0</v>
      </c>
      <c r="E40" s="157">
        <f>+D40-C40</f>
        <v>0</v>
      </c>
      <c r="F40" s="161">
        <f>IF(C40=0,0,E40/C40)</f>
        <v>0</v>
      </c>
    </row>
    <row r="41" spans="1:6" ht="15.75" customHeight="1" x14ac:dyDescent="0.25">
      <c r="A41" s="147"/>
      <c r="B41" s="162" t="s">
        <v>180</v>
      </c>
      <c r="C41" s="158">
        <f>SUM(C38:C40)</f>
        <v>23802655</v>
      </c>
      <c r="D41" s="158">
        <f>SUM(D38:D40)</f>
        <v>30944924</v>
      </c>
      <c r="E41" s="158">
        <f>+D41-C41</f>
        <v>7142269</v>
      </c>
      <c r="F41" s="159">
        <f>IF(C41=0,0,E41/C41)</f>
        <v>0.30006186284681269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5743115</v>
      </c>
      <c r="D47" s="157">
        <v>6792759</v>
      </c>
      <c r="E47" s="157">
        <f>+D47-C47</f>
        <v>1049644</v>
      </c>
      <c r="F47" s="161">
        <f>IF(C47=0,0,E47/C47)</f>
        <v>0.1827656245782994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6712666</v>
      </c>
      <c r="D50" s="157">
        <v>6004273</v>
      </c>
      <c r="E50" s="157">
        <f>+D50-C50</f>
        <v>-708393</v>
      </c>
      <c r="F50" s="161">
        <f>IF(C50=0,0,E50/C50)</f>
        <v>-0.10553079804655854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126755</v>
      </c>
      <c r="D53" s="157">
        <v>199112</v>
      </c>
      <c r="E53" s="157">
        <f t="shared" ref="E53:E59" si="0">+D53-C53</f>
        <v>72357</v>
      </c>
      <c r="F53" s="161">
        <f t="shared" ref="F53:F59" si="1">IF(C53=0,0,E53/C53)</f>
        <v>0.57084138692753739</v>
      </c>
    </row>
    <row r="54" spans="1:6" ht="15" customHeight="1" x14ac:dyDescent="0.2">
      <c r="A54" s="147">
        <v>2</v>
      </c>
      <c r="B54" s="160" t="s">
        <v>189</v>
      </c>
      <c r="C54" s="157">
        <v>1541916</v>
      </c>
      <c r="D54" s="157">
        <v>1608297</v>
      </c>
      <c r="E54" s="157">
        <f t="shared" si="0"/>
        <v>66381</v>
      </c>
      <c r="F54" s="161">
        <f t="shared" si="1"/>
        <v>4.3050983322048673E-2</v>
      </c>
    </row>
    <row r="55" spans="1:6" ht="15" customHeight="1" x14ac:dyDescent="0.2">
      <c r="A55" s="147">
        <v>3</v>
      </c>
      <c r="B55" s="160" t="s">
        <v>190</v>
      </c>
      <c r="C55" s="157">
        <v>6175</v>
      </c>
      <c r="D55" s="157">
        <v>3077</v>
      </c>
      <c r="E55" s="157">
        <f t="shared" si="0"/>
        <v>-3098</v>
      </c>
      <c r="F55" s="161">
        <f t="shared" si="1"/>
        <v>-0.50170040485829959</v>
      </c>
    </row>
    <row r="56" spans="1:6" ht="15" customHeight="1" x14ac:dyDescent="0.2">
      <c r="A56" s="147">
        <v>4</v>
      </c>
      <c r="B56" s="160" t="s">
        <v>191</v>
      </c>
      <c r="C56" s="157">
        <v>3924338</v>
      </c>
      <c r="D56" s="157">
        <v>4870791</v>
      </c>
      <c r="E56" s="157">
        <f t="shared" si="0"/>
        <v>946453</v>
      </c>
      <c r="F56" s="161">
        <f t="shared" si="1"/>
        <v>0.24117519948587507</v>
      </c>
    </row>
    <row r="57" spans="1:6" ht="15" customHeight="1" x14ac:dyDescent="0.2">
      <c r="A57" s="147">
        <v>5</v>
      </c>
      <c r="B57" s="160" t="s">
        <v>192</v>
      </c>
      <c r="C57" s="157">
        <v>1031379</v>
      </c>
      <c r="D57" s="157">
        <v>1214936</v>
      </c>
      <c r="E57" s="157">
        <f t="shared" si="0"/>
        <v>183557</v>
      </c>
      <c r="F57" s="161">
        <f t="shared" si="1"/>
        <v>0.17797240393686511</v>
      </c>
    </row>
    <row r="58" spans="1:6" ht="15" customHeight="1" x14ac:dyDescent="0.2">
      <c r="A58" s="147">
        <v>6</v>
      </c>
      <c r="B58" s="160" t="s">
        <v>193</v>
      </c>
      <c r="C58" s="157">
        <v>201221</v>
      </c>
      <c r="D58" s="157">
        <v>243862</v>
      </c>
      <c r="E58" s="157">
        <f t="shared" si="0"/>
        <v>42641</v>
      </c>
      <c r="F58" s="161">
        <f t="shared" si="1"/>
        <v>0.21191128162567524</v>
      </c>
    </row>
    <row r="59" spans="1:6" ht="15.75" customHeight="1" x14ac:dyDescent="0.25">
      <c r="A59" s="147"/>
      <c r="B59" s="162" t="s">
        <v>194</v>
      </c>
      <c r="C59" s="158">
        <f>SUM(C53:C58)</f>
        <v>6831784</v>
      </c>
      <c r="D59" s="158">
        <f>SUM(D53:D58)</f>
        <v>8140075</v>
      </c>
      <c r="E59" s="158">
        <f t="shared" si="0"/>
        <v>1308291</v>
      </c>
      <c r="F59" s="159">
        <f t="shared" si="1"/>
        <v>0.1915006387789778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369334</v>
      </c>
      <c r="D62" s="157">
        <v>443942</v>
      </c>
      <c r="E62" s="157">
        <f t="shared" ref="E62:E90" si="2">+D62-C62</f>
        <v>74608</v>
      </c>
      <c r="F62" s="161">
        <f t="shared" ref="F62:F90" si="3">IF(C62=0,0,E62/C62)</f>
        <v>0.20200685558329318</v>
      </c>
    </row>
    <row r="63" spans="1:6" ht="15" customHeight="1" x14ac:dyDescent="0.2">
      <c r="A63" s="147">
        <v>2</v>
      </c>
      <c r="B63" s="160" t="s">
        <v>198</v>
      </c>
      <c r="C63" s="157">
        <v>2225406</v>
      </c>
      <c r="D63" s="157">
        <v>2650878</v>
      </c>
      <c r="E63" s="157">
        <f t="shared" si="2"/>
        <v>425472</v>
      </c>
      <c r="F63" s="161">
        <f t="shared" si="3"/>
        <v>0.19118848425860269</v>
      </c>
    </row>
    <row r="64" spans="1:6" ht="15" customHeight="1" x14ac:dyDescent="0.2">
      <c r="A64" s="147">
        <v>3</v>
      </c>
      <c r="B64" s="160" t="s">
        <v>199</v>
      </c>
      <c r="C64" s="157">
        <v>5636543</v>
      </c>
      <c r="D64" s="157">
        <v>5057182</v>
      </c>
      <c r="E64" s="157">
        <f t="shared" si="2"/>
        <v>-579361</v>
      </c>
      <c r="F64" s="161">
        <f t="shared" si="3"/>
        <v>-0.10278658390435413</v>
      </c>
    </row>
    <row r="65" spans="1:6" ht="15" customHeight="1" x14ac:dyDescent="0.2">
      <c r="A65" s="147">
        <v>4</v>
      </c>
      <c r="B65" s="160" t="s">
        <v>200</v>
      </c>
      <c r="C65" s="157">
        <v>2082232</v>
      </c>
      <c r="D65" s="157">
        <v>1930808</v>
      </c>
      <c r="E65" s="157">
        <f t="shared" si="2"/>
        <v>-151424</v>
      </c>
      <c r="F65" s="161">
        <f t="shared" si="3"/>
        <v>-7.2721963738910933E-2</v>
      </c>
    </row>
    <row r="66" spans="1:6" ht="15" customHeight="1" x14ac:dyDescent="0.2">
      <c r="A66" s="147">
        <v>5</v>
      </c>
      <c r="B66" s="160" t="s">
        <v>201</v>
      </c>
      <c r="C66" s="157">
        <v>2499390</v>
      </c>
      <c r="D66" s="157">
        <v>2538738</v>
      </c>
      <c r="E66" s="157">
        <f t="shared" si="2"/>
        <v>39348</v>
      </c>
      <c r="F66" s="161">
        <f t="shared" si="3"/>
        <v>1.5743041302077706E-2</v>
      </c>
    </row>
    <row r="67" spans="1:6" ht="15" customHeight="1" x14ac:dyDescent="0.2">
      <c r="A67" s="147">
        <v>6</v>
      </c>
      <c r="B67" s="160" t="s">
        <v>202</v>
      </c>
      <c r="C67" s="157">
        <v>4966737</v>
      </c>
      <c r="D67" s="157">
        <v>6096671</v>
      </c>
      <c r="E67" s="157">
        <f t="shared" si="2"/>
        <v>1129934</v>
      </c>
      <c r="F67" s="161">
        <f t="shared" si="3"/>
        <v>0.22750026828479139</v>
      </c>
    </row>
    <row r="68" spans="1:6" ht="15" customHeight="1" x14ac:dyDescent="0.2">
      <c r="A68" s="147">
        <v>7</v>
      </c>
      <c r="B68" s="160" t="s">
        <v>203</v>
      </c>
      <c r="C68" s="157">
        <v>15534018</v>
      </c>
      <c r="D68" s="157">
        <v>16358208</v>
      </c>
      <c r="E68" s="157">
        <f t="shared" si="2"/>
        <v>824190</v>
      </c>
      <c r="F68" s="161">
        <f t="shared" si="3"/>
        <v>5.305710344870207E-2</v>
      </c>
    </row>
    <row r="69" spans="1:6" ht="15" customHeight="1" x14ac:dyDescent="0.2">
      <c r="A69" s="147">
        <v>8</v>
      </c>
      <c r="B69" s="160" t="s">
        <v>204</v>
      </c>
      <c r="C69" s="157">
        <v>981898</v>
      </c>
      <c r="D69" s="157">
        <v>1009517</v>
      </c>
      <c r="E69" s="157">
        <f t="shared" si="2"/>
        <v>27619</v>
      </c>
      <c r="F69" s="161">
        <f t="shared" si="3"/>
        <v>2.8128176246412562E-2</v>
      </c>
    </row>
    <row r="70" spans="1:6" ht="15" customHeight="1" x14ac:dyDescent="0.2">
      <c r="A70" s="147">
        <v>9</v>
      </c>
      <c r="B70" s="160" t="s">
        <v>205</v>
      </c>
      <c r="C70" s="157">
        <v>665009</v>
      </c>
      <c r="D70" s="157">
        <v>549451</v>
      </c>
      <c r="E70" s="157">
        <f t="shared" si="2"/>
        <v>-115558</v>
      </c>
      <c r="F70" s="161">
        <f t="shared" si="3"/>
        <v>-0.17376907680948678</v>
      </c>
    </row>
    <row r="71" spans="1:6" ht="15" customHeight="1" x14ac:dyDescent="0.2">
      <c r="A71" s="147">
        <v>10</v>
      </c>
      <c r="B71" s="160" t="s">
        <v>206</v>
      </c>
      <c r="C71" s="157">
        <v>0</v>
      </c>
      <c r="D71" s="157">
        <v>0</v>
      </c>
      <c r="E71" s="157">
        <f t="shared" si="2"/>
        <v>0</v>
      </c>
      <c r="F71" s="161">
        <f t="shared" si="3"/>
        <v>0</v>
      </c>
    </row>
    <row r="72" spans="1:6" ht="15" customHeight="1" x14ac:dyDescent="0.2">
      <c r="A72" s="147">
        <v>11</v>
      </c>
      <c r="B72" s="160" t="s">
        <v>207</v>
      </c>
      <c r="C72" s="157">
        <v>0</v>
      </c>
      <c r="D72" s="157">
        <v>0</v>
      </c>
      <c r="E72" s="157">
        <f t="shared" si="2"/>
        <v>0</v>
      </c>
      <c r="F72" s="161">
        <f t="shared" si="3"/>
        <v>0</v>
      </c>
    </row>
    <row r="73" spans="1:6" ht="15" customHeight="1" x14ac:dyDescent="0.2">
      <c r="A73" s="147">
        <v>12</v>
      </c>
      <c r="B73" s="160" t="s">
        <v>208</v>
      </c>
      <c r="C73" s="157">
        <v>2649323</v>
      </c>
      <c r="D73" s="157">
        <v>3473951</v>
      </c>
      <c r="E73" s="157">
        <f t="shared" si="2"/>
        <v>824628</v>
      </c>
      <c r="F73" s="161">
        <f t="shared" si="3"/>
        <v>0.31125989545253635</v>
      </c>
    </row>
    <row r="74" spans="1:6" ht="15" customHeight="1" x14ac:dyDescent="0.2">
      <c r="A74" s="147">
        <v>13</v>
      </c>
      <c r="B74" s="160" t="s">
        <v>209</v>
      </c>
      <c r="C74" s="157">
        <v>122474</v>
      </c>
      <c r="D74" s="157">
        <v>182212</v>
      </c>
      <c r="E74" s="157">
        <f t="shared" si="2"/>
        <v>59738</v>
      </c>
      <c r="F74" s="161">
        <f t="shared" si="3"/>
        <v>0.48776066757025982</v>
      </c>
    </row>
    <row r="75" spans="1:6" ht="15" customHeight="1" x14ac:dyDescent="0.2">
      <c r="A75" s="147">
        <v>14</v>
      </c>
      <c r="B75" s="160" t="s">
        <v>210</v>
      </c>
      <c r="C75" s="157">
        <v>313223</v>
      </c>
      <c r="D75" s="157">
        <v>334796</v>
      </c>
      <c r="E75" s="157">
        <f t="shared" si="2"/>
        <v>21573</v>
      </c>
      <c r="F75" s="161">
        <f t="shared" si="3"/>
        <v>6.8874252529348104E-2</v>
      </c>
    </row>
    <row r="76" spans="1:6" ht="15" customHeight="1" x14ac:dyDescent="0.2">
      <c r="A76" s="147">
        <v>15</v>
      </c>
      <c r="B76" s="160" t="s">
        <v>211</v>
      </c>
      <c r="C76" s="157">
        <v>1826232</v>
      </c>
      <c r="D76" s="157">
        <v>3702713</v>
      </c>
      <c r="E76" s="157">
        <f t="shared" si="2"/>
        <v>1876481</v>
      </c>
      <c r="F76" s="161">
        <f t="shared" si="3"/>
        <v>1.0275151240368146</v>
      </c>
    </row>
    <row r="77" spans="1:6" ht="15" customHeight="1" x14ac:dyDescent="0.2">
      <c r="A77" s="147">
        <v>16</v>
      </c>
      <c r="B77" s="160" t="s">
        <v>212</v>
      </c>
      <c r="C77" s="157">
        <v>0</v>
      </c>
      <c r="D77" s="157">
        <v>0</v>
      </c>
      <c r="E77" s="157">
        <f t="shared" si="2"/>
        <v>0</v>
      </c>
      <c r="F77" s="161">
        <f t="shared" si="3"/>
        <v>0</v>
      </c>
    </row>
    <row r="78" spans="1:6" ht="15" customHeight="1" x14ac:dyDescent="0.2">
      <c r="A78" s="147">
        <v>17</v>
      </c>
      <c r="B78" s="160" t="s">
        <v>213</v>
      </c>
      <c r="C78" s="157">
        <v>247415</v>
      </c>
      <c r="D78" s="157">
        <v>190175</v>
      </c>
      <c r="E78" s="157">
        <f t="shared" si="2"/>
        <v>-57240</v>
      </c>
      <c r="F78" s="161">
        <f t="shared" si="3"/>
        <v>-0.2313521815573025</v>
      </c>
    </row>
    <row r="79" spans="1:6" ht="15" customHeight="1" x14ac:dyDescent="0.2">
      <c r="A79" s="147">
        <v>18</v>
      </c>
      <c r="B79" s="160" t="s">
        <v>214</v>
      </c>
      <c r="C79" s="157">
        <v>0</v>
      </c>
      <c r="D79" s="157">
        <v>0</v>
      </c>
      <c r="E79" s="157">
        <f t="shared" si="2"/>
        <v>0</v>
      </c>
      <c r="F79" s="161">
        <f t="shared" si="3"/>
        <v>0</v>
      </c>
    </row>
    <row r="80" spans="1:6" ht="15" customHeight="1" x14ac:dyDescent="0.2">
      <c r="A80" s="147">
        <v>19</v>
      </c>
      <c r="B80" s="160" t="s">
        <v>215</v>
      </c>
      <c r="C80" s="157">
        <v>3154917</v>
      </c>
      <c r="D80" s="157">
        <v>3155676</v>
      </c>
      <c r="E80" s="157">
        <f t="shared" si="2"/>
        <v>759</v>
      </c>
      <c r="F80" s="161">
        <f t="shared" si="3"/>
        <v>2.4057685194253922E-4</v>
      </c>
    </row>
    <row r="81" spans="1:6" ht="15" customHeight="1" x14ac:dyDescent="0.2">
      <c r="A81" s="147">
        <v>20</v>
      </c>
      <c r="B81" s="160" t="s">
        <v>216</v>
      </c>
      <c r="C81" s="157">
        <v>0</v>
      </c>
      <c r="D81" s="157">
        <v>0</v>
      </c>
      <c r="E81" s="157">
        <f t="shared" si="2"/>
        <v>0</v>
      </c>
      <c r="F81" s="161">
        <f t="shared" si="3"/>
        <v>0</v>
      </c>
    </row>
    <row r="82" spans="1:6" ht="15" customHeight="1" x14ac:dyDescent="0.2">
      <c r="A82" s="147">
        <v>21</v>
      </c>
      <c r="B82" s="160" t="s">
        <v>217</v>
      </c>
      <c r="C82" s="157">
        <v>5092576</v>
      </c>
      <c r="D82" s="157">
        <v>3921187</v>
      </c>
      <c r="E82" s="157">
        <f t="shared" si="2"/>
        <v>-1171389</v>
      </c>
      <c r="F82" s="161">
        <f t="shared" si="3"/>
        <v>-0.23001895307993439</v>
      </c>
    </row>
    <row r="83" spans="1:6" ht="15" customHeight="1" x14ac:dyDescent="0.2">
      <c r="A83" s="147">
        <v>22</v>
      </c>
      <c r="B83" s="160" t="s">
        <v>218</v>
      </c>
      <c r="C83" s="157">
        <v>1840992</v>
      </c>
      <c r="D83" s="157">
        <v>2295870</v>
      </c>
      <c r="E83" s="157">
        <f t="shared" si="2"/>
        <v>454878</v>
      </c>
      <c r="F83" s="161">
        <f t="shared" si="3"/>
        <v>0.24708309433175157</v>
      </c>
    </row>
    <row r="84" spans="1:6" ht="15" customHeight="1" x14ac:dyDescent="0.2">
      <c r="A84" s="147">
        <v>23</v>
      </c>
      <c r="B84" s="160" t="s">
        <v>219</v>
      </c>
      <c r="C84" s="157">
        <v>2013808</v>
      </c>
      <c r="D84" s="157">
        <v>1817812</v>
      </c>
      <c r="E84" s="157">
        <f t="shared" si="2"/>
        <v>-195996</v>
      </c>
      <c r="F84" s="161">
        <f t="shared" si="3"/>
        <v>-9.7326060875714077E-2</v>
      </c>
    </row>
    <row r="85" spans="1:6" ht="15" customHeight="1" x14ac:dyDescent="0.2">
      <c r="A85" s="147">
        <v>24</v>
      </c>
      <c r="B85" s="160" t="s">
        <v>220</v>
      </c>
      <c r="C85" s="157">
        <v>0</v>
      </c>
      <c r="D85" s="157">
        <v>0</v>
      </c>
      <c r="E85" s="157">
        <f t="shared" si="2"/>
        <v>0</v>
      </c>
      <c r="F85" s="161">
        <f t="shared" si="3"/>
        <v>0</v>
      </c>
    </row>
    <row r="86" spans="1:6" ht="15" customHeight="1" x14ac:dyDescent="0.2">
      <c r="A86" s="147">
        <v>25</v>
      </c>
      <c r="B86" s="160" t="s">
        <v>221</v>
      </c>
      <c r="C86" s="157">
        <v>336698</v>
      </c>
      <c r="D86" s="157">
        <v>341354</v>
      </c>
      <c r="E86" s="157">
        <f t="shared" si="2"/>
        <v>4656</v>
      </c>
      <c r="F86" s="161">
        <f t="shared" si="3"/>
        <v>1.3828415969206826E-2</v>
      </c>
    </row>
    <row r="87" spans="1:6" ht="15" customHeight="1" x14ac:dyDescent="0.2">
      <c r="A87" s="147">
        <v>26</v>
      </c>
      <c r="B87" s="160" t="s">
        <v>222</v>
      </c>
      <c r="C87" s="157">
        <v>0</v>
      </c>
      <c r="D87" s="157">
        <v>0</v>
      </c>
      <c r="E87" s="157">
        <f t="shared" si="2"/>
        <v>0</v>
      </c>
      <c r="F87" s="161">
        <f t="shared" si="3"/>
        <v>0</v>
      </c>
    </row>
    <row r="88" spans="1:6" ht="15" customHeight="1" x14ac:dyDescent="0.2">
      <c r="A88" s="147">
        <v>27</v>
      </c>
      <c r="B88" s="160" t="s">
        <v>223</v>
      </c>
      <c r="C88" s="157">
        <v>2859605</v>
      </c>
      <c r="D88" s="157">
        <v>2825749</v>
      </c>
      <c r="E88" s="157">
        <f t="shared" si="2"/>
        <v>-33856</v>
      </c>
      <c r="F88" s="161">
        <f t="shared" si="3"/>
        <v>-1.1839397399291161E-2</v>
      </c>
    </row>
    <row r="89" spans="1:6" ht="15" customHeight="1" x14ac:dyDescent="0.2">
      <c r="A89" s="147">
        <v>28</v>
      </c>
      <c r="B89" s="160" t="s">
        <v>224</v>
      </c>
      <c r="C89" s="157">
        <v>7041300</v>
      </c>
      <c r="D89" s="157">
        <v>6005976</v>
      </c>
      <c r="E89" s="157">
        <f t="shared" si="2"/>
        <v>-1035324</v>
      </c>
      <c r="F89" s="161">
        <f t="shared" si="3"/>
        <v>-0.14703591666311619</v>
      </c>
    </row>
    <row r="90" spans="1:6" ht="15.75" customHeight="1" x14ac:dyDescent="0.25">
      <c r="A90" s="147"/>
      <c r="B90" s="162" t="s">
        <v>225</v>
      </c>
      <c r="C90" s="158">
        <f>SUM(C62:C89)</f>
        <v>62459130</v>
      </c>
      <c r="D90" s="158">
        <f>SUM(D62:D89)</f>
        <v>64882866</v>
      </c>
      <c r="E90" s="158">
        <f t="shared" si="2"/>
        <v>2423736</v>
      </c>
      <c r="F90" s="159">
        <f t="shared" si="3"/>
        <v>3.8805151464645762E-2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1011212</v>
      </c>
      <c r="D93" s="157">
        <v>1411312</v>
      </c>
      <c r="E93" s="157">
        <f>+D93-C93</f>
        <v>400100</v>
      </c>
      <c r="F93" s="161">
        <f>IF(C93=0,0,E93/C93)</f>
        <v>0.39566381728064937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447673528</v>
      </c>
      <c r="D95" s="158">
        <f>+D93+D90+D59+D50+D47+D44+D41+D35+D30+D24+D18</f>
        <v>473410966</v>
      </c>
      <c r="E95" s="158">
        <f>+D95-C95</f>
        <v>25737438</v>
      </c>
      <c r="F95" s="159">
        <f>IF(C95=0,0,E95/C95)</f>
        <v>5.7491534321859654E-2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68462476</v>
      </c>
      <c r="D103" s="157">
        <v>73816344</v>
      </c>
      <c r="E103" s="157">
        <f t="shared" ref="E103:E121" si="4">D103-C103</f>
        <v>5353868</v>
      </c>
      <c r="F103" s="161">
        <f t="shared" ref="F103:F121" si="5">IF(C103=0,0,E103/C103)</f>
        <v>7.8201495370982491E-2</v>
      </c>
    </row>
    <row r="104" spans="1:6" ht="15" customHeight="1" x14ac:dyDescent="0.2">
      <c r="A104" s="147">
        <v>2</v>
      </c>
      <c r="B104" s="169" t="s">
        <v>234</v>
      </c>
      <c r="C104" s="157">
        <v>4295060</v>
      </c>
      <c r="D104" s="157">
        <v>3861140</v>
      </c>
      <c r="E104" s="157">
        <f t="shared" si="4"/>
        <v>-433920</v>
      </c>
      <c r="F104" s="161">
        <f t="shared" si="5"/>
        <v>-0.10102769227903685</v>
      </c>
    </row>
    <row r="105" spans="1:6" ht="15" customHeight="1" x14ac:dyDescent="0.2">
      <c r="A105" s="147">
        <v>3</v>
      </c>
      <c r="B105" s="169" t="s">
        <v>235</v>
      </c>
      <c r="C105" s="157">
        <v>8875442</v>
      </c>
      <c r="D105" s="157">
        <v>7609437</v>
      </c>
      <c r="E105" s="157">
        <f t="shared" si="4"/>
        <v>-1266005</v>
      </c>
      <c r="F105" s="161">
        <f t="shared" si="5"/>
        <v>-0.14264134676334991</v>
      </c>
    </row>
    <row r="106" spans="1:6" ht="15" customHeight="1" x14ac:dyDescent="0.2">
      <c r="A106" s="147">
        <v>4</v>
      </c>
      <c r="B106" s="169" t="s">
        <v>236</v>
      </c>
      <c r="C106" s="157">
        <v>2995696</v>
      </c>
      <c r="D106" s="157">
        <v>3113646</v>
      </c>
      <c r="E106" s="157">
        <f t="shared" si="4"/>
        <v>117950</v>
      </c>
      <c r="F106" s="161">
        <f t="shared" si="5"/>
        <v>3.9373154018298252E-2</v>
      </c>
    </row>
    <row r="107" spans="1:6" ht="15" customHeight="1" x14ac:dyDescent="0.2">
      <c r="A107" s="147">
        <v>5</v>
      </c>
      <c r="B107" s="169" t="s">
        <v>237</v>
      </c>
      <c r="C107" s="157">
        <v>16385722</v>
      </c>
      <c r="D107" s="157">
        <v>18029919</v>
      </c>
      <c r="E107" s="157">
        <f t="shared" si="4"/>
        <v>1644197</v>
      </c>
      <c r="F107" s="161">
        <f t="shared" si="5"/>
        <v>0.10034327446785683</v>
      </c>
    </row>
    <row r="108" spans="1:6" ht="15" customHeight="1" x14ac:dyDescent="0.2">
      <c r="A108" s="147">
        <v>6</v>
      </c>
      <c r="B108" s="169" t="s">
        <v>238</v>
      </c>
      <c r="C108" s="157">
        <v>631</v>
      </c>
      <c r="D108" s="157">
        <v>520</v>
      </c>
      <c r="E108" s="157">
        <f t="shared" si="4"/>
        <v>-111</v>
      </c>
      <c r="F108" s="161">
        <f t="shared" si="5"/>
        <v>-0.17591125198098256</v>
      </c>
    </row>
    <row r="109" spans="1:6" ht="15" customHeight="1" x14ac:dyDescent="0.2">
      <c r="A109" s="147">
        <v>7</v>
      </c>
      <c r="B109" s="169" t="s">
        <v>239</v>
      </c>
      <c r="C109" s="157">
        <v>4997267</v>
      </c>
      <c r="D109" s="157">
        <v>6009161</v>
      </c>
      <c r="E109" s="157">
        <f t="shared" si="4"/>
        <v>1011894</v>
      </c>
      <c r="F109" s="161">
        <f t="shared" si="5"/>
        <v>0.20248948075017806</v>
      </c>
    </row>
    <row r="110" spans="1:6" ht="15" customHeight="1" x14ac:dyDescent="0.2">
      <c r="A110" s="147">
        <v>8</v>
      </c>
      <c r="B110" s="169" t="s">
        <v>240</v>
      </c>
      <c r="C110" s="157">
        <v>1354674</v>
      </c>
      <c r="D110" s="157">
        <v>1079082</v>
      </c>
      <c r="E110" s="157">
        <f t="shared" si="4"/>
        <v>-275592</v>
      </c>
      <c r="F110" s="161">
        <f t="shared" si="5"/>
        <v>-0.20343787509024311</v>
      </c>
    </row>
    <row r="111" spans="1:6" ht="15" customHeight="1" x14ac:dyDescent="0.2">
      <c r="A111" s="147">
        <v>9</v>
      </c>
      <c r="B111" s="169" t="s">
        <v>241</v>
      </c>
      <c r="C111" s="157">
        <v>3076206</v>
      </c>
      <c r="D111" s="157">
        <v>4379139</v>
      </c>
      <c r="E111" s="157">
        <f t="shared" si="4"/>
        <v>1302933</v>
      </c>
      <c r="F111" s="161">
        <f t="shared" si="5"/>
        <v>0.42355193377816702</v>
      </c>
    </row>
    <row r="112" spans="1:6" ht="15" customHeight="1" x14ac:dyDescent="0.2">
      <c r="A112" s="147">
        <v>10</v>
      </c>
      <c r="B112" s="169" t="s">
        <v>242</v>
      </c>
      <c r="C112" s="157">
        <v>7272464</v>
      </c>
      <c r="D112" s="157">
        <v>7287423</v>
      </c>
      <c r="E112" s="157">
        <f t="shared" si="4"/>
        <v>14959</v>
      </c>
      <c r="F112" s="161">
        <f t="shared" si="5"/>
        <v>2.0569369611179926E-3</v>
      </c>
    </row>
    <row r="113" spans="1:6" ht="15" customHeight="1" x14ac:dyDescent="0.2">
      <c r="A113" s="147">
        <v>11</v>
      </c>
      <c r="B113" s="169" t="s">
        <v>243</v>
      </c>
      <c r="C113" s="157">
        <v>5717841</v>
      </c>
      <c r="D113" s="157">
        <v>6054891</v>
      </c>
      <c r="E113" s="157">
        <f t="shared" si="4"/>
        <v>337050</v>
      </c>
      <c r="F113" s="161">
        <f t="shared" si="5"/>
        <v>5.8947074603858347E-2</v>
      </c>
    </row>
    <row r="114" spans="1:6" ht="15" customHeight="1" x14ac:dyDescent="0.2">
      <c r="A114" s="147">
        <v>12</v>
      </c>
      <c r="B114" s="169" t="s">
        <v>244</v>
      </c>
      <c r="C114" s="157">
        <v>1972486</v>
      </c>
      <c r="D114" s="157">
        <v>1710014</v>
      </c>
      <c r="E114" s="157">
        <f t="shared" si="4"/>
        <v>-262472</v>
      </c>
      <c r="F114" s="161">
        <f t="shared" si="5"/>
        <v>-0.13306659717736907</v>
      </c>
    </row>
    <row r="115" spans="1:6" ht="15" customHeight="1" x14ac:dyDescent="0.2">
      <c r="A115" s="147">
        <v>13</v>
      </c>
      <c r="B115" s="169" t="s">
        <v>245</v>
      </c>
      <c r="C115" s="157">
        <v>792202</v>
      </c>
      <c r="D115" s="157">
        <v>1029947</v>
      </c>
      <c r="E115" s="157">
        <f t="shared" si="4"/>
        <v>237745</v>
      </c>
      <c r="F115" s="161">
        <f t="shared" si="5"/>
        <v>0.30010653848387153</v>
      </c>
    </row>
    <row r="116" spans="1:6" ht="15" customHeight="1" x14ac:dyDescent="0.2">
      <c r="A116" s="147">
        <v>14</v>
      </c>
      <c r="B116" s="169" t="s">
        <v>246</v>
      </c>
      <c r="C116" s="157">
        <v>1637654</v>
      </c>
      <c r="D116" s="157">
        <v>1624749</v>
      </c>
      <c r="E116" s="157">
        <f t="shared" si="4"/>
        <v>-12905</v>
      </c>
      <c r="F116" s="161">
        <f t="shared" si="5"/>
        <v>-7.8801749331665911E-3</v>
      </c>
    </row>
    <row r="117" spans="1:6" ht="15" customHeight="1" x14ac:dyDescent="0.2">
      <c r="A117" s="147">
        <v>15</v>
      </c>
      <c r="B117" s="169" t="s">
        <v>203</v>
      </c>
      <c r="C117" s="157">
        <v>16548988</v>
      </c>
      <c r="D117" s="157">
        <v>17578654</v>
      </c>
      <c r="E117" s="157">
        <f t="shared" si="4"/>
        <v>1029666</v>
      </c>
      <c r="F117" s="161">
        <f t="shared" si="5"/>
        <v>6.221927286429841E-2</v>
      </c>
    </row>
    <row r="118" spans="1:6" ht="15" customHeight="1" x14ac:dyDescent="0.2">
      <c r="A118" s="147">
        <v>16</v>
      </c>
      <c r="B118" s="169" t="s">
        <v>247</v>
      </c>
      <c r="C118" s="157">
        <v>2121245</v>
      </c>
      <c r="D118" s="157">
        <v>2079445</v>
      </c>
      <c r="E118" s="157">
        <f t="shared" si="4"/>
        <v>-41800</v>
      </c>
      <c r="F118" s="161">
        <f t="shared" si="5"/>
        <v>-1.970540885187708E-2</v>
      </c>
    </row>
    <row r="119" spans="1:6" ht="15" customHeight="1" x14ac:dyDescent="0.2">
      <c r="A119" s="147">
        <v>17</v>
      </c>
      <c r="B119" s="169" t="s">
        <v>248</v>
      </c>
      <c r="C119" s="157">
        <v>11138586</v>
      </c>
      <c r="D119" s="157">
        <v>12428709</v>
      </c>
      <c r="E119" s="157">
        <f t="shared" si="4"/>
        <v>1290123</v>
      </c>
      <c r="F119" s="161">
        <f t="shared" si="5"/>
        <v>0.11582466571609717</v>
      </c>
    </row>
    <row r="120" spans="1:6" ht="15" customHeight="1" x14ac:dyDescent="0.2">
      <c r="A120" s="147">
        <v>18</v>
      </c>
      <c r="B120" s="169" t="s">
        <v>249</v>
      </c>
      <c r="C120" s="157">
        <v>0</v>
      </c>
      <c r="D120" s="157">
        <v>0</v>
      </c>
      <c r="E120" s="157">
        <f t="shared" si="4"/>
        <v>0</v>
      </c>
      <c r="F120" s="161">
        <f t="shared" si="5"/>
        <v>0</v>
      </c>
    </row>
    <row r="121" spans="1:6" ht="15.75" customHeight="1" x14ac:dyDescent="0.25">
      <c r="A121" s="147"/>
      <c r="B121" s="165" t="s">
        <v>250</v>
      </c>
      <c r="C121" s="158">
        <f>SUM(C103:C120)</f>
        <v>157644640</v>
      </c>
      <c r="D121" s="158">
        <f>SUM(D103:D120)</f>
        <v>167692220</v>
      </c>
      <c r="E121" s="158">
        <f t="shared" si="4"/>
        <v>10047580</v>
      </c>
      <c r="F121" s="159">
        <f t="shared" si="5"/>
        <v>6.3735627167533254E-2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4898301</v>
      </c>
      <c r="D124" s="157">
        <v>5103007</v>
      </c>
      <c r="E124" s="157">
        <f t="shared" ref="E124:E130" si="6">D124-C124</f>
        <v>204706</v>
      </c>
      <c r="F124" s="161">
        <f t="shared" ref="F124:F130" si="7">IF(C124=0,0,E124/C124)</f>
        <v>4.1791225161540706E-2</v>
      </c>
    </row>
    <row r="125" spans="1:6" ht="15" customHeight="1" x14ac:dyDescent="0.2">
      <c r="A125" s="147">
        <v>2</v>
      </c>
      <c r="B125" s="169" t="s">
        <v>253</v>
      </c>
      <c r="C125" s="157">
        <v>6340498</v>
      </c>
      <c r="D125" s="157">
        <v>6245492</v>
      </c>
      <c r="E125" s="157">
        <f t="shared" si="6"/>
        <v>-95006</v>
      </c>
      <c r="F125" s="161">
        <f t="shared" si="7"/>
        <v>-1.4983996525194079E-2</v>
      </c>
    </row>
    <row r="126" spans="1:6" ht="15" customHeight="1" x14ac:dyDescent="0.2">
      <c r="A126" s="147">
        <v>3</v>
      </c>
      <c r="B126" s="169" t="s">
        <v>254</v>
      </c>
      <c r="C126" s="157">
        <v>2401779</v>
      </c>
      <c r="D126" s="157">
        <v>2704467</v>
      </c>
      <c r="E126" s="157">
        <f t="shared" si="6"/>
        <v>302688</v>
      </c>
      <c r="F126" s="161">
        <f t="shared" si="7"/>
        <v>0.12602658279550283</v>
      </c>
    </row>
    <row r="127" spans="1:6" ht="15" customHeight="1" x14ac:dyDescent="0.2">
      <c r="A127" s="147">
        <v>4</v>
      </c>
      <c r="B127" s="169" t="s">
        <v>255</v>
      </c>
      <c r="C127" s="157">
        <v>3853086</v>
      </c>
      <c r="D127" s="157">
        <v>4458478</v>
      </c>
      <c r="E127" s="157">
        <f t="shared" si="6"/>
        <v>605392</v>
      </c>
      <c r="F127" s="161">
        <f t="shared" si="7"/>
        <v>0.15711873547592761</v>
      </c>
    </row>
    <row r="128" spans="1:6" ht="15" customHeight="1" x14ac:dyDescent="0.2">
      <c r="A128" s="147">
        <v>5</v>
      </c>
      <c r="B128" s="169" t="s">
        <v>256</v>
      </c>
      <c r="C128" s="157">
        <v>771004</v>
      </c>
      <c r="D128" s="157">
        <v>952338</v>
      </c>
      <c r="E128" s="157">
        <f t="shared" si="6"/>
        <v>181334</v>
      </c>
      <c r="F128" s="161">
        <f t="shared" si="7"/>
        <v>0.23519203532017993</v>
      </c>
    </row>
    <row r="129" spans="1:6" ht="15" customHeight="1" x14ac:dyDescent="0.2">
      <c r="A129" s="147">
        <v>6</v>
      </c>
      <c r="B129" s="169" t="s">
        <v>257</v>
      </c>
      <c r="C129" s="157">
        <v>3279788</v>
      </c>
      <c r="D129" s="157">
        <v>3377673</v>
      </c>
      <c r="E129" s="157">
        <f t="shared" si="6"/>
        <v>97885</v>
      </c>
      <c r="F129" s="161">
        <f t="shared" si="7"/>
        <v>2.984491680559841E-2</v>
      </c>
    </row>
    <row r="130" spans="1:6" ht="15.75" customHeight="1" x14ac:dyDescent="0.25">
      <c r="A130" s="147"/>
      <c r="B130" s="165" t="s">
        <v>258</v>
      </c>
      <c r="C130" s="158">
        <f>SUM(C124:C129)</f>
        <v>21544456</v>
      </c>
      <c r="D130" s="158">
        <f>SUM(D124:D129)</f>
        <v>22841455</v>
      </c>
      <c r="E130" s="158">
        <f t="shared" si="6"/>
        <v>1296999</v>
      </c>
      <c r="F130" s="159">
        <f t="shared" si="7"/>
        <v>6.0201055900413546E-2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49355374</v>
      </c>
      <c r="D133" s="157">
        <v>46378595</v>
      </c>
      <c r="E133" s="157">
        <f t="shared" ref="E133:E167" si="8">D133-C133</f>
        <v>-2976779</v>
      </c>
      <c r="F133" s="161">
        <f t="shared" ref="F133:F167" si="9">IF(C133=0,0,E133/C133)</f>
        <v>-6.0313168734168643E-2</v>
      </c>
    </row>
    <row r="134" spans="1:6" ht="15" customHeight="1" x14ac:dyDescent="0.2">
      <c r="A134" s="147">
        <v>2</v>
      </c>
      <c r="B134" s="169" t="s">
        <v>261</v>
      </c>
      <c r="C134" s="157">
        <v>4158270</v>
      </c>
      <c r="D134" s="157">
        <v>4124765</v>
      </c>
      <c r="E134" s="157">
        <f t="shared" si="8"/>
        <v>-33505</v>
      </c>
      <c r="F134" s="161">
        <f t="shared" si="9"/>
        <v>-8.0574373477431717E-3</v>
      </c>
    </row>
    <row r="135" spans="1:6" ht="15" customHeight="1" x14ac:dyDescent="0.2">
      <c r="A135" s="147">
        <v>3</v>
      </c>
      <c r="B135" s="169" t="s">
        <v>262</v>
      </c>
      <c r="C135" s="157">
        <v>634877</v>
      </c>
      <c r="D135" s="157">
        <v>722287</v>
      </c>
      <c r="E135" s="157">
        <f t="shared" si="8"/>
        <v>87410</v>
      </c>
      <c r="F135" s="161">
        <f t="shared" si="9"/>
        <v>0.13768021207257469</v>
      </c>
    </row>
    <row r="136" spans="1:6" ht="15" customHeight="1" x14ac:dyDescent="0.2">
      <c r="A136" s="147">
        <v>4</v>
      </c>
      <c r="B136" s="169" t="s">
        <v>263</v>
      </c>
      <c r="C136" s="157">
        <v>6947044</v>
      </c>
      <c r="D136" s="157">
        <v>7519256</v>
      </c>
      <c r="E136" s="157">
        <f t="shared" si="8"/>
        <v>572212</v>
      </c>
      <c r="F136" s="161">
        <f t="shared" si="9"/>
        <v>8.2367694806596878E-2</v>
      </c>
    </row>
    <row r="137" spans="1:6" ht="15" customHeight="1" x14ac:dyDescent="0.2">
      <c r="A137" s="147">
        <v>5</v>
      </c>
      <c r="B137" s="169" t="s">
        <v>264</v>
      </c>
      <c r="C137" s="157">
        <v>9866815</v>
      </c>
      <c r="D137" s="157">
        <v>9802232</v>
      </c>
      <c r="E137" s="157">
        <f t="shared" si="8"/>
        <v>-64583</v>
      </c>
      <c r="F137" s="161">
        <f t="shared" si="9"/>
        <v>-6.5454759210545653E-3</v>
      </c>
    </row>
    <row r="138" spans="1:6" ht="15" customHeight="1" x14ac:dyDescent="0.2">
      <c r="A138" s="147">
        <v>6</v>
      </c>
      <c r="B138" s="169" t="s">
        <v>265</v>
      </c>
      <c r="C138" s="157">
        <v>2591093</v>
      </c>
      <c r="D138" s="157">
        <v>2652302</v>
      </c>
      <c r="E138" s="157">
        <f t="shared" si="8"/>
        <v>61209</v>
      </c>
      <c r="F138" s="161">
        <f t="shared" si="9"/>
        <v>2.3622849507910368E-2</v>
      </c>
    </row>
    <row r="139" spans="1:6" ht="15" customHeight="1" x14ac:dyDescent="0.2">
      <c r="A139" s="147">
        <v>7</v>
      </c>
      <c r="B139" s="169" t="s">
        <v>266</v>
      </c>
      <c r="C139" s="157">
        <v>4033019</v>
      </c>
      <c r="D139" s="157">
        <v>4048583</v>
      </c>
      <c r="E139" s="157">
        <f t="shared" si="8"/>
        <v>15564</v>
      </c>
      <c r="F139" s="161">
        <f t="shared" si="9"/>
        <v>3.8591437332678074E-3</v>
      </c>
    </row>
    <row r="140" spans="1:6" ht="15" customHeight="1" x14ac:dyDescent="0.2">
      <c r="A140" s="147">
        <v>8</v>
      </c>
      <c r="B140" s="169" t="s">
        <v>267</v>
      </c>
      <c r="C140" s="157">
        <v>1418760</v>
      </c>
      <c r="D140" s="157">
        <v>1612210</v>
      </c>
      <c r="E140" s="157">
        <f t="shared" si="8"/>
        <v>193450</v>
      </c>
      <c r="F140" s="161">
        <f t="shared" si="9"/>
        <v>0.13635146183991656</v>
      </c>
    </row>
    <row r="141" spans="1:6" ht="15" customHeight="1" x14ac:dyDescent="0.2">
      <c r="A141" s="147">
        <v>9</v>
      </c>
      <c r="B141" s="169" t="s">
        <v>268</v>
      </c>
      <c r="C141" s="157">
        <v>2053087</v>
      </c>
      <c r="D141" s="157">
        <v>2170453</v>
      </c>
      <c r="E141" s="157">
        <f t="shared" si="8"/>
        <v>117366</v>
      </c>
      <c r="F141" s="161">
        <f t="shared" si="9"/>
        <v>5.7165624252649788E-2</v>
      </c>
    </row>
    <row r="142" spans="1:6" ht="15" customHeight="1" x14ac:dyDescent="0.2">
      <c r="A142" s="147">
        <v>10</v>
      </c>
      <c r="B142" s="169" t="s">
        <v>269</v>
      </c>
      <c r="C142" s="157">
        <v>21935643</v>
      </c>
      <c r="D142" s="157">
        <v>23260614</v>
      </c>
      <c r="E142" s="157">
        <f t="shared" si="8"/>
        <v>1324971</v>
      </c>
      <c r="F142" s="161">
        <f t="shared" si="9"/>
        <v>6.0402651520176542E-2</v>
      </c>
    </row>
    <row r="143" spans="1:6" ht="15" customHeight="1" x14ac:dyDescent="0.2">
      <c r="A143" s="147">
        <v>11</v>
      </c>
      <c r="B143" s="169" t="s">
        <v>270</v>
      </c>
      <c r="C143" s="157">
        <v>0</v>
      </c>
      <c r="D143" s="157">
        <v>0</v>
      </c>
      <c r="E143" s="157">
        <f t="shared" si="8"/>
        <v>0</v>
      </c>
      <c r="F143" s="161">
        <f t="shared" si="9"/>
        <v>0</v>
      </c>
    </row>
    <row r="144" spans="1:6" ht="15" customHeight="1" x14ac:dyDescent="0.2">
      <c r="A144" s="147">
        <v>12</v>
      </c>
      <c r="B144" s="169" t="s">
        <v>271</v>
      </c>
      <c r="C144" s="157">
        <v>10778953</v>
      </c>
      <c r="D144" s="157">
        <v>12827602</v>
      </c>
      <c r="E144" s="157">
        <f t="shared" si="8"/>
        <v>2048649</v>
      </c>
      <c r="F144" s="161">
        <f t="shared" si="9"/>
        <v>0.19006011066195391</v>
      </c>
    </row>
    <row r="145" spans="1:6" ht="15" customHeight="1" x14ac:dyDescent="0.2">
      <c r="A145" s="147">
        <v>13</v>
      </c>
      <c r="B145" s="169" t="s">
        <v>272</v>
      </c>
      <c r="C145" s="157">
        <v>8236492</v>
      </c>
      <c r="D145" s="157">
        <v>7721482</v>
      </c>
      <c r="E145" s="157">
        <f t="shared" si="8"/>
        <v>-515010</v>
      </c>
      <c r="F145" s="161">
        <f t="shared" si="9"/>
        <v>-6.252783345142568E-2</v>
      </c>
    </row>
    <row r="146" spans="1:6" ht="15" customHeight="1" x14ac:dyDescent="0.2">
      <c r="A146" s="147">
        <v>14</v>
      </c>
      <c r="B146" s="169" t="s">
        <v>273</v>
      </c>
      <c r="C146" s="157">
        <v>372342</v>
      </c>
      <c r="D146" s="157">
        <v>373287</v>
      </c>
      <c r="E146" s="157">
        <f t="shared" si="8"/>
        <v>945</v>
      </c>
      <c r="F146" s="161">
        <f t="shared" si="9"/>
        <v>2.5379892679310958E-3</v>
      </c>
    </row>
    <row r="147" spans="1:6" ht="15" customHeight="1" x14ac:dyDescent="0.2">
      <c r="A147" s="147">
        <v>15</v>
      </c>
      <c r="B147" s="169" t="s">
        <v>274</v>
      </c>
      <c r="C147" s="157">
        <v>347257</v>
      </c>
      <c r="D147" s="157">
        <v>377578</v>
      </c>
      <c r="E147" s="157">
        <f t="shared" si="8"/>
        <v>30321</v>
      </c>
      <c r="F147" s="161">
        <f t="shared" si="9"/>
        <v>8.7315734456036881E-2</v>
      </c>
    </row>
    <row r="148" spans="1:6" ht="15" customHeight="1" x14ac:dyDescent="0.2">
      <c r="A148" s="147">
        <v>16</v>
      </c>
      <c r="B148" s="169" t="s">
        <v>275</v>
      </c>
      <c r="C148" s="157">
        <v>72000</v>
      </c>
      <c r="D148" s="157">
        <v>53914</v>
      </c>
      <c r="E148" s="157">
        <f t="shared" si="8"/>
        <v>-18086</v>
      </c>
      <c r="F148" s="161">
        <f t="shared" si="9"/>
        <v>-0.25119444444444444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3269659</v>
      </c>
      <c r="D150" s="157">
        <v>3432158</v>
      </c>
      <c r="E150" s="157">
        <f t="shared" si="8"/>
        <v>162499</v>
      </c>
      <c r="F150" s="161">
        <f t="shared" si="9"/>
        <v>4.969906647757457E-2</v>
      </c>
    </row>
    <row r="151" spans="1:6" ht="15" customHeight="1" x14ac:dyDescent="0.2">
      <c r="A151" s="147">
        <v>19</v>
      </c>
      <c r="B151" s="169" t="s">
        <v>278</v>
      </c>
      <c r="C151" s="157">
        <v>806067</v>
      </c>
      <c r="D151" s="157">
        <v>829256</v>
      </c>
      <c r="E151" s="157">
        <f t="shared" si="8"/>
        <v>23189</v>
      </c>
      <c r="F151" s="161">
        <f t="shared" si="9"/>
        <v>2.8768080072748295E-2</v>
      </c>
    </row>
    <row r="152" spans="1:6" ht="15" customHeight="1" x14ac:dyDescent="0.2">
      <c r="A152" s="147">
        <v>20</v>
      </c>
      <c r="B152" s="169" t="s">
        <v>279</v>
      </c>
      <c r="C152" s="157">
        <v>896526</v>
      </c>
      <c r="D152" s="157">
        <v>998721</v>
      </c>
      <c r="E152" s="157">
        <f t="shared" si="8"/>
        <v>102195</v>
      </c>
      <c r="F152" s="161">
        <f t="shared" si="9"/>
        <v>0.11399000140542494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0</v>
      </c>
      <c r="D154" s="157">
        <v>0</v>
      </c>
      <c r="E154" s="157">
        <f t="shared" si="8"/>
        <v>0</v>
      </c>
      <c r="F154" s="161">
        <f t="shared" si="9"/>
        <v>0</v>
      </c>
    </row>
    <row r="155" spans="1:6" ht="15" customHeight="1" x14ac:dyDescent="0.2">
      <c r="A155" s="147">
        <v>23</v>
      </c>
      <c r="B155" s="169" t="s">
        <v>282</v>
      </c>
      <c r="C155" s="157">
        <v>427295</v>
      </c>
      <c r="D155" s="157">
        <v>387589</v>
      </c>
      <c r="E155" s="157">
        <f t="shared" si="8"/>
        <v>-39706</v>
      </c>
      <c r="F155" s="161">
        <f t="shared" si="9"/>
        <v>-9.2924092254765445E-2</v>
      </c>
    </row>
    <row r="156" spans="1:6" ht="15" customHeight="1" x14ac:dyDescent="0.2">
      <c r="A156" s="147">
        <v>24</v>
      </c>
      <c r="B156" s="169" t="s">
        <v>283</v>
      </c>
      <c r="C156" s="157">
        <v>8168943</v>
      </c>
      <c r="D156" s="157">
        <v>8673452</v>
      </c>
      <c r="E156" s="157">
        <f t="shared" si="8"/>
        <v>504509</v>
      </c>
      <c r="F156" s="161">
        <f t="shared" si="9"/>
        <v>6.1759397758069802E-2</v>
      </c>
    </row>
    <row r="157" spans="1:6" ht="15" customHeight="1" x14ac:dyDescent="0.2">
      <c r="A157" s="147">
        <v>25</v>
      </c>
      <c r="B157" s="169" t="s">
        <v>284</v>
      </c>
      <c r="C157" s="157">
        <v>2751722</v>
      </c>
      <c r="D157" s="157">
        <v>3582361</v>
      </c>
      <c r="E157" s="157">
        <f t="shared" si="8"/>
        <v>830639</v>
      </c>
      <c r="F157" s="161">
        <f t="shared" si="9"/>
        <v>0.30186152525582161</v>
      </c>
    </row>
    <row r="158" spans="1:6" ht="15" customHeight="1" x14ac:dyDescent="0.2">
      <c r="A158" s="147">
        <v>26</v>
      </c>
      <c r="B158" s="169" t="s">
        <v>285</v>
      </c>
      <c r="C158" s="157">
        <v>0</v>
      </c>
      <c r="D158" s="157">
        <v>0</v>
      </c>
      <c r="E158" s="157">
        <f t="shared" si="8"/>
        <v>0</v>
      </c>
      <c r="F158" s="161">
        <f t="shared" si="9"/>
        <v>0</v>
      </c>
    </row>
    <row r="159" spans="1:6" ht="15" customHeight="1" x14ac:dyDescent="0.2">
      <c r="A159" s="147">
        <v>27</v>
      </c>
      <c r="B159" s="169" t="s">
        <v>286</v>
      </c>
      <c r="C159" s="157">
        <v>385950</v>
      </c>
      <c r="D159" s="157">
        <v>496856</v>
      </c>
      <c r="E159" s="157">
        <f t="shared" si="8"/>
        <v>110906</v>
      </c>
      <c r="F159" s="161">
        <f t="shared" si="9"/>
        <v>0.28735846612255472</v>
      </c>
    </row>
    <row r="160" spans="1:6" ht="15" customHeight="1" x14ac:dyDescent="0.2">
      <c r="A160" s="147">
        <v>28</v>
      </c>
      <c r="B160" s="169" t="s">
        <v>287</v>
      </c>
      <c r="C160" s="157">
        <v>0</v>
      </c>
      <c r="D160" s="157">
        <v>0</v>
      </c>
      <c r="E160" s="157">
        <f t="shared" si="8"/>
        <v>0</v>
      </c>
      <c r="F160" s="161">
        <f t="shared" si="9"/>
        <v>0</v>
      </c>
    </row>
    <row r="161" spans="1:6" ht="15" customHeight="1" x14ac:dyDescent="0.2">
      <c r="A161" s="147">
        <v>29</v>
      </c>
      <c r="B161" s="169" t="s">
        <v>288</v>
      </c>
      <c r="C161" s="157">
        <v>0</v>
      </c>
      <c r="D161" s="157">
        <v>0</v>
      </c>
      <c r="E161" s="157">
        <f t="shared" si="8"/>
        <v>0</v>
      </c>
      <c r="F161" s="161">
        <f t="shared" si="9"/>
        <v>0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0</v>
      </c>
      <c r="D163" s="157">
        <v>0</v>
      </c>
      <c r="E163" s="157">
        <f t="shared" si="8"/>
        <v>0</v>
      </c>
      <c r="F163" s="161">
        <f t="shared" si="9"/>
        <v>0</v>
      </c>
    </row>
    <row r="164" spans="1:6" ht="15" customHeight="1" x14ac:dyDescent="0.2">
      <c r="A164" s="147">
        <v>32</v>
      </c>
      <c r="B164" s="169" t="s">
        <v>291</v>
      </c>
      <c r="C164" s="157">
        <v>5467534</v>
      </c>
      <c r="D164" s="157">
        <v>8072058</v>
      </c>
      <c r="E164" s="157">
        <f t="shared" si="8"/>
        <v>2604524</v>
      </c>
      <c r="F164" s="161">
        <f t="shared" si="9"/>
        <v>0.47636173821689998</v>
      </c>
    </row>
    <row r="165" spans="1:6" ht="15" customHeight="1" x14ac:dyDescent="0.2">
      <c r="A165" s="147">
        <v>33</v>
      </c>
      <c r="B165" s="169" t="s">
        <v>292</v>
      </c>
      <c r="C165" s="157">
        <v>0</v>
      </c>
      <c r="D165" s="157">
        <v>0</v>
      </c>
      <c r="E165" s="157">
        <f t="shared" si="8"/>
        <v>0</v>
      </c>
      <c r="F165" s="161">
        <f t="shared" si="9"/>
        <v>0</v>
      </c>
    </row>
    <row r="166" spans="1:6" ht="15" customHeight="1" x14ac:dyDescent="0.2">
      <c r="A166" s="147">
        <v>34</v>
      </c>
      <c r="B166" s="169" t="s">
        <v>293</v>
      </c>
      <c r="C166" s="157">
        <v>0</v>
      </c>
      <c r="D166" s="157">
        <v>0</v>
      </c>
      <c r="E166" s="157">
        <f t="shared" si="8"/>
        <v>0</v>
      </c>
      <c r="F166" s="161">
        <f t="shared" si="9"/>
        <v>0</v>
      </c>
    </row>
    <row r="167" spans="1:6" ht="15.75" customHeight="1" x14ac:dyDescent="0.25">
      <c r="A167" s="147"/>
      <c r="B167" s="165" t="s">
        <v>294</v>
      </c>
      <c r="C167" s="158">
        <f>SUM(C133:C166)</f>
        <v>144974722</v>
      </c>
      <c r="D167" s="158">
        <f>SUM(D133:D166)</f>
        <v>150117611</v>
      </c>
      <c r="E167" s="158">
        <f t="shared" si="8"/>
        <v>5142889</v>
      </c>
      <c r="F167" s="159">
        <f t="shared" si="9"/>
        <v>3.5474384286110237E-2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63110460</v>
      </c>
      <c r="D170" s="157">
        <v>67551768</v>
      </c>
      <c r="E170" s="157">
        <f t="shared" ref="E170:E183" si="10">D170-C170</f>
        <v>4441308</v>
      </c>
      <c r="F170" s="161">
        <f t="shared" ref="F170:F183" si="11">IF(C170=0,0,E170/C170)</f>
        <v>7.037356406529123E-2</v>
      </c>
    </row>
    <row r="171" spans="1:6" ht="15" customHeight="1" x14ac:dyDescent="0.2">
      <c r="A171" s="147">
        <v>2</v>
      </c>
      <c r="B171" s="169" t="s">
        <v>297</v>
      </c>
      <c r="C171" s="157">
        <v>7839423</v>
      </c>
      <c r="D171" s="157">
        <v>7873763</v>
      </c>
      <c r="E171" s="157">
        <f t="shared" si="10"/>
        <v>34340</v>
      </c>
      <c r="F171" s="161">
        <f t="shared" si="11"/>
        <v>4.3804244266446649E-3</v>
      </c>
    </row>
    <row r="172" spans="1:6" ht="15" customHeight="1" x14ac:dyDescent="0.2">
      <c r="A172" s="147">
        <v>3</v>
      </c>
      <c r="B172" s="169" t="s">
        <v>298</v>
      </c>
      <c r="C172" s="157">
        <v>0</v>
      </c>
      <c r="D172" s="157">
        <v>0</v>
      </c>
      <c r="E172" s="157">
        <f t="shared" si="10"/>
        <v>0</v>
      </c>
      <c r="F172" s="161">
        <f t="shared" si="11"/>
        <v>0</v>
      </c>
    </row>
    <row r="173" spans="1:6" ht="15" customHeight="1" x14ac:dyDescent="0.2">
      <c r="A173" s="147">
        <v>4</v>
      </c>
      <c r="B173" s="169" t="s">
        <v>299</v>
      </c>
      <c r="C173" s="157">
        <v>4970576</v>
      </c>
      <c r="D173" s="157">
        <v>4877896</v>
      </c>
      <c r="E173" s="157">
        <f t="shared" si="10"/>
        <v>-92680</v>
      </c>
      <c r="F173" s="161">
        <f t="shared" si="11"/>
        <v>-1.8645726370545384E-2</v>
      </c>
    </row>
    <row r="174" spans="1:6" ht="15" customHeight="1" x14ac:dyDescent="0.2">
      <c r="A174" s="147">
        <v>5</v>
      </c>
      <c r="B174" s="169" t="s">
        <v>300</v>
      </c>
      <c r="C174" s="157">
        <v>4540228</v>
      </c>
      <c r="D174" s="157">
        <v>4681847</v>
      </c>
      <c r="E174" s="157">
        <f t="shared" si="10"/>
        <v>141619</v>
      </c>
      <c r="F174" s="161">
        <f t="shared" si="11"/>
        <v>3.1192045862013979E-2</v>
      </c>
    </row>
    <row r="175" spans="1:6" ht="15" customHeight="1" x14ac:dyDescent="0.2">
      <c r="A175" s="147">
        <v>6</v>
      </c>
      <c r="B175" s="169" t="s">
        <v>301</v>
      </c>
      <c r="C175" s="157">
        <v>5792028</v>
      </c>
      <c r="D175" s="157">
        <v>6615230</v>
      </c>
      <c r="E175" s="157">
        <f t="shared" si="10"/>
        <v>823202</v>
      </c>
      <c r="F175" s="161">
        <f t="shared" si="11"/>
        <v>0.14212673005033816</v>
      </c>
    </row>
    <row r="176" spans="1:6" ht="15" customHeight="1" x14ac:dyDescent="0.2">
      <c r="A176" s="147">
        <v>7</v>
      </c>
      <c r="B176" s="169" t="s">
        <v>302</v>
      </c>
      <c r="C176" s="157">
        <v>2118903</v>
      </c>
      <c r="D176" s="157">
        <v>1979739</v>
      </c>
      <c r="E176" s="157">
        <f t="shared" si="10"/>
        <v>-139164</v>
      </c>
      <c r="F176" s="161">
        <f t="shared" si="11"/>
        <v>-6.5677381173182545E-2</v>
      </c>
    </row>
    <row r="177" spans="1:6" ht="15" customHeight="1" x14ac:dyDescent="0.2">
      <c r="A177" s="147">
        <v>8</v>
      </c>
      <c r="B177" s="169" t="s">
        <v>303</v>
      </c>
      <c r="C177" s="157">
        <v>0</v>
      </c>
      <c r="D177" s="157">
        <v>0</v>
      </c>
      <c r="E177" s="157">
        <f t="shared" si="10"/>
        <v>0</v>
      </c>
      <c r="F177" s="161">
        <f t="shared" si="11"/>
        <v>0</v>
      </c>
    </row>
    <row r="178" spans="1:6" ht="15" customHeight="1" x14ac:dyDescent="0.2">
      <c r="A178" s="147">
        <v>9</v>
      </c>
      <c r="B178" s="169" t="s">
        <v>304</v>
      </c>
      <c r="C178" s="157">
        <v>2472456</v>
      </c>
      <c r="D178" s="157">
        <v>2439470</v>
      </c>
      <c r="E178" s="157">
        <f t="shared" si="10"/>
        <v>-32986</v>
      </c>
      <c r="F178" s="161">
        <f t="shared" si="11"/>
        <v>-1.3341390099560922E-2</v>
      </c>
    </row>
    <row r="179" spans="1:6" ht="15" customHeight="1" x14ac:dyDescent="0.2">
      <c r="A179" s="147">
        <v>10</v>
      </c>
      <c r="B179" s="169" t="s">
        <v>305</v>
      </c>
      <c r="C179" s="157">
        <v>3875481</v>
      </c>
      <c r="D179" s="157">
        <v>4184707</v>
      </c>
      <c r="E179" s="157">
        <f t="shared" si="10"/>
        <v>309226</v>
      </c>
      <c r="F179" s="161">
        <f t="shared" si="11"/>
        <v>7.979035376511974E-2</v>
      </c>
    </row>
    <row r="180" spans="1:6" ht="15" customHeight="1" x14ac:dyDescent="0.2">
      <c r="A180" s="147">
        <v>11</v>
      </c>
      <c r="B180" s="169" t="s">
        <v>306</v>
      </c>
      <c r="C180" s="157">
        <v>0</v>
      </c>
      <c r="D180" s="157">
        <v>0</v>
      </c>
      <c r="E180" s="157">
        <f t="shared" si="10"/>
        <v>0</v>
      </c>
      <c r="F180" s="161">
        <f t="shared" si="11"/>
        <v>0</v>
      </c>
    </row>
    <row r="181" spans="1:6" ht="15" customHeight="1" x14ac:dyDescent="0.2">
      <c r="A181" s="147">
        <v>12</v>
      </c>
      <c r="B181" s="169" t="s">
        <v>307</v>
      </c>
      <c r="C181" s="157">
        <v>7594554</v>
      </c>
      <c r="D181" s="157">
        <v>7711383</v>
      </c>
      <c r="E181" s="157">
        <f t="shared" si="10"/>
        <v>116829</v>
      </c>
      <c r="F181" s="161">
        <f t="shared" si="11"/>
        <v>1.5383260162479588E-2</v>
      </c>
    </row>
    <row r="182" spans="1:6" ht="15" customHeight="1" x14ac:dyDescent="0.2">
      <c r="A182" s="147">
        <v>13</v>
      </c>
      <c r="B182" s="169" t="s">
        <v>308</v>
      </c>
      <c r="C182" s="157">
        <v>0</v>
      </c>
      <c r="D182" s="157">
        <v>0</v>
      </c>
      <c r="E182" s="157">
        <f t="shared" si="10"/>
        <v>0</v>
      </c>
      <c r="F182" s="161">
        <f t="shared" si="11"/>
        <v>0</v>
      </c>
    </row>
    <row r="183" spans="1:6" ht="15.75" customHeight="1" x14ac:dyDescent="0.25">
      <c r="A183" s="147"/>
      <c r="B183" s="165" t="s">
        <v>309</v>
      </c>
      <c r="C183" s="158">
        <f>SUM(C170:C182)</f>
        <v>102314109</v>
      </c>
      <c r="D183" s="158">
        <f>SUM(D170:D182)</f>
        <v>107915803</v>
      </c>
      <c r="E183" s="158">
        <f t="shared" si="10"/>
        <v>5601694</v>
      </c>
      <c r="F183" s="159">
        <f t="shared" si="11"/>
        <v>5.4749966106825011E-2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21195601</v>
      </c>
      <c r="D186" s="157">
        <v>24843877</v>
      </c>
      <c r="E186" s="157">
        <f>D186-C186</f>
        <v>3648276</v>
      </c>
      <c r="F186" s="161">
        <f>IF(C186=0,0,E186/C186)</f>
        <v>0.17212420633885306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447673528</v>
      </c>
      <c r="D188" s="158">
        <f>+D186+D183+D167+D130+D121</f>
        <v>473410966</v>
      </c>
      <c r="E188" s="158">
        <f>D188-C188</f>
        <v>25737438</v>
      </c>
      <c r="F188" s="159">
        <f>IF(C188=0,0,E188/C188)</f>
        <v>5.7491534321859654E-2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FILING&amp;RSTAMFORD HOSPITAL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2"/>
  <sheetViews>
    <sheetView zoomScale="75" zoomScaleSheetLayoutView="75" workbookViewId="0">
      <selection activeCell="E27" sqref="E27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457806205</v>
      </c>
      <c r="D11" s="183">
        <v>476412504</v>
      </c>
      <c r="E11" s="76">
        <v>494195662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22613330</v>
      </c>
      <c r="D12" s="185">
        <v>17239966</v>
      </c>
      <c r="E12" s="185">
        <v>17552010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480419535</v>
      </c>
      <c r="D13" s="76">
        <f>+D11+D12</f>
        <v>493652470</v>
      </c>
      <c r="E13" s="76">
        <f>+E11+E12</f>
        <v>511747672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443491017</v>
      </c>
      <c r="D14" s="185">
        <v>447673528</v>
      </c>
      <c r="E14" s="185">
        <v>473410966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36928518</v>
      </c>
      <c r="D15" s="76">
        <f>+D13-D14</f>
        <v>45978942</v>
      </c>
      <c r="E15" s="76">
        <f>+E13-E14</f>
        <v>38336706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2718922</v>
      </c>
      <c r="D16" s="185">
        <v>-582142</v>
      </c>
      <c r="E16" s="185">
        <v>1519837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39647440</v>
      </c>
      <c r="D17" s="76">
        <f>D15+D16</f>
        <v>45396800</v>
      </c>
      <c r="E17" s="76">
        <f>E15+E16</f>
        <v>39856543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7.6434648215138873E-2</v>
      </c>
      <c r="D20" s="189">
        <f>IF(+D27=0,0,+D24/+D27)</f>
        <v>9.325027159208818E-2</v>
      </c>
      <c r="E20" s="189">
        <f>IF(+E27=0,0,+E24/+E27)</f>
        <v>7.4691472434503928E-2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5.6276248777273382E-3</v>
      </c>
      <c r="D21" s="189">
        <f>IF(D27=0,0,+D26/D27)</f>
        <v>-1.1806469928160024E-3</v>
      </c>
      <c r="E21" s="189">
        <f>IF(E27=0,0,+E26/E27)</f>
        <v>2.9611011282617539E-3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8.206227309286622E-2</v>
      </c>
      <c r="D22" s="189">
        <f>IF(D27=0,0,+D28/D27)</f>
        <v>9.2069624599272176E-2</v>
      </c>
      <c r="E22" s="189">
        <f>IF(E27=0,0,+E28/E27)</f>
        <v>7.7652573562765684E-2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36928518</v>
      </c>
      <c r="D24" s="76">
        <f>+D15</f>
        <v>45978942</v>
      </c>
      <c r="E24" s="76">
        <f>+E15</f>
        <v>38336706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480419535</v>
      </c>
      <c r="D25" s="76">
        <f>+D13</f>
        <v>493652470</v>
      </c>
      <c r="E25" s="76">
        <f>+E13</f>
        <v>511747672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2718922</v>
      </c>
      <c r="D26" s="76">
        <f>+D16</f>
        <v>-582142</v>
      </c>
      <c r="E26" s="76">
        <f>+E16</f>
        <v>1519837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483138457</v>
      </c>
      <c r="D27" s="76">
        <f>+D25+D26</f>
        <v>493070328</v>
      </c>
      <c r="E27" s="76">
        <f>+E25+E26</f>
        <v>513267509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39647440</v>
      </c>
      <c r="D28" s="76">
        <f>+D17</f>
        <v>45396800</v>
      </c>
      <c r="E28" s="76">
        <f>+E17</f>
        <v>39856543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151392000</v>
      </c>
      <c r="D31" s="76">
        <v>218717000</v>
      </c>
      <c r="E31" s="76">
        <v>283719000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218806000</v>
      </c>
      <c r="D32" s="76">
        <v>309474000</v>
      </c>
      <c r="E32" s="76">
        <v>366820000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10430000</v>
      </c>
      <c r="D33" s="76">
        <f>+D32-C32</f>
        <v>90668000</v>
      </c>
      <c r="E33" s="76">
        <f>+E32-D32</f>
        <v>57346000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1.05</v>
      </c>
      <c r="D34" s="193">
        <f>IF(C32=0,0,+D33/C32)</f>
        <v>0.41437620540570186</v>
      </c>
      <c r="E34" s="193">
        <f>IF(D32=0,0,+E33/D32)</f>
        <v>0.18530151159709701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0.24636330140325652</v>
      </c>
      <c r="D38" s="195">
        <f>IF((D40+D41)=0,0,+D39/(D40+D41))</f>
        <v>0.23710887419283422</v>
      </c>
      <c r="E38" s="195">
        <f>IF((E40+E41)=0,0,+E39/(E40+E41))</f>
        <v>0.2327554746786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443491017</v>
      </c>
      <c r="D39" s="76">
        <v>447673528</v>
      </c>
      <c r="E39" s="196">
        <v>473410966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1779032454</v>
      </c>
      <c r="D40" s="76">
        <v>1872448686</v>
      </c>
      <c r="E40" s="196">
        <v>2018104271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21118033</v>
      </c>
      <c r="D41" s="76">
        <v>15601812</v>
      </c>
      <c r="E41" s="196">
        <v>15837000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1.660343101496855</v>
      </c>
      <c r="D43" s="197">
        <f>IF(D38=0,0,IF((D46-D47)=0,0,((+D44-D45)/(D46-D47)/D38)))</f>
        <v>1.7551232088045667</v>
      </c>
      <c r="E43" s="197">
        <f>IF(E38=0,0,IF((E46-E47)=0,0,((+E44-E45)/(E46-E47)/E38)))</f>
        <v>1.7555971242104211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316903147</v>
      </c>
      <c r="D44" s="76">
        <v>331323698</v>
      </c>
      <c r="E44" s="196">
        <v>345014592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1653684</v>
      </c>
      <c r="D45" s="76">
        <v>1895524</v>
      </c>
      <c r="E45" s="196">
        <v>2203319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837913738</v>
      </c>
      <c r="D46" s="76">
        <v>853581155</v>
      </c>
      <c r="E46" s="196">
        <v>900598232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67222364</v>
      </c>
      <c r="D47" s="76">
        <v>61982001</v>
      </c>
      <c r="E47" s="76">
        <v>61659338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0.72606635870288017</v>
      </c>
      <c r="D49" s="198">
        <f>IF(D38=0,0,IF(D51=0,0,(D50/D51)/D38))</f>
        <v>0.77421181820621254</v>
      </c>
      <c r="E49" s="198">
        <f>IF(E38=0,0,IF(E51=0,0,(E50/E51)/E38))</f>
        <v>0.77061347369602506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118888695</v>
      </c>
      <c r="D50" s="199">
        <v>132110643</v>
      </c>
      <c r="E50" s="199">
        <v>138809150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664642686</v>
      </c>
      <c r="D51" s="199">
        <v>719664701</v>
      </c>
      <c r="E51" s="199">
        <v>773894200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0.61567910894721345</v>
      </c>
      <c r="D53" s="198">
        <f>IF(D38=0,0,IF(D55=0,0,(D54/D55)/D38))</f>
        <v>0.55894881537881813</v>
      </c>
      <c r="E53" s="198">
        <f>IF(E38=0,0,IF(E55=0,0,(E54/E55)/E38))</f>
        <v>0.50256205169063806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40687610</v>
      </c>
      <c r="D54" s="199">
        <v>38585522</v>
      </c>
      <c r="E54" s="199">
        <v>39318946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268245069</v>
      </c>
      <c r="D55" s="199">
        <v>291141779</v>
      </c>
      <c r="E55" s="199">
        <v>336133866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17477679.507003915</v>
      </c>
      <c r="D57" s="88">
        <f>+D60*D38</f>
        <v>14275106.81264607</v>
      </c>
      <c r="E57" s="88">
        <f>+E60*E38</f>
        <v>13932923.565264821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30293193</v>
      </c>
      <c r="D58" s="199">
        <v>32247209</v>
      </c>
      <c r="E58" s="199">
        <v>25881492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40649514</v>
      </c>
      <c r="D59" s="199">
        <v>27957652</v>
      </c>
      <c r="E59" s="199">
        <v>33979285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70942707</v>
      </c>
      <c r="D60" s="76">
        <v>60204861</v>
      </c>
      <c r="E60" s="201">
        <v>59860777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3.9409320227570502E-2</v>
      </c>
      <c r="D62" s="202">
        <f>IF(D63=0,0,+D57/D63)</f>
        <v>3.1887315018202439E-2</v>
      </c>
      <c r="E62" s="202">
        <f>IF(E63=0,0,+E57/E63)</f>
        <v>2.9430926966032344E-2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443491017</v>
      </c>
      <c r="D63" s="199">
        <v>447673528</v>
      </c>
      <c r="E63" s="199">
        <v>473410966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1.6514683947950419</v>
      </c>
      <c r="D67" s="203">
        <f>IF(D69=0,0,D68/D69)</f>
        <v>1.8517941740570136</v>
      </c>
      <c r="E67" s="203">
        <f>IF(E69=0,0,E68/E69)</f>
        <v>1.7683133340355368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192657000</v>
      </c>
      <c r="D68" s="204">
        <v>225930000</v>
      </c>
      <c r="E68" s="204">
        <v>218247000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116658000</v>
      </c>
      <c r="D69" s="204">
        <v>122006000</v>
      </c>
      <c r="E69" s="204">
        <v>123421000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88.341349809152277</v>
      </c>
      <c r="D71" s="203">
        <f>IF((D77/365)=0,0,+D74/(D77/365))</f>
        <v>109.65477450959457</v>
      </c>
      <c r="E71" s="203">
        <f>IF((E77/365)=0,0,+E74/(E77/365))</f>
        <v>101.9504678734193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101451000</v>
      </c>
      <c r="D72" s="183">
        <v>127288000</v>
      </c>
      <c r="E72" s="183">
        <v>123543000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58000</v>
      </c>
      <c r="D73" s="206">
        <v>53000</v>
      </c>
      <c r="E73" s="206">
        <v>45000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101509000</v>
      </c>
      <c r="D74" s="204">
        <f>+D72+D73</f>
        <v>127341000</v>
      </c>
      <c r="E74" s="204">
        <f>+E72+E73</f>
        <v>123588000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443491017</v>
      </c>
      <c r="D75" s="204">
        <f>+D14</f>
        <v>447673528</v>
      </c>
      <c r="E75" s="204">
        <f>+E14</f>
        <v>473410966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24086230</v>
      </c>
      <c r="D76" s="204">
        <v>23802655</v>
      </c>
      <c r="E76" s="204">
        <v>30944924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419404787</v>
      </c>
      <c r="D77" s="204">
        <f>+D75-D76</f>
        <v>423870873</v>
      </c>
      <c r="E77" s="204">
        <f>+E75-E76</f>
        <v>442466042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52.032922970102604</v>
      </c>
      <c r="D79" s="203">
        <f>IF((D84/365)=0,0,+D83/(D84/365))</f>
        <v>49.945613937958271</v>
      </c>
      <c r="E79" s="203">
        <f>IF((E84/365)=0,0,+E83/(E84/365))</f>
        <v>50.104850981067493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68967000</v>
      </c>
      <c r="D80" s="212">
        <v>72727000</v>
      </c>
      <c r="E80" s="212">
        <v>73153000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2838000</v>
      </c>
      <c r="D81" s="212">
        <v>265000</v>
      </c>
      <c r="E81" s="212">
        <v>46000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6542000</v>
      </c>
      <c r="D82" s="212">
        <v>7801000</v>
      </c>
      <c r="E82" s="212">
        <v>5359000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65263000</v>
      </c>
      <c r="D83" s="212">
        <f>+D80+D81-D82</f>
        <v>65191000</v>
      </c>
      <c r="E83" s="212">
        <f>+E80+E81-E82</f>
        <v>67840000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457806205</v>
      </c>
      <c r="D84" s="204">
        <f>+D11</f>
        <v>476412504</v>
      </c>
      <c r="E84" s="204">
        <f>+E11</f>
        <v>494195662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101.52523604839064</v>
      </c>
      <c r="D86" s="203">
        <f>IF((D90/365)=0,0,+D87/(D90/365))</f>
        <v>105.06074570497793</v>
      </c>
      <c r="E86" s="203">
        <f>IF((E90/365)=0,0,+E87/(E90/365))</f>
        <v>101.812705888964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116658000</v>
      </c>
      <c r="D87" s="76">
        <f>+D69</f>
        <v>122006000</v>
      </c>
      <c r="E87" s="76">
        <f>+E69</f>
        <v>123421000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443491017</v>
      </c>
      <c r="D88" s="76">
        <f t="shared" si="0"/>
        <v>447673528</v>
      </c>
      <c r="E88" s="76">
        <f t="shared" si="0"/>
        <v>473410966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24086230</v>
      </c>
      <c r="D89" s="201">
        <f t="shared" si="0"/>
        <v>23802655</v>
      </c>
      <c r="E89" s="201">
        <f t="shared" si="0"/>
        <v>30944924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419404787</v>
      </c>
      <c r="D90" s="76">
        <f>+D88-D89</f>
        <v>423870873</v>
      </c>
      <c r="E90" s="76">
        <f>+E88-E89</f>
        <v>442466042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26.973292488242656</v>
      </c>
      <c r="D94" s="214">
        <f>IF(D96=0,0,(D95/D96)*100)</f>
        <v>34.159560071790771</v>
      </c>
      <c r="E94" s="214">
        <f>IF(E96=0,0,(E95/E96)*100)</f>
        <v>35.397666467557606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218806000</v>
      </c>
      <c r="D95" s="76">
        <f>+D32</f>
        <v>309474000</v>
      </c>
      <c r="E95" s="76">
        <f>+E32</f>
        <v>366820000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811195000</v>
      </c>
      <c r="D96" s="76">
        <v>905966000</v>
      </c>
      <c r="E96" s="76">
        <v>1036283000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13.150968468793783</v>
      </c>
      <c r="D98" s="214">
        <f>IF(D104=0,0,(D101/D104)*100)</f>
        <v>14.288964578781959</v>
      </c>
      <c r="E98" s="214">
        <f>IF(E104=0,0,(E101/E104)*100)</f>
        <v>13.495016096475929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39647440</v>
      </c>
      <c r="D99" s="76">
        <f>+D28</f>
        <v>45396800</v>
      </c>
      <c r="E99" s="76">
        <f>+E28</f>
        <v>39856543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24086230</v>
      </c>
      <c r="D100" s="201">
        <f>+D76</f>
        <v>23802655</v>
      </c>
      <c r="E100" s="201">
        <f>+E76</f>
        <v>30944924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63733670</v>
      </c>
      <c r="D101" s="76">
        <f>+D99+D100</f>
        <v>69199455</v>
      </c>
      <c r="E101" s="76">
        <f>+E99+E100</f>
        <v>70801467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116658000</v>
      </c>
      <c r="D102" s="204">
        <f>+D69</f>
        <v>122006000</v>
      </c>
      <c r="E102" s="204">
        <f>+E69</f>
        <v>123421000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367973000</v>
      </c>
      <c r="D103" s="216">
        <v>362280000</v>
      </c>
      <c r="E103" s="216">
        <v>401228000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484631000</v>
      </c>
      <c r="D104" s="204">
        <f>+D102+D103</f>
        <v>484286000</v>
      </c>
      <c r="E104" s="204">
        <f>+E102+E103</f>
        <v>524649000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62.71066278786391</v>
      </c>
      <c r="D106" s="214">
        <f>IF(D109=0,0,(D107/D109)*100)</f>
        <v>53.930456685036489</v>
      </c>
      <c r="E106" s="214">
        <f>IF(E109=0,0,(E107/E109)*100)</f>
        <v>52.239964168906106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367973000</v>
      </c>
      <c r="D107" s="204">
        <f>+D103</f>
        <v>362280000</v>
      </c>
      <c r="E107" s="204">
        <f>+E103</f>
        <v>401228000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218806000</v>
      </c>
      <c r="D108" s="204">
        <f>+D32</f>
        <v>309474000</v>
      </c>
      <c r="E108" s="204">
        <f>+E32</f>
        <v>366820000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586779000</v>
      </c>
      <c r="D109" s="204">
        <f>+D107+D108</f>
        <v>671754000</v>
      </c>
      <c r="E109" s="204">
        <f>+E107+E108</f>
        <v>768048000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6.1268200674349593</v>
      </c>
      <c r="D111" s="214">
        <f>IF((+D113+D115)=0,0,((+D112+D113+D114)/(+D113+D115)))</f>
        <v>6.7894355150313253</v>
      </c>
      <c r="E111" s="214">
        <f>IF((+E113+E115)=0,0,((+E112+E113+E114)/(+E113+E115)))</f>
        <v>6.3488591126694613</v>
      </c>
    </row>
    <row r="112" spans="1:6" ht="24" customHeight="1" x14ac:dyDescent="0.2">
      <c r="A112" s="85">
        <v>16</v>
      </c>
      <c r="B112" s="75" t="s">
        <v>373</v>
      </c>
      <c r="C112" s="218">
        <f>+C17</f>
        <v>39647440</v>
      </c>
      <c r="D112" s="76">
        <f>+D17</f>
        <v>45396800</v>
      </c>
      <c r="E112" s="76">
        <f>+E17</f>
        <v>39856543</v>
      </c>
    </row>
    <row r="113" spans="1:8" ht="24" customHeight="1" x14ac:dyDescent="0.2">
      <c r="A113" s="85">
        <v>17</v>
      </c>
      <c r="B113" s="75" t="s">
        <v>88</v>
      </c>
      <c r="C113" s="218">
        <v>6006820</v>
      </c>
      <c r="D113" s="76">
        <v>5743115</v>
      </c>
      <c r="E113" s="76">
        <v>6792759</v>
      </c>
    </row>
    <row r="114" spans="1:8" ht="24" customHeight="1" x14ac:dyDescent="0.2">
      <c r="A114" s="85">
        <v>18</v>
      </c>
      <c r="B114" s="75" t="s">
        <v>374</v>
      </c>
      <c r="C114" s="218">
        <v>24086230</v>
      </c>
      <c r="D114" s="76">
        <v>23802655</v>
      </c>
      <c r="E114" s="76">
        <v>30944924</v>
      </c>
    </row>
    <row r="115" spans="1:8" ht="24" customHeight="1" x14ac:dyDescent="0.2">
      <c r="A115" s="85">
        <v>19</v>
      </c>
      <c r="B115" s="75" t="s">
        <v>104</v>
      </c>
      <c r="C115" s="218">
        <v>5376000</v>
      </c>
      <c r="D115" s="76">
        <v>5295000</v>
      </c>
      <c r="E115" s="76">
        <v>5429000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16.016246627222277</v>
      </c>
      <c r="D119" s="214">
        <f>IF(+D121=0,0,(+D120)/(+D121))</f>
        <v>15.683292473045549</v>
      </c>
      <c r="E119" s="214">
        <f>IF(+E121=0,0,(+E120)/(+E121))</f>
        <v>12.020582115503014</v>
      </c>
    </row>
    <row r="120" spans="1:8" ht="24" customHeight="1" x14ac:dyDescent="0.2">
      <c r="A120" s="85">
        <v>21</v>
      </c>
      <c r="B120" s="75" t="s">
        <v>378</v>
      </c>
      <c r="C120" s="218">
        <v>385771000</v>
      </c>
      <c r="D120" s="218">
        <v>373304000</v>
      </c>
      <c r="E120" s="218">
        <v>371976000</v>
      </c>
    </row>
    <row r="121" spans="1:8" ht="24" customHeight="1" x14ac:dyDescent="0.2">
      <c r="A121" s="85">
        <v>22</v>
      </c>
      <c r="B121" s="75" t="s">
        <v>374</v>
      </c>
      <c r="C121" s="218">
        <v>24086230</v>
      </c>
      <c r="D121" s="218">
        <v>23802655</v>
      </c>
      <c r="E121" s="218">
        <v>30944924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71084</v>
      </c>
      <c r="D124" s="218">
        <v>73202</v>
      </c>
      <c r="E124" s="218">
        <v>71449</v>
      </c>
    </row>
    <row r="125" spans="1:8" ht="24" customHeight="1" x14ac:dyDescent="0.2">
      <c r="A125" s="85">
        <v>2</v>
      </c>
      <c r="B125" s="75" t="s">
        <v>381</v>
      </c>
      <c r="C125" s="218">
        <v>14848</v>
      </c>
      <c r="D125" s="218">
        <v>14847</v>
      </c>
      <c r="E125" s="218">
        <v>14905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4.7874461206896548</v>
      </c>
      <c r="D126" s="219">
        <f>IF(D125=0,0,D124/D125)</f>
        <v>4.930423654610359</v>
      </c>
      <c r="E126" s="219">
        <f>IF(E125=0,0,E124/E125)</f>
        <v>4.7936262998993628</v>
      </c>
    </row>
    <row r="127" spans="1:8" ht="24" customHeight="1" x14ac:dyDescent="0.2">
      <c r="A127" s="85">
        <v>4</v>
      </c>
      <c r="B127" s="75" t="s">
        <v>383</v>
      </c>
      <c r="C127" s="218">
        <v>267</v>
      </c>
      <c r="D127" s="218">
        <v>226</v>
      </c>
      <c r="E127" s="218">
        <v>224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325</v>
      </c>
      <c r="E128" s="218">
        <v>325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325</v>
      </c>
      <c r="D129" s="218">
        <v>330</v>
      </c>
      <c r="E129" s="218">
        <v>330</v>
      </c>
    </row>
    <row r="130" spans="1:7" ht="24" customHeight="1" x14ac:dyDescent="0.2">
      <c r="A130" s="85">
        <v>7</v>
      </c>
      <c r="B130" s="75" t="s">
        <v>386</v>
      </c>
      <c r="C130" s="193">
        <v>0.72940000000000005</v>
      </c>
      <c r="D130" s="193">
        <v>0.88739999999999997</v>
      </c>
      <c r="E130" s="193">
        <v>0.87380000000000002</v>
      </c>
    </row>
    <row r="131" spans="1:7" ht="24" customHeight="1" x14ac:dyDescent="0.2">
      <c r="A131" s="85">
        <v>8</v>
      </c>
      <c r="B131" s="75" t="s">
        <v>387</v>
      </c>
      <c r="C131" s="193">
        <v>0.59919999999999995</v>
      </c>
      <c r="D131" s="193">
        <v>0.61699999999999999</v>
      </c>
      <c r="E131" s="193">
        <v>0.60229999999999995</v>
      </c>
    </row>
    <row r="132" spans="1:7" ht="24" customHeight="1" x14ac:dyDescent="0.2">
      <c r="A132" s="85">
        <v>9</v>
      </c>
      <c r="B132" s="75" t="s">
        <v>388</v>
      </c>
      <c r="C132" s="219">
        <v>1956.7</v>
      </c>
      <c r="D132" s="219">
        <v>1978.7</v>
      </c>
      <c r="E132" s="219">
        <v>2023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0.43320815888837066</v>
      </c>
      <c r="D135" s="227">
        <f>IF(D149=0,0,D143/D149)</f>
        <v>0.42276146733347653</v>
      </c>
      <c r="E135" s="227">
        <f>IF(E149=0,0,E143/E149)</f>
        <v>0.41570641619240695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0.37359784218978614</v>
      </c>
      <c r="D136" s="227">
        <f>IF(D149=0,0,D144/D149)</f>
        <v>0.38434415126076249</v>
      </c>
      <c r="E136" s="227">
        <f>IF(E149=0,0,E144/E149)</f>
        <v>0.38347582487228182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0.15078143650323761</v>
      </c>
      <c r="D137" s="227">
        <f>IF(D149=0,0,D145/D149)</f>
        <v>0.15548718700641603</v>
      </c>
      <c r="E137" s="227">
        <f>IF(E149=0,0,E145/E149)</f>
        <v>0.16655921640433413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3.6450273773364229E-3</v>
      </c>
      <c r="D138" s="227">
        <f>IF(D149=0,0,D146/D149)</f>
        <v>3.4414235477745955E-3</v>
      </c>
      <c r="E138" s="227">
        <f>IF(E149=0,0,E146/E149)</f>
        <v>2.6039110443961794E-3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3.7785912139408337E-2</v>
      </c>
      <c r="D139" s="227">
        <f>IF(D149=0,0,D147/D149)</f>
        <v>3.3102109266560695E-2</v>
      </c>
      <c r="E139" s="227">
        <f>IF(E149=0,0,E147/E149)</f>
        <v>3.0553098215012894E-2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9.8162290186078866E-4</v>
      </c>
      <c r="D140" s="227">
        <f>IF(D149=0,0,D148/D149)</f>
        <v>8.6366158500965188E-4</v>
      </c>
      <c r="E140" s="227">
        <f>IF(E149=0,0,E148/E149)</f>
        <v>1.1015332715680081E-3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0.99999999999999989</v>
      </c>
      <c r="D141" s="227">
        <f>SUM(D135:D140)</f>
        <v>0.99999999999999989</v>
      </c>
      <c r="E141" s="227">
        <f>SUM(E135:E140)</f>
        <v>0.99999999999999989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770691374</v>
      </c>
      <c r="D143" s="229">
        <f>+D46-D147</f>
        <v>791599154</v>
      </c>
      <c r="E143" s="229">
        <f>+E46-E147</f>
        <v>838938894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664642686</v>
      </c>
      <c r="D144" s="229">
        <f>+D51</f>
        <v>719664701</v>
      </c>
      <c r="E144" s="229">
        <f>+E51</f>
        <v>773894200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268245069</v>
      </c>
      <c r="D145" s="229">
        <f>+D55</f>
        <v>291141779</v>
      </c>
      <c r="E145" s="229">
        <f>+E55</f>
        <v>336133866</v>
      </c>
    </row>
    <row r="146" spans="1:7" ht="20.100000000000001" customHeight="1" x14ac:dyDescent="0.2">
      <c r="A146" s="226">
        <v>11</v>
      </c>
      <c r="B146" s="224" t="s">
        <v>400</v>
      </c>
      <c r="C146" s="228">
        <v>6484622</v>
      </c>
      <c r="D146" s="229">
        <v>6443889</v>
      </c>
      <c r="E146" s="229">
        <v>5254964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67222364</v>
      </c>
      <c r="D147" s="229">
        <f>+D47</f>
        <v>61982001</v>
      </c>
      <c r="E147" s="229">
        <f>+E47</f>
        <v>61659338</v>
      </c>
    </row>
    <row r="148" spans="1:7" ht="20.100000000000001" customHeight="1" x14ac:dyDescent="0.2">
      <c r="A148" s="226">
        <v>13</v>
      </c>
      <c r="B148" s="224" t="s">
        <v>402</v>
      </c>
      <c r="C148" s="230">
        <v>1746339</v>
      </c>
      <c r="D148" s="229">
        <v>1617162</v>
      </c>
      <c r="E148" s="229">
        <v>2223009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1779032454</v>
      </c>
      <c r="D149" s="229">
        <f>SUM(D143:D148)</f>
        <v>1872448686</v>
      </c>
      <c r="E149" s="229">
        <f>SUM(E143:E148)</f>
        <v>2018104271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0.66045856001905445</v>
      </c>
      <c r="D152" s="227">
        <f>IF(D166=0,0,D160/D166)</f>
        <v>0.65495649599883243</v>
      </c>
      <c r="E152" s="227">
        <f>IF(E166=0,0,E160/E166)</f>
        <v>0.65362180792893909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0.24907593990808655</v>
      </c>
      <c r="D153" s="227">
        <f>IF(D166=0,0,D161/D166)</f>
        <v>0.2626573276134927</v>
      </c>
      <c r="E153" s="227">
        <f>IF(E166=0,0,E161/E166)</f>
        <v>0.26466074696464048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8.5241954278021656E-2</v>
      </c>
      <c r="D154" s="227">
        <f>IF(D166=0,0,D162/D166)</f>
        <v>7.6714259070646038E-2</v>
      </c>
      <c r="E154" s="227">
        <f>IF(E166=0,0,E162/E166)</f>
        <v>7.4967548019870184E-2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8.8030214992501469E-4</v>
      </c>
      <c r="D155" s="227">
        <f>IF(D166=0,0,D163/D166)</f>
        <v>1.5460244017748528E-3</v>
      </c>
      <c r="E155" s="227">
        <f>IF(E166=0,0,E163/E166)</f>
        <v>1.9168983731895806E-3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3.4645253412106526E-3</v>
      </c>
      <c r="D156" s="227">
        <f>IF(D166=0,0,D164/D166)</f>
        <v>3.7686083192195055E-3</v>
      </c>
      <c r="E156" s="227">
        <f>IF(E166=0,0,E164/E166)</f>
        <v>4.200962633525129E-3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8.7871830370170041E-4</v>
      </c>
      <c r="D157" s="227">
        <f>IF(D166=0,0,D165/D166)</f>
        <v>3.5728459603447934E-4</v>
      </c>
      <c r="E157" s="227">
        <f>IF(E166=0,0,E165/E166)</f>
        <v>6.320360798355777E-4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0.99999999999999989</v>
      </c>
      <c r="D158" s="227">
        <f>SUM(D152:D157)</f>
        <v>1</v>
      </c>
      <c r="E158" s="227">
        <f>SUM(E152:E157)</f>
        <v>0.99999999999999989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315249463</v>
      </c>
      <c r="D160" s="229">
        <f>+D44-D164</f>
        <v>329428174</v>
      </c>
      <c r="E160" s="229">
        <f>+E44-E164</f>
        <v>342811273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118888695</v>
      </c>
      <c r="D161" s="229">
        <f>+D50</f>
        <v>132110643</v>
      </c>
      <c r="E161" s="229">
        <f>+E50</f>
        <v>138809150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40687610</v>
      </c>
      <c r="D162" s="229">
        <f>+D54</f>
        <v>38585522</v>
      </c>
      <c r="E162" s="229">
        <f>+E54</f>
        <v>39318946</v>
      </c>
    </row>
    <row r="163" spans="1:6" ht="20.100000000000001" customHeight="1" x14ac:dyDescent="0.2">
      <c r="A163" s="226">
        <v>11</v>
      </c>
      <c r="B163" s="224" t="s">
        <v>415</v>
      </c>
      <c r="C163" s="228">
        <v>420185</v>
      </c>
      <c r="D163" s="229">
        <v>777615</v>
      </c>
      <c r="E163" s="229">
        <v>1005374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1653684</v>
      </c>
      <c r="D164" s="229">
        <f>+D45</f>
        <v>1895524</v>
      </c>
      <c r="E164" s="229">
        <f>+E45</f>
        <v>2203319</v>
      </c>
    </row>
    <row r="165" spans="1:6" ht="20.100000000000001" customHeight="1" x14ac:dyDescent="0.2">
      <c r="A165" s="226">
        <v>13</v>
      </c>
      <c r="B165" s="224" t="s">
        <v>417</v>
      </c>
      <c r="C165" s="230">
        <v>419429</v>
      </c>
      <c r="D165" s="229">
        <v>179706</v>
      </c>
      <c r="E165" s="229">
        <v>331490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477319066</v>
      </c>
      <c r="D166" s="229">
        <f>SUM(D160:D165)</f>
        <v>502977184</v>
      </c>
      <c r="E166" s="229">
        <f>SUM(E160:E165)</f>
        <v>524479552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6040</v>
      </c>
      <c r="D169" s="218">
        <v>5862</v>
      </c>
      <c r="E169" s="218">
        <v>5675</v>
      </c>
    </row>
    <row r="170" spans="1:6" ht="20.100000000000001" customHeight="1" x14ac:dyDescent="0.2">
      <c r="A170" s="226">
        <v>2</v>
      </c>
      <c r="B170" s="224" t="s">
        <v>420</v>
      </c>
      <c r="C170" s="218">
        <v>5336</v>
      </c>
      <c r="D170" s="218">
        <v>5492</v>
      </c>
      <c r="E170" s="218">
        <v>5429</v>
      </c>
    </row>
    <row r="171" spans="1:6" ht="20.100000000000001" customHeight="1" x14ac:dyDescent="0.2">
      <c r="A171" s="226">
        <v>3</v>
      </c>
      <c r="B171" s="224" t="s">
        <v>421</v>
      </c>
      <c r="C171" s="218">
        <v>3457</v>
      </c>
      <c r="D171" s="218">
        <v>3474</v>
      </c>
      <c r="E171" s="218">
        <v>3772</v>
      </c>
    </row>
    <row r="172" spans="1:6" ht="20.100000000000001" customHeight="1" x14ac:dyDescent="0.2">
      <c r="A172" s="226">
        <v>4</v>
      </c>
      <c r="B172" s="224" t="s">
        <v>422</v>
      </c>
      <c r="C172" s="218">
        <v>3376</v>
      </c>
      <c r="D172" s="218">
        <v>3394</v>
      </c>
      <c r="E172" s="218">
        <v>3709</v>
      </c>
    </row>
    <row r="173" spans="1:6" ht="20.100000000000001" customHeight="1" x14ac:dyDescent="0.2">
      <c r="A173" s="226">
        <v>5</v>
      </c>
      <c r="B173" s="224" t="s">
        <v>423</v>
      </c>
      <c r="C173" s="218">
        <v>81</v>
      </c>
      <c r="D173" s="218">
        <v>80</v>
      </c>
      <c r="E173" s="218">
        <v>63</v>
      </c>
    </row>
    <row r="174" spans="1:6" ht="20.100000000000001" customHeight="1" x14ac:dyDescent="0.2">
      <c r="A174" s="226">
        <v>6</v>
      </c>
      <c r="B174" s="224" t="s">
        <v>424</v>
      </c>
      <c r="C174" s="218">
        <v>15</v>
      </c>
      <c r="D174" s="218">
        <v>19</v>
      </c>
      <c r="E174" s="218">
        <v>29</v>
      </c>
    </row>
    <row r="175" spans="1:6" ht="20.100000000000001" customHeight="1" x14ac:dyDescent="0.2">
      <c r="A175" s="226">
        <v>7</v>
      </c>
      <c r="B175" s="224" t="s">
        <v>425</v>
      </c>
      <c r="C175" s="218">
        <v>366</v>
      </c>
      <c r="D175" s="218">
        <v>193</v>
      </c>
      <c r="E175" s="218">
        <v>139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14848</v>
      </c>
      <c r="D176" s="218">
        <f>+D169+D170+D171+D174</f>
        <v>14847</v>
      </c>
      <c r="E176" s="218">
        <f>+E169+E170+E171+E174</f>
        <v>14905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1.0919000000000001</v>
      </c>
      <c r="D179" s="231">
        <v>1.1091599999999999</v>
      </c>
      <c r="E179" s="231">
        <v>1.1492800000000001</v>
      </c>
    </row>
    <row r="180" spans="1:6" ht="20.100000000000001" customHeight="1" x14ac:dyDescent="0.2">
      <c r="A180" s="226">
        <v>2</v>
      </c>
      <c r="B180" s="224" t="s">
        <v>420</v>
      </c>
      <c r="C180" s="231">
        <v>1.57169</v>
      </c>
      <c r="D180" s="231">
        <v>1.6163400000000001</v>
      </c>
      <c r="E180" s="231">
        <v>1.67954</v>
      </c>
    </row>
    <row r="181" spans="1:6" ht="20.100000000000001" customHeight="1" x14ac:dyDescent="0.2">
      <c r="A181" s="226">
        <v>3</v>
      </c>
      <c r="B181" s="224" t="s">
        <v>421</v>
      </c>
      <c r="C181" s="231">
        <v>1.0147109999999999</v>
      </c>
      <c r="D181" s="231">
        <v>1.022254</v>
      </c>
      <c r="E181" s="231">
        <v>1.0859719999999999</v>
      </c>
    </row>
    <row r="182" spans="1:6" ht="20.100000000000001" customHeight="1" x14ac:dyDescent="0.2">
      <c r="A182" s="226">
        <v>4</v>
      </c>
      <c r="B182" s="224" t="s">
        <v>422</v>
      </c>
      <c r="C182" s="231">
        <v>1.01264</v>
      </c>
      <c r="D182" s="231">
        <v>1.0188999999999999</v>
      </c>
      <c r="E182" s="231">
        <v>1.0799399999999999</v>
      </c>
    </row>
    <row r="183" spans="1:6" ht="20.100000000000001" customHeight="1" x14ac:dyDescent="0.2">
      <c r="A183" s="226">
        <v>5</v>
      </c>
      <c r="B183" s="224" t="s">
        <v>423</v>
      </c>
      <c r="C183" s="231">
        <v>1.1010500000000001</v>
      </c>
      <c r="D183" s="231">
        <v>1.1645700000000001</v>
      </c>
      <c r="E183" s="231">
        <v>1.4411099999999999</v>
      </c>
    </row>
    <row r="184" spans="1:6" ht="20.100000000000001" customHeight="1" x14ac:dyDescent="0.2">
      <c r="A184" s="226">
        <v>6</v>
      </c>
      <c r="B184" s="224" t="s">
        <v>424</v>
      </c>
      <c r="C184" s="231">
        <v>2.1720700000000002</v>
      </c>
      <c r="D184" s="231">
        <v>1.0184200000000001</v>
      </c>
      <c r="E184" s="231">
        <v>0.98536999999999997</v>
      </c>
    </row>
    <row r="185" spans="1:6" ht="20.100000000000001" customHeight="1" x14ac:dyDescent="0.2">
      <c r="A185" s="226">
        <v>7</v>
      </c>
      <c r="B185" s="224" t="s">
        <v>425</v>
      </c>
      <c r="C185" s="231">
        <v>1.1611800000000001</v>
      </c>
      <c r="D185" s="231">
        <v>1.2165999999999999</v>
      </c>
      <c r="E185" s="231">
        <v>1.3370899999999999</v>
      </c>
    </row>
    <row r="186" spans="1:6" ht="20.100000000000001" customHeight="1" x14ac:dyDescent="0.2">
      <c r="A186" s="226">
        <v>8</v>
      </c>
      <c r="B186" s="224" t="s">
        <v>429</v>
      </c>
      <c r="C186" s="231">
        <v>1.247444</v>
      </c>
      <c r="D186" s="231">
        <v>1.2763180000000001</v>
      </c>
      <c r="E186" s="231">
        <v>1.3260810000000001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7635</v>
      </c>
      <c r="D189" s="218">
        <v>6196</v>
      </c>
      <c r="E189" s="218">
        <v>6158</v>
      </c>
    </row>
    <row r="190" spans="1:6" ht="20.100000000000001" customHeight="1" x14ac:dyDescent="0.2">
      <c r="A190" s="226">
        <v>2</v>
      </c>
      <c r="B190" s="224" t="s">
        <v>433</v>
      </c>
      <c r="C190" s="218">
        <v>41417</v>
      </c>
      <c r="D190" s="218">
        <v>41244</v>
      </c>
      <c r="E190" s="218">
        <v>41490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49052</v>
      </c>
      <c r="D191" s="218">
        <f>+D190+D189</f>
        <v>47440</v>
      </c>
      <c r="E191" s="218">
        <f>+E190+E189</f>
        <v>47648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paperSize="9" scale="74" orientation="portrait" horizontalDpi="1200" verticalDpi="1200" r:id="rId1"/>
  <headerFooter>
    <oddHeader>&amp;LOFFICE OF HEALTH CARE ACCESS&amp;CTWELVE MONTHS ACTUAL FILING&amp;RSTAMFORD HOSPITAL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zoomScale="75" workbookViewId="0">
      <selection activeCell="C37" sqref="C37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87" t="s">
        <v>0</v>
      </c>
      <c r="B2" s="787"/>
      <c r="C2" s="787"/>
      <c r="D2" s="787"/>
      <c r="E2" s="787"/>
      <c r="F2" s="787"/>
    </row>
    <row r="3" spans="1:7" ht="20.25" customHeight="1" x14ac:dyDescent="0.3">
      <c r="A3" s="787" t="s">
        <v>1</v>
      </c>
      <c r="B3" s="787"/>
      <c r="C3" s="787"/>
      <c r="D3" s="787"/>
      <c r="E3" s="787"/>
      <c r="F3" s="787"/>
    </row>
    <row r="4" spans="1:7" ht="20.25" customHeight="1" x14ac:dyDescent="0.3">
      <c r="A4" s="787" t="s">
        <v>2</v>
      </c>
      <c r="B4" s="787"/>
      <c r="C4" s="787"/>
      <c r="D4" s="787"/>
      <c r="E4" s="787"/>
      <c r="F4" s="787"/>
    </row>
    <row r="5" spans="1:7" ht="20.25" customHeight="1" x14ac:dyDescent="0.3">
      <c r="A5" s="787" t="s">
        <v>435</v>
      </c>
      <c r="B5" s="787"/>
      <c r="C5" s="787"/>
      <c r="D5" s="787"/>
      <c r="E5" s="787"/>
      <c r="F5" s="78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788"/>
      <c r="D9" s="789"/>
      <c r="E9" s="789"/>
      <c r="F9" s="790"/>
      <c r="G9" s="245"/>
    </row>
    <row r="10" spans="1:7" ht="20.25" customHeight="1" x14ac:dyDescent="0.3">
      <c r="A10" s="791" t="s">
        <v>12</v>
      </c>
      <c r="B10" s="793" t="s">
        <v>114</v>
      </c>
      <c r="C10" s="795"/>
      <c r="D10" s="796"/>
      <c r="E10" s="796"/>
      <c r="F10" s="797"/>
    </row>
    <row r="11" spans="1:7" ht="20.25" customHeight="1" x14ac:dyDescent="0.3">
      <c r="A11" s="792"/>
      <c r="B11" s="794"/>
      <c r="C11" s="798"/>
      <c r="D11" s="799"/>
      <c r="E11" s="799"/>
      <c r="F11" s="800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1269694</v>
      </c>
      <c r="D14" s="258">
        <v>3064671</v>
      </c>
      <c r="E14" s="258">
        <f t="shared" ref="E14:E24" si="0">D14-C14</f>
        <v>1794977</v>
      </c>
      <c r="F14" s="259">
        <f t="shared" ref="F14:F24" si="1">IF(C14=0,0,E14/C14)</f>
        <v>1.4137083423250012</v>
      </c>
    </row>
    <row r="15" spans="1:7" ht="20.25" customHeight="1" x14ac:dyDescent="0.3">
      <c r="A15" s="256">
        <v>2</v>
      </c>
      <c r="B15" s="257" t="s">
        <v>442</v>
      </c>
      <c r="C15" s="258">
        <v>259264</v>
      </c>
      <c r="D15" s="258">
        <v>691040</v>
      </c>
      <c r="E15" s="258">
        <f t="shared" si="0"/>
        <v>431776</v>
      </c>
      <c r="F15" s="259">
        <f t="shared" si="1"/>
        <v>1.6653912614169342</v>
      </c>
    </row>
    <row r="16" spans="1:7" ht="20.25" customHeight="1" x14ac:dyDescent="0.3">
      <c r="A16" s="256">
        <v>3</v>
      </c>
      <c r="B16" s="257" t="s">
        <v>443</v>
      </c>
      <c r="C16" s="258">
        <v>1489284</v>
      </c>
      <c r="D16" s="258">
        <v>4072867</v>
      </c>
      <c r="E16" s="258">
        <f t="shared" si="0"/>
        <v>2583583</v>
      </c>
      <c r="F16" s="259">
        <f t="shared" si="1"/>
        <v>1.7347819489096774</v>
      </c>
    </row>
    <row r="17" spans="1:6" ht="20.25" customHeight="1" x14ac:dyDescent="0.3">
      <c r="A17" s="256">
        <v>4</v>
      </c>
      <c r="B17" s="257" t="s">
        <v>444</v>
      </c>
      <c r="C17" s="258">
        <v>168169</v>
      </c>
      <c r="D17" s="258">
        <v>428185</v>
      </c>
      <c r="E17" s="258">
        <f t="shared" si="0"/>
        <v>260016</v>
      </c>
      <c r="F17" s="259">
        <f t="shared" si="1"/>
        <v>1.5461589234638964</v>
      </c>
    </row>
    <row r="18" spans="1:6" ht="20.25" customHeight="1" x14ac:dyDescent="0.3">
      <c r="A18" s="256">
        <v>5</v>
      </c>
      <c r="B18" s="257" t="s">
        <v>381</v>
      </c>
      <c r="C18" s="260">
        <v>19</v>
      </c>
      <c r="D18" s="260">
        <v>54</v>
      </c>
      <c r="E18" s="260">
        <f t="shared" si="0"/>
        <v>35</v>
      </c>
      <c r="F18" s="259">
        <f t="shared" si="1"/>
        <v>1.8421052631578947</v>
      </c>
    </row>
    <row r="19" spans="1:6" ht="20.25" customHeight="1" x14ac:dyDescent="0.3">
      <c r="A19" s="256">
        <v>6</v>
      </c>
      <c r="B19" s="257" t="s">
        <v>380</v>
      </c>
      <c r="C19" s="260">
        <v>111</v>
      </c>
      <c r="D19" s="260">
        <v>285</v>
      </c>
      <c r="E19" s="260">
        <f t="shared" si="0"/>
        <v>174</v>
      </c>
      <c r="F19" s="259">
        <f t="shared" si="1"/>
        <v>1.5675675675675675</v>
      </c>
    </row>
    <row r="20" spans="1:6" ht="20.25" customHeight="1" x14ac:dyDescent="0.3">
      <c r="A20" s="256">
        <v>7</v>
      </c>
      <c r="B20" s="257" t="s">
        <v>445</v>
      </c>
      <c r="C20" s="260">
        <v>387</v>
      </c>
      <c r="D20" s="260">
        <v>1089</v>
      </c>
      <c r="E20" s="260">
        <f t="shared" si="0"/>
        <v>702</v>
      </c>
      <c r="F20" s="259">
        <f t="shared" si="1"/>
        <v>1.8139534883720929</v>
      </c>
    </row>
    <row r="21" spans="1:6" ht="20.25" customHeight="1" x14ac:dyDescent="0.3">
      <c r="A21" s="256">
        <v>8</v>
      </c>
      <c r="B21" s="257" t="s">
        <v>446</v>
      </c>
      <c r="C21" s="260">
        <v>33</v>
      </c>
      <c r="D21" s="260">
        <v>103</v>
      </c>
      <c r="E21" s="260">
        <f t="shared" si="0"/>
        <v>70</v>
      </c>
      <c r="F21" s="259">
        <f t="shared" si="1"/>
        <v>2.1212121212121211</v>
      </c>
    </row>
    <row r="22" spans="1:6" ht="20.25" customHeight="1" x14ac:dyDescent="0.3">
      <c r="A22" s="256">
        <v>9</v>
      </c>
      <c r="B22" s="257" t="s">
        <v>447</v>
      </c>
      <c r="C22" s="260">
        <v>16</v>
      </c>
      <c r="D22" s="260">
        <v>48</v>
      </c>
      <c r="E22" s="260">
        <f t="shared" si="0"/>
        <v>32</v>
      </c>
      <c r="F22" s="259">
        <f t="shared" si="1"/>
        <v>2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2758978</v>
      </c>
      <c r="D23" s="263">
        <f>+D14+D16</f>
        <v>7137538</v>
      </c>
      <c r="E23" s="263">
        <f t="shared" si="0"/>
        <v>4378560</v>
      </c>
      <c r="F23" s="264">
        <f t="shared" si="1"/>
        <v>1.58702244091834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427433</v>
      </c>
      <c r="D24" s="263">
        <f>+D15+D17</f>
        <v>1119225</v>
      </c>
      <c r="E24" s="263">
        <f t="shared" si="0"/>
        <v>691792</v>
      </c>
      <c r="F24" s="264">
        <f t="shared" si="1"/>
        <v>1.6184805571867404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883</v>
      </c>
      <c r="D29" s="258">
        <v>1654</v>
      </c>
      <c r="E29" s="258">
        <f t="shared" si="2"/>
        <v>771</v>
      </c>
      <c r="F29" s="259">
        <f t="shared" si="3"/>
        <v>0.8731596828992072</v>
      </c>
    </row>
    <row r="30" spans="1:6" ht="20.25" customHeight="1" x14ac:dyDescent="0.3">
      <c r="A30" s="256">
        <v>4</v>
      </c>
      <c r="B30" s="257" t="s">
        <v>444</v>
      </c>
      <c r="C30" s="258">
        <v>64</v>
      </c>
      <c r="D30" s="258">
        <v>253</v>
      </c>
      <c r="E30" s="258">
        <f t="shared" si="2"/>
        <v>189</v>
      </c>
      <c r="F30" s="259">
        <f t="shared" si="3"/>
        <v>2.953125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1</v>
      </c>
      <c r="D33" s="260">
        <v>1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883</v>
      </c>
      <c r="D36" s="263">
        <f>+D27+D29</f>
        <v>1654</v>
      </c>
      <c r="E36" s="263">
        <f t="shared" si="2"/>
        <v>771</v>
      </c>
      <c r="F36" s="264">
        <f t="shared" si="3"/>
        <v>0.8731596828992072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64</v>
      </c>
      <c r="D37" s="263">
        <f>+D28+D30</f>
        <v>253</v>
      </c>
      <c r="E37" s="263">
        <f t="shared" si="2"/>
        <v>189</v>
      </c>
      <c r="F37" s="264">
        <f t="shared" si="3"/>
        <v>2.953125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5917114</v>
      </c>
      <c r="D40" s="258">
        <v>6431057</v>
      </c>
      <c r="E40" s="258">
        <f t="shared" ref="E40:E50" si="4">D40-C40</f>
        <v>513943</v>
      </c>
      <c r="F40" s="259">
        <f t="shared" ref="F40:F50" si="5">IF(C40=0,0,E40/C40)</f>
        <v>8.6857038752337717E-2</v>
      </c>
    </row>
    <row r="41" spans="1:6" ht="20.25" customHeight="1" x14ac:dyDescent="0.3">
      <c r="A41" s="256">
        <v>2</v>
      </c>
      <c r="B41" s="257" t="s">
        <v>442</v>
      </c>
      <c r="C41" s="258">
        <v>1331689</v>
      </c>
      <c r="D41" s="258">
        <v>1462670</v>
      </c>
      <c r="E41" s="258">
        <f t="shared" si="4"/>
        <v>130981</v>
      </c>
      <c r="F41" s="259">
        <f t="shared" si="5"/>
        <v>9.8357048830470181E-2</v>
      </c>
    </row>
    <row r="42" spans="1:6" ht="20.25" customHeight="1" x14ac:dyDescent="0.3">
      <c r="A42" s="256">
        <v>3</v>
      </c>
      <c r="B42" s="257" t="s">
        <v>443</v>
      </c>
      <c r="C42" s="258">
        <v>6829568</v>
      </c>
      <c r="D42" s="258">
        <v>10319209</v>
      </c>
      <c r="E42" s="258">
        <f t="shared" si="4"/>
        <v>3489641</v>
      </c>
      <c r="F42" s="259">
        <f t="shared" si="5"/>
        <v>0.5109607225522903</v>
      </c>
    </row>
    <row r="43" spans="1:6" ht="20.25" customHeight="1" x14ac:dyDescent="0.3">
      <c r="A43" s="256">
        <v>4</v>
      </c>
      <c r="B43" s="257" t="s">
        <v>444</v>
      </c>
      <c r="C43" s="258">
        <v>808887</v>
      </c>
      <c r="D43" s="258">
        <v>1182380</v>
      </c>
      <c r="E43" s="258">
        <f t="shared" si="4"/>
        <v>373493</v>
      </c>
      <c r="F43" s="259">
        <f t="shared" si="5"/>
        <v>0.46173692988019338</v>
      </c>
    </row>
    <row r="44" spans="1:6" ht="20.25" customHeight="1" x14ac:dyDescent="0.3">
      <c r="A44" s="256">
        <v>5</v>
      </c>
      <c r="B44" s="257" t="s">
        <v>381</v>
      </c>
      <c r="C44" s="260">
        <v>95</v>
      </c>
      <c r="D44" s="260">
        <v>97</v>
      </c>
      <c r="E44" s="260">
        <f t="shared" si="4"/>
        <v>2</v>
      </c>
      <c r="F44" s="259">
        <f t="shared" si="5"/>
        <v>2.1052631578947368E-2</v>
      </c>
    </row>
    <row r="45" spans="1:6" ht="20.25" customHeight="1" x14ac:dyDescent="0.3">
      <c r="A45" s="256">
        <v>6</v>
      </c>
      <c r="B45" s="257" t="s">
        <v>380</v>
      </c>
      <c r="C45" s="260">
        <v>537</v>
      </c>
      <c r="D45" s="260">
        <v>556</v>
      </c>
      <c r="E45" s="260">
        <f t="shared" si="4"/>
        <v>19</v>
      </c>
      <c r="F45" s="259">
        <f t="shared" si="5"/>
        <v>3.5381750465549346E-2</v>
      </c>
    </row>
    <row r="46" spans="1:6" ht="20.25" customHeight="1" x14ac:dyDescent="0.3">
      <c r="A46" s="256">
        <v>7</v>
      </c>
      <c r="B46" s="257" t="s">
        <v>445</v>
      </c>
      <c r="C46" s="260">
        <v>2126</v>
      </c>
      <c r="D46" s="260">
        <v>2472</v>
      </c>
      <c r="E46" s="260">
        <f t="shared" si="4"/>
        <v>346</v>
      </c>
      <c r="F46" s="259">
        <f t="shared" si="5"/>
        <v>0.16274694261523989</v>
      </c>
    </row>
    <row r="47" spans="1:6" ht="20.25" customHeight="1" x14ac:dyDescent="0.3">
      <c r="A47" s="256">
        <v>8</v>
      </c>
      <c r="B47" s="257" t="s">
        <v>446</v>
      </c>
      <c r="C47" s="260">
        <v>135</v>
      </c>
      <c r="D47" s="260">
        <v>164</v>
      </c>
      <c r="E47" s="260">
        <f t="shared" si="4"/>
        <v>29</v>
      </c>
      <c r="F47" s="259">
        <f t="shared" si="5"/>
        <v>0.21481481481481482</v>
      </c>
    </row>
    <row r="48" spans="1:6" ht="20.25" customHeight="1" x14ac:dyDescent="0.3">
      <c r="A48" s="256">
        <v>9</v>
      </c>
      <c r="B48" s="257" t="s">
        <v>447</v>
      </c>
      <c r="C48" s="260">
        <v>68</v>
      </c>
      <c r="D48" s="260">
        <v>80</v>
      </c>
      <c r="E48" s="260">
        <f t="shared" si="4"/>
        <v>12</v>
      </c>
      <c r="F48" s="259">
        <f t="shared" si="5"/>
        <v>0.17647058823529413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12746682</v>
      </c>
      <c r="D49" s="263">
        <f>+D40+D42</f>
        <v>16750266</v>
      </c>
      <c r="E49" s="263">
        <f t="shared" si="4"/>
        <v>4003584</v>
      </c>
      <c r="F49" s="264">
        <f t="shared" si="5"/>
        <v>0.3140883251029562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2140576</v>
      </c>
      <c r="D50" s="263">
        <f>+D41+D43</f>
        <v>2645050</v>
      </c>
      <c r="E50" s="263">
        <f t="shared" si="4"/>
        <v>504474</v>
      </c>
      <c r="F50" s="264">
        <f t="shared" si="5"/>
        <v>0.23567208078573243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1426687</v>
      </c>
      <c r="D66" s="258">
        <v>1113230</v>
      </c>
      <c r="E66" s="258">
        <f t="shared" ref="E66:E76" si="8">D66-C66</f>
        <v>-313457</v>
      </c>
      <c r="F66" s="259">
        <f t="shared" ref="F66:F76" si="9">IF(C66=0,0,E66/C66)</f>
        <v>-0.21970971909045223</v>
      </c>
    </row>
    <row r="67" spans="1:6" ht="20.25" customHeight="1" x14ac:dyDescent="0.3">
      <c r="A67" s="256">
        <v>2</v>
      </c>
      <c r="B67" s="257" t="s">
        <v>442</v>
      </c>
      <c r="C67" s="258">
        <v>301881</v>
      </c>
      <c r="D67" s="258">
        <v>301653</v>
      </c>
      <c r="E67" s="258">
        <f t="shared" si="8"/>
        <v>-228</v>
      </c>
      <c r="F67" s="259">
        <f t="shared" si="9"/>
        <v>-7.552644916374333E-4</v>
      </c>
    </row>
    <row r="68" spans="1:6" ht="20.25" customHeight="1" x14ac:dyDescent="0.3">
      <c r="A68" s="256">
        <v>3</v>
      </c>
      <c r="B68" s="257" t="s">
        <v>443</v>
      </c>
      <c r="C68" s="258">
        <v>3771165</v>
      </c>
      <c r="D68" s="258">
        <v>2038605</v>
      </c>
      <c r="E68" s="258">
        <f t="shared" si="8"/>
        <v>-1732560</v>
      </c>
      <c r="F68" s="259">
        <f t="shared" si="9"/>
        <v>-0.45942301649490275</v>
      </c>
    </row>
    <row r="69" spans="1:6" ht="20.25" customHeight="1" x14ac:dyDescent="0.3">
      <c r="A69" s="256">
        <v>4</v>
      </c>
      <c r="B69" s="257" t="s">
        <v>444</v>
      </c>
      <c r="C69" s="258">
        <v>1397177</v>
      </c>
      <c r="D69" s="258">
        <v>830049</v>
      </c>
      <c r="E69" s="258">
        <f t="shared" si="8"/>
        <v>-567128</v>
      </c>
      <c r="F69" s="259">
        <f t="shared" si="9"/>
        <v>-0.40590991692534301</v>
      </c>
    </row>
    <row r="70" spans="1:6" ht="20.25" customHeight="1" x14ac:dyDescent="0.3">
      <c r="A70" s="256">
        <v>5</v>
      </c>
      <c r="B70" s="257" t="s">
        <v>381</v>
      </c>
      <c r="C70" s="260">
        <v>26</v>
      </c>
      <c r="D70" s="260">
        <v>16</v>
      </c>
      <c r="E70" s="260">
        <f t="shared" si="8"/>
        <v>-10</v>
      </c>
      <c r="F70" s="259">
        <f t="shared" si="9"/>
        <v>-0.38461538461538464</v>
      </c>
    </row>
    <row r="71" spans="1:6" ht="20.25" customHeight="1" x14ac:dyDescent="0.3">
      <c r="A71" s="256">
        <v>6</v>
      </c>
      <c r="B71" s="257" t="s">
        <v>380</v>
      </c>
      <c r="C71" s="260">
        <v>155</v>
      </c>
      <c r="D71" s="260">
        <v>92</v>
      </c>
      <c r="E71" s="260">
        <f t="shared" si="8"/>
        <v>-63</v>
      </c>
      <c r="F71" s="259">
        <f t="shared" si="9"/>
        <v>-0.40645161290322579</v>
      </c>
    </row>
    <row r="72" spans="1:6" ht="20.25" customHeight="1" x14ac:dyDescent="0.3">
      <c r="A72" s="256">
        <v>7</v>
      </c>
      <c r="B72" s="257" t="s">
        <v>445</v>
      </c>
      <c r="C72" s="260">
        <v>154</v>
      </c>
      <c r="D72" s="260">
        <v>93</v>
      </c>
      <c r="E72" s="260">
        <f t="shared" si="8"/>
        <v>-61</v>
      </c>
      <c r="F72" s="259">
        <f t="shared" si="9"/>
        <v>-0.39610389610389612</v>
      </c>
    </row>
    <row r="73" spans="1:6" ht="20.25" customHeight="1" x14ac:dyDescent="0.3">
      <c r="A73" s="256">
        <v>8</v>
      </c>
      <c r="B73" s="257" t="s">
        <v>446</v>
      </c>
      <c r="C73" s="260">
        <v>73</v>
      </c>
      <c r="D73" s="260">
        <v>66</v>
      </c>
      <c r="E73" s="260">
        <f t="shared" si="8"/>
        <v>-7</v>
      </c>
      <c r="F73" s="259">
        <f t="shared" si="9"/>
        <v>-9.5890410958904104E-2</v>
      </c>
    </row>
    <row r="74" spans="1:6" ht="20.25" customHeight="1" x14ac:dyDescent="0.3">
      <c r="A74" s="256">
        <v>9</v>
      </c>
      <c r="B74" s="257" t="s">
        <v>447</v>
      </c>
      <c r="C74" s="260">
        <v>23</v>
      </c>
      <c r="D74" s="260">
        <v>11</v>
      </c>
      <c r="E74" s="260">
        <f t="shared" si="8"/>
        <v>-12</v>
      </c>
      <c r="F74" s="259">
        <f t="shared" si="9"/>
        <v>-0.52173913043478259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5197852</v>
      </c>
      <c r="D75" s="263">
        <f>+D66+D68</f>
        <v>3151835</v>
      </c>
      <c r="E75" s="263">
        <f t="shared" si="8"/>
        <v>-2046017</v>
      </c>
      <c r="F75" s="264">
        <f t="shared" si="9"/>
        <v>-0.39362740609005414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1699058</v>
      </c>
      <c r="D76" s="263">
        <f>+D67+D69</f>
        <v>1131702</v>
      </c>
      <c r="E76" s="263">
        <f t="shared" si="8"/>
        <v>-567356</v>
      </c>
      <c r="F76" s="264">
        <f t="shared" si="9"/>
        <v>-0.33392385663114504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1821</v>
      </c>
      <c r="D81" s="258">
        <v>1641</v>
      </c>
      <c r="E81" s="258">
        <f t="shared" si="10"/>
        <v>-180</v>
      </c>
      <c r="F81" s="259">
        <f t="shared" si="11"/>
        <v>-9.8846787479406922E-2</v>
      </c>
    </row>
    <row r="82" spans="1:6" ht="20.25" customHeight="1" x14ac:dyDescent="0.3">
      <c r="A82" s="256">
        <v>4</v>
      </c>
      <c r="B82" s="257" t="s">
        <v>444</v>
      </c>
      <c r="C82" s="258">
        <v>601</v>
      </c>
      <c r="D82" s="258">
        <v>249</v>
      </c>
      <c r="E82" s="258">
        <f t="shared" si="10"/>
        <v>-352</v>
      </c>
      <c r="F82" s="259">
        <f t="shared" si="11"/>
        <v>-0.58569051580698839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2</v>
      </c>
      <c r="D85" s="260">
        <v>3</v>
      </c>
      <c r="E85" s="260">
        <f t="shared" si="10"/>
        <v>1</v>
      </c>
      <c r="F85" s="259">
        <f t="shared" si="11"/>
        <v>0.5</v>
      </c>
    </row>
    <row r="86" spans="1:6" ht="20.25" customHeight="1" x14ac:dyDescent="0.3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1821</v>
      </c>
      <c r="D88" s="263">
        <f>+D79+D81</f>
        <v>1641</v>
      </c>
      <c r="E88" s="263">
        <f t="shared" si="10"/>
        <v>-180</v>
      </c>
      <c r="F88" s="264">
        <f t="shared" si="11"/>
        <v>-9.8846787479406922E-2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601</v>
      </c>
      <c r="D89" s="263">
        <f>+D80+D82</f>
        <v>249</v>
      </c>
      <c r="E89" s="263">
        <f t="shared" si="10"/>
        <v>-352</v>
      </c>
      <c r="F89" s="264">
        <f t="shared" si="11"/>
        <v>-0.58569051580698839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30686625</v>
      </c>
      <c r="D92" s="258">
        <v>30928616</v>
      </c>
      <c r="E92" s="258">
        <f t="shared" ref="E92:E102" si="12">D92-C92</f>
        <v>241991</v>
      </c>
      <c r="F92" s="259">
        <f t="shared" ref="F92:F102" si="13">IF(C92=0,0,E92/C92)</f>
        <v>7.8858786197569791E-3</v>
      </c>
    </row>
    <row r="93" spans="1:6" ht="20.25" customHeight="1" x14ac:dyDescent="0.3">
      <c r="A93" s="256">
        <v>2</v>
      </c>
      <c r="B93" s="257" t="s">
        <v>442</v>
      </c>
      <c r="C93" s="258">
        <v>6330065</v>
      </c>
      <c r="D93" s="258">
        <v>7180015</v>
      </c>
      <c r="E93" s="258">
        <f t="shared" si="12"/>
        <v>849950</v>
      </c>
      <c r="F93" s="259">
        <f t="shared" si="13"/>
        <v>0.13427192295813709</v>
      </c>
    </row>
    <row r="94" spans="1:6" ht="20.25" customHeight="1" x14ac:dyDescent="0.3">
      <c r="A94" s="256">
        <v>3</v>
      </c>
      <c r="B94" s="257" t="s">
        <v>443</v>
      </c>
      <c r="C94" s="258">
        <v>35062760</v>
      </c>
      <c r="D94" s="258">
        <v>39063988</v>
      </c>
      <c r="E94" s="258">
        <f t="shared" si="12"/>
        <v>4001228</v>
      </c>
      <c r="F94" s="259">
        <f t="shared" si="13"/>
        <v>0.11411617339878549</v>
      </c>
    </row>
    <row r="95" spans="1:6" ht="20.25" customHeight="1" x14ac:dyDescent="0.3">
      <c r="A95" s="256">
        <v>4</v>
      </c>
      <c r="B95" s="257" t="s">
        <v>444</v>
      </c>
      <c r="C95" s="258">
        <v>4007133</v>
      </c>
      <c r="D95" s="258">
        <v>4371187</v>
      </c>
      <c r="E95" s="258">
        <f t="shared" si="12"/>
        <v>364054</v>
      </c>
      <c r="F95" s="259">
        <f t="shared" si="13"/>
        <v>9.0851489082094353E-2</v>
      </c>
    </row>
    <row r="96" spans="1:6" ht="20.25" customHeight="1" x14ac:dyDescent="0.3">
      <c r="A96" s="256">
        <v>5</v>
      </c>
      <c r="B96" s="257" t="s">
        <v>381</v>
      </c>
      <c r="C96" s="260">
        <v>455</v>
      </c>
      <c r="D96" s="260">
        <v>482</v>
      </c>
      <c r="E96" s="260">
        <f t="shared" si="12"/>
        <v>27</v>
      </c>
      <c r="F96" s="259">
        <f t="shared" si="13"/>
        <v>5.9340659340659338E-2</v>
      </c>
    </row>
    <row r="97" spans="1:6" ht="20.25" customHeight="1" x14ac:dyDescent="0.3">
      <c r="A97" s="256">
        <v>6</v>
      </c>
      <c r="B97" s="257" t="s">
        <v>380</v>
      </c>
      <c r="C97" s="260">
        <v>3050</v>
      </c>
      <c r="D97" s="260">
        <v>3063</v>
      </c>
      <c r="E97" s="260">
        <f t="shared" si="12"/>
        <v>13</v>
      </c>
      <c r="F97" s="259">
        <f t="shared" si="13"/>
        <v>4.2622950819672135E-3</v>
      </c>
    </row>
    <row r="98" spans="1:6" ht="20.25" customHeight="1" x14ac:dyDescent="0.3">
      <c r="A98" s="256">
        <v>7</v>
      </c>
      <c r="B98" s="257" t="s">
        <v>445</v>
      </c>
      <c r="C98" s="260">
        <v>9845</v>
      </c>
      <c r="D98" s="260">
        <v>11175</v>
      </c>
      <c r="E98" s="260">
        <f t="shared" si="12"/>
        <v>1330</v>
      </c>
      <c r="F98" s="259">
        <f t="shared" si="13"/>
        <v>0.13509395632300661</v>
      </c>
    </row>
    <row r="99" spans="1:6" ht="20.25" customHeight="1" x14ac:dyDescent="0.3">
      <c r="A99" s="256">
        <v>8</v>
      </c>
      <c r="B99" s="257" t="s">
        <v>446</v>
      </c>
      <c r="C99" s="260">
        <v>626</v>
      </c>
      <c r="D99" s="260">
        <v>659</v>
      </c>
      <c r="E99" s="260">
        <f t="shared" si="12"/>
        <v>33</v>
      </c>
      <c r="F99" s="259">
        <f t="shared" si="13"/>
        <v>5.2715654952076675E-2</v>
      </c>
    </row>
    <row r="100" spans="1:6" ht="20.25" customHeight="1" x14ac:dyDescent="0.3">
      <c r="A100" s="256">
        <v>9</v>
      </c>
      <c r="B100" s="257" t="s">
        <v>447</v>
      </c>
      <c r="C100" s="260">
        <v>378</v>
      </c>
      <c r="D100" s="260">
        <v>399</v>
      </c>
      <c r="E100" s="260">
        <f t="shared" si="12"/>
        <v>21</v>
      </c>
      <c r="F100" s="259">
        <f t="shared" si="13"/>
        <v>5.5555555555555552E-2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65749385</v>
      </c>
      <c r="D101" s="263">
        <f>+D92+D94</f>
        <v>69992604</v>
      </c>
      <c r="E101" s="263">
        <f t="shared" si="12"/>
        <v>4243219</v>
      </c>
      <c r="F101" s="264">
        <f t="shared" si="13"/>
        <v>6.4536253837203197E-2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10337198</v>
      </c>
      <c r="D102" s="263">
        <f>+D93+D95</f>
        <v>11551202</v>
      </c>
      <c r="E102" s="263">
        <f t="shared" si="12"/>
        <v>1214004</v>
      </c>
      <c r="F102" s="264">
        <f t="shared" si="13"/>
        <v>0.11744033537908435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4666163</v>
      </c>
      <c r="D105" s="258">
        <v>5159706</v>
      </c>
      <c r="E105" s="258">
        <f t="shared" ref="E105:E115" si="14">D105-C105</f>
        <v>493543</v>
      </c>
      <c r="F105" s="259">
        <f t="shared" ref="F105:F115" si="15">IF(C105=0,0,E105/C105)</f>
        <v>0.10577062995870483</v>
      </c>
    </row>
    <row r="106" spans="1:6" ht="20.25" customHeight="1" x14ac:dyDescent="0.3">
      <c r="A106" s="256">
        <v>2</v>
      </c>
      <c r="B106" s="257" t="s">
        <v>442</v>
      </c>
      <c r="C106" s="258">
        <v>1033791</v>
      </c>
      <c r="D106" s="258">
        <v>1183770</v>
      </c>
      <c r="E106" s="258">
        <f t="shared" si="14"/>
        <v>149979</v>
      </c>
      <c r="F106" s="259">
        <f t="shared" si="15"/>
        <v>0.14507671279784792</v>
      </c>
    </row>
    <row r="107" spans="1:6" ht="20.25" customHeight="1" x14ac:dyDescent="0.3">
      <c r="A107" s="256">
        <v>3</v>
      </c>
      <c r="B107" s="257" t="s">
        <v>443</v>
      </c>
      <c r="C107" s="258">
        <v>5258462</v>
      </c>
      <c r="D107" s="258">
        <v>4919101</v>
      </c>
      <c r="E107" s="258">
        <f t="shared" si="14"/>
        <v>-339361</v>
      </c>
      <c r="F107" s="259">
        <f t="shared" si="15"/>
        <v>-6.4536170462009615E-2</v>
      </c>
    </row>
    <row r="108" spans="1:6" ht="20.25" customHeight="1" x14ac:dyDescent="0.3">
      <c r="A108" s="256">
        <v>4</v>
      </c>
      <c r="B108" s="257" t="s">
        <v>444</v>
      </c>
      <c r="C108" s="258">
        <v>519398</v>
      </c>
      <c r="D108" s="258">
        <v>506197</v>
      </c>
      <c r="E108" s="258">
        <f t="shared" si="14"/>
        <v>-13201</v>
      </c>
      <c r="F108" s="259">
        <f t="shared" si="15"/>
        <v>-2.5415962325615424E-2</v>
      </c>
    </row>
    <row r="109" spans="1:6" ht="20.25" customHeight="1" x14ac:dyDescent="0.3">
      <c r="A109" s="256">
        <v>5</v>
      </c>
      <c r="B109" s="257" t="s">
        <v>381</v>
      </c>
      <c r="C109" s="260">
        <v>73</v>
      </c>
      <c r="D109" s="260">
        <v>65</v>
      </c>
      <c r="E109" s="260">
        <f t="shared" si="14"/>
        <v>-8</v>
      </c>
      <c r="F109" s="259">
        <f t="shared" si="15"/>
        <v>-0.1095890410958904</v>
      </c>
    </row>
    <row r="110" spans="1:6" ht="20.25" customHeight="1" x14ac:dyDescent="0.3">
      <c r="A110" s="256">
        <v>6</v>
      </c>
      <c r="B110" s="257" t="s">
        <v>380</v>
      </c>
      <c r="C110" s="260">
        <v>408</v>
      </c>
      <c r="D110" s="260">
        <v>469</v>
      </c>
      <c r="E110" s="260">
        <f t="shared" si="14"/>
        <v>61</v>
      </c>
      <c r="F110" s="259">
        <f t="shared" si="15"/>
        <v>0.14950980392156862</v>
      </c>
    </row>
    <row r="111" spans="1:6" ht="20.25" customHeight="1" x14ac:dyDescent="0.3">
      <c r="A111" s="256">
        <v>7</v>
      </c>
      <c r="B111" s="257" t="s">
        <v>445</v>
      </c>
      <c r="C111" s="260">
        <v>1359</v>
      </c>
      <c r="D111" s="260">
        <v>1275</v>
      </c>
      <c r="E111" s="260">
        <f t="shared" si="14"/>
        <v>-84</v>
      </c>
      <c r="F111" s="259">
        <f t="shared" si="15"/>
        <v>-6.1810154525386317E-2</v>
      </c>
    </row>
    <row r="112" spans="1:6" ht="20.25" customHeight="1" x14ac:dyDescent="0.3">
      <c r="A112" s="256">
        <v>8</v>
      </c>
      <c r="B112" s="257" t="s">
        <v>446</v>
      </c>
      <c r="C112" s="260">
        <v>184</v>
      </c>
      <c r="D112" s="260">
        <v>175</v>
      </c>
      <c r="E112" s="260">
        <f t="shared" si="14"/>
        <v>-9</v>
      </c>
      <c r="F112" s="259">
        <f t="shared" si="15"/>
        <v>-4.8913043478260872E-2</v>
      </c>
    </row>
    <row r="113" spans="1:6" ht="20.25" customHeight="1" x14ac:dyDescent="0.3">
      <c r="A113" s="256">
        <v>9</v>
      </c>
      <c r="B113" s="257" t="s">
        <v>447</v>
      </c>
      <c r="C113" s="260">
        <v>64</v>
      </c>
      <c r="D113" s="260">
        <v>50</v>
      </c>
      <c r="E113" s="260">
        <f t="shared" si="14"/>
        <v>-14</v>
      </c>
      <c r="F113" s="259">
        <f t="shared" si="15"/>
        <v>-0.21875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9924625</v>
      </c>
      <c r="D114" s="263">
        <f>+D105+D107</f>
        <v>10078807</v>
      </c>
      <c r="E114" s="263">
        <f t="shared" si="14"/>
        <v>154182</v>
      </c>
      <c r="F114" s="264">
        <f t="shared" si="15"/>
        <v>1.5535297303424563E-2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1553189</v>
      </c>
      <c r="D115" s="263">
        <f>+D106+D108</f>
        <v>1689967</v>
      </c>
      <c r="E115" s="263">
        <f t="shared" si="14"/>
        <v>136778</v>
      </c>
      <c r="F115" s="264">
        <f t="shared" si="15"/>
        <v>8.8062689086775656E-2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12151436</v>
      </c>
      <c r="D118" s="258">
        <v>13454130</v>
      </c>
      <c r="E118" s="258">
        <f t="shared" ref="E118:E128" si="16">D118-C118</f>
        <v>1302694</v>
      </c>
      <c r="F118" s="259">
        <f t="shared" ref="F118:F128" si="17">IF(C118=0,0,E118/C118)</f>
        <v>0.10720494269154691</v>
      </c>
    </row>
    <row r="119" spans="1:6" ht="20.25" customHeight="1" x14ac:dyDescent="0.3">
      <c r="A119" s="256">
        <v>2</v>
      </c>
      <c r="B119" s="257" t="s">
        <v>442</v>
      </c>
      <c r="C119" s="258">
        <v>2680312</v>
      </c>
      <c r="D119" s="258">
        <v>3013524</v>
      </c>
      <c r="E119" s="258">
        <f t="shared" si="16"/>
        <v>333212</v>
      </c>
      <c r="F119" s="259">
        <f t="shared" si="17"/>
        <v>0.12431836293685213</v>
      </c>
    </row>
    <row r="120" spans="1:6" ht="20.25" customHeight="1" x14ac:dyDescent="0.3">
      <c r="A120" s="256">
        <v>3</v>
      </c>
      <c r="B120" s="257" t="s">
        <v>443</v>
      </c>
      <c r="C120" s="258">
        <v>15867447</v>
      </c>
      <c r="D120" s="258">
        <v>21565828</v>
      </c>
      <c r="E120" s="258">
        <f t="shared" si="16"/>
        <v>5698381</v>
      </c>
      <c r="F120" s="259">
        <f t="shared" si="17"/>
        <v>0.35912399770423054</v>
      </c>
    </row>
    <row r="121" spans="1:6" ht="20.25" customHeight="1" x14ac:dyDescent="0.3">
      <c r="A121" s="256">
        <v>4</v>
      </c>
      <c r="B121" s="257" t="s">
        <v>444</v>
      </c>
      <c r="C121" s="258">
        <v>1937371</v>
      </c>
      <c r="D121" s="258">
        <v>2600593</v>
      </c>
      <c r="E121" s="258">
        <f t="shared" si="16"/>
        <v>663222</v>
      </c>
      <c r="F121" s="259">
        <f t="shared" si="17"/>
        <v>0.34233092164587992</v>
      </c>
    </row>
    <row r="122" spans="1:6" ht="20.25" customHeight="1" x14ac:dyDescent="0.3">
      <c r="A122" s="256">
        <v>5</v>
      </c>
      <c r="B122" s="257" t="s">
        <v>381</v>
      </c>
      <c r="C122" s="260">
        <v>196</v>
      </c>
      <c r="D122" s="260">
        <v>207</v>
      </c>
      <c r="E122" s="260">
        <f t="shared" si="16"/>
        <v>11</v>
      </c>
      <c r="F122" s="259">
        <f t="shared" si="17"/>
        <v>5.6122448979591837E-2</v>
      </c>
    </row>
    <row r="123" spans="1:6" ht="20.25" customHeight="1" x14ac:dyDescent="0.3">
      <c r="A123" s="256">
        <v>6</v>
      </c>
      <c r="B123" s="257" t="s">
        <v>380</v>
      </c>
      <c r="C123" s="260">
        <v>1047</v>
      </c>
      <c r="D123" s="260">
        <v>1072</v>
      </c>
      <c r="E123" s="260">
        <f t="shared" si="16"/>
        <v>25</v>
      </c>
      <c r="F123" s="259">
        <f t="shared" si="17"/>
        <v>2.387774594078319E-2</v>
      </c>
    </row>
    <row r="124" spans="1:6" ht="20.25" customHeight="1" x14ac:dyDescent="0.3">
      <c r="A124" s="256">
        <v>7</v>
      </c>
      <c r="B124" s="257" t="s">
        <v>445</v>
      </c>
      <c r="C124" s="260">
        <v>4321</v>
      </c>
      <c r="D124" s="260">
        <v>5344</v>
      </c>
      <c r="E124" s="260">
        <f t="shared" si="16"/>
        <v>1023</v>
      </c>
      <c r="F124" s="259">
        <f t="shared" si="17"/>
        <v>0.23675075214070818</v>
      </c>
    </row>
    <row r="125" spans="1:6" ht="20.25" customHeight="1" x14ac:dyDescent="0.3">
      <c r="A125" s="256">
        <v>8</v>
      </c>
      <c r="B125" s="257" t="s">
        <v>446</v>
      </c>
      <c r="C125" s="260">
        <v>276</v>
      </c>
      <c r="D125" s="260">
        <v>296</v>
      </c>
      <c r="E125" s="260">
        <f t="shared" si="16"/>
        <v>20</v>
      </c>
      <c r="F125" s="259">
        <f t="shared" si="17"/>
        <v>7.2463768115942032E-2</v>
      </c>
    </row>
    <row r="126" spans="1:6" ht="20.25" customHeight="1" x14ac:dyDescent="0.3">
      <c r="A126" s="256">
        <v>9</v>
      </c>
      <c r="B126" s="257" t="s">
        <v>447</v>
      </c>
      <c r="C126" s="260">
        <v>162</v>
      </c>
      <c r="D126" s="260">
        <v>159</v>
      </c>
      <c r="E126" s="260">
        <f t="shared" si="16"/>
        <v>-3</v>
      </c>
      <c r="F126" s="259">
        <f t="shared" si="17"/>
        <v>-1.8518518518518517E-2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28018883</v>
      </c>
      <c r="D127" s="263">
        <f>+D118+D120</f>
        <v>35019958</v>
      </c>
      <c r="E127" s="263">
        <f t="shared" si="16"/>
        <v>7001075</v>
      </c>
      <c r="F127" s="264">
        <f t="shared" si="17"/>
        <v>0.24986988239324173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4617683</v>
      </c>
      <c r="D128" s="263">
        <f>+D119+D121</f>
        <v>5614117</v>
      </c>
      <c r="E128" s="263">
        <f t="shared" si="16"/>
        <v>996434</v>
      </c>
      <c r="F128" s="264">
        <f t="shared" si="17"/>
        <v>0.21578657521531902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778179</v>
      </c>
      <c r="D131" s="258">
        <v>127152</v>
      </c>
      <c r="E131" s="258">
        <f t="shared" ref="E131:E141" si="18">D131-C131</f>
        <v>-651027</v>
      </c>
      <c r="F131" s="259">
        <f t="shared" ref="F131:F141" si="19">IF(C131=0,0,E131/C131)</f>
        <v>-0.83660314657681589</v>
      </c>
    </row>
    <row r="132" spans="1:6" ht="20.25" customHeight="1" x14ac:dyDescent="0.3">
      <c r="A132" s="256">
        <v>2</v>
      </c>
      <c r="B132" s="257" t="s">
        <v>442</v>
      </c>
      <c r="C132" s="258">
        <v>176172</v>
      </c>
      <c r="D132" s="258">
        <v>57567</v>
      </c>
      <c r="E132" s="258">
        <f t="shared" si="18"/>
        <v>-118605</v>
      </c>
      <c r="F132" s="259">
        <f t="shared" si="19"/>
        <v>-0.67323411211770312</v>
      </c>
    </row>
    <row r="133" spans="1:6" ht="20.25" customHeight="1" x14ac:dyDescent="0.3">
      <c r="A133" s="256">
        <v>3</v>
      </c>
      <c r="B133" s="257" t="s">
        <v>443</v>
      </c>
      <c r="C133" s="258">
        <v>227211</v>
      </c>
      <c r="D133" s="258">
        <v>244994</v>
      </c>
      <c r="E133" s="258">
        <f t="shared" si="18"/>
        <v>17783</v>
      </c>
      <c r="F133" s="259">
        <f t="shared" si="19"/>
        <v>7.8266457169767309E-2</v>
      </c>
    </row>
    <row r="134" spans="1:6" ht="20.25" customHeight="1" x14ac:dyDescent="0.3">
      <c r="A134" s="256">
        <v>4</v>
      </c>
      <c r="B134" s="257" t="s">
        <v>444</v>
      </c>
      <c r="C134" s="258">
        <v>33193</v>
      </c>
      <c r="D134" s="258">
        <v>45580</v>
      </c>
      <c r="E134" s="258">
        <f t="shared" si="18"/>
        <v>12387</v>
      </c>
      <c r="F134" s="259">
        <f t="shared" si="19"/>
        <v>0.37318109239899977</v>
      </c>
    </row>
    <row r="135" spans="1:6" ht="20.25" customHeight="1" x14ac:dyDescent="0.3">
      <c r="A135" s="256">
        <v>5</v>
      </c>
      <c r="B135" s="257" t="s">
        <v>381</v>
      </c>
      <c r="C135" s="260">
        <v>9</v>
      </c>
      <c r="D135" s="260">
        <v>4</v>
      </c>
      <c r="E135" s="260">
        <f t="shared" si="18"/>
        <v>-5</v>
      </c>
      <c r="F135" s="259">
        <f t="shared" si="19"/>
        <v>-0.55555555555555558</v>
      </c>
    </row>
    <row r="136" spans="1:6" ht="20.25" customHeight="1" x14ac:dyDescent="0.3">
      <c r="A136" s="256">
        <v>6</v>
      </c>
      <c r="B136" s="257" t="s">
        <v>380</v>
      </c>
      <c r="C136" s="260">
        <v>66</v>
      </c>
      <c r="D136" s="260">
        <v>11</v>
      </c>
      <c r="E136" s="260">
        <f t="shared" si="18"/>
        <v>-55</v>
      </c>
      <c r="F136" s="259">
        <f t="shared" si="19"/>
        <v>-0.83333333333333337</v>
      </c>
    </row>
    <row r="137" spans="1:6" ht="20.25" customHeight="1" x14ac:dyDescent="0.3">
      <c r="A137" s="256">
        <v>7</v>
      </c>
      <c r="B137" s="257" t="s">
        <v>445</v>
      </c>
      <c r="C137" s="260">
        <v>76</v>
      </c>
      <c r="D137" s="260">
        <v>72</v>
      </c>
      <c r="E137" s="260">
        <f t="shared" si="18"/>
        <v>-4</v>
      </c>
      <c r="F137" s="259">
        <f t="shared" si="19"/>
        <v>-5.2631578947368418E-2</v>
      </c>
    </row>
    <row r="138" spans="1:6" ht="20.25" customHeight="1" x14ac:dyDescent="0.3">
      <c r="A138" s="256">
        <v>8</v>
      </c>
      <c r="B138" s="257" t="s">
        <v>446</v>
      </c>
      <c r="C138" s="260">
        <v>15</v>
      </c>
      <c r="D138" s="260">
        <v>11</v>
      </c>
      <c r="E138" s="260">
        <f t="shared" si="18"/>
        <v>-4</v>
      </c>
      <c r="F138" s="259">
        <f t="shared" si="19"/>
        <v>-0.26666666666666666</v>
      </c>
    </row>
    <row r="139" spans="1:6" ht="20.25" customHeight="1" x14ac:dyDescent="0.3">
      <c r="A139" s="256">
        <v>9</v>
      </c>
      <c r="B139" s="257" t="s">
        <v>447</v>
      </c>
      <c r="C139" s="260">
        <v>8</v>
      </c>
      <c r="D139" s="260">
        <v>4</v>
      </c>
      <c r="E139" s="260">
        <f t="shared" si="18"/>
        <v>-4</v>
      </c>
      <c r="F139" s="259">
        <f t="shared" si="19"/>
        <v>-0.5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1005390</v>
      </c>
      <c r="D140" s="263">
        <f>+D131+D133</f>
        <v>372146</v>
      </c>
      <c r="E140" s="263">
        <f t="shared" si="18"/>
        <v>-633244</v>
      </c>
      <c r="F140" s="264">
        <f t="shared" si="19"/>
        <v>-0.62984911327942394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209365</v>
      </c>
      <c r="D141" s="263">
        <f>+D132+D134</f>
        <v>103147</v>
      </c>
      <c r="E141" s="263">
        <f t="shared" si="18"/>
        <v>-106218</v>
      </c>
      <c r="F141" s="264">
        <f t="shared" si="19"/>
        <v>-0.50733408162777927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0</v>
      </c>
      <c r="D183" s="258">
        <v>0</v>
      </c>
      <c r="E183" s="258">
        <f t="shared" ref="E183:E193" si="26">D183-C183</f>
        <v>0</v>
      </c>
      <c r="F183" s="259">
        <f t="shared" ref="F183:F193" si="27">IF(C183=0,0,E183/C183)</f>
        <v>0</v>
      </c>
    </row>
    <row r="184" spans="1:6" ht="20.25" customHeight="1" x14ac:dyDescent="0.3">
      <c r="A184" s="256">
        <v>2</v>
      </c>
      <c r="B184" s="257" t="s">
        <v>442</v>
      </c>
      <c r="C184" s="258">
        <v>0</v>
      </c>
      <c r="D184" s="258">
        <v>0</v>
      </c>
      <c r="E184" s="258">
        <f t="shared" si="26"/>
        <v>0</v>
      </c>
      <c r="F184" s="259">
        <f t="shared" si="27"/>
        <v>0</v>
      </c>
    </row>
    <row r="185" spans="1:6" ht="20.25" customHeight="1" x14ac:dyDescent="0.3">
      <c r="A185" s="256">
        <v>3</v>
      </c>
      <c r="B185" s="257" t="s">
        <v>443</v>
      </c>
      <c r="C185" s="258">
        <v>381</v>
      </c>
      <c r="D185" s="258">
        <v>584</v>
      </c>
      <c r="E185" s="258">
        <f t="shared" si="26"/>
        <v>203</v>
      </c>
      <c r="F185" s="259">
        <f t="shared" si="27"/>
        <v>0.53280839895013121</v>
      </c>
    </row>
    <row r="186" spans="1:6" ht="20.25" customHeight="1" x14ac:dyDescent="0.3">
      <c r="A186" s="256">
        <v>4</v>
      </c>
      <c r="B186" s="257" t="s">
        <v>444</v>
      </c>
      <c r="C186" s="258">
        <v>111</v>
      </c>
      <c r="D186" s="258">
        <v>72</v>
      </c>
      <c r="E186" s="258">
        <f t="shared" si="26"/>
        <v>-39</v>
      </c>
      <c r="F186" s="259">
        <f t="shared" si="27"/>
        <v>-0.35135135135135137</v>
      </c>
    </row>
    <row r="187" spans="1:6" ht="20.25" customHeight="1" x14ac:dyDescent="0.3">
      <c r="A187" s="256">
        <v>5</v>
      </c>
      <c r="B187" s="257" t="s">
        <v>381</v>
      </c>
      <c r="C187" s="260">
        <v>0</v>
      </c>
      <c r="D187" s="260">
        <v>0</v>
      </c>
      <c r="E187" s="260">
        <f t="shared" si="26"/>
        <v>0</v>
      </c>
      <c r="F187" s="259">
        <f t="shared" si="27"/>
        <v>0</v>
      </c>
    </row>
    <row r="188" spans="1:6" ht="20.25" customHeight="1" x14ac:dyDescent="0.3">
      <c r="A188" s="256">
        <v>6</v>
      </c>
      <c r="B188" s="257" t="s">
        <v>380</v>
      </c>
      <c r="C188" s="260">
        <v>0</v>
      </c>
      <c r="D188" s="260">
        <v>0</v>
      </c>
      <c r="E188" s="260">
        <f t="shared" si="26"/>
        <v>0</v>
      </c>
      <c r="F188" s="259">
        <f t="shared" si="27"/>
        <v>0</v>
      </c>
    </row>
    <row r="189" spans="1:6" ht="20.25" customHeight="1" x14ac:dyDescent="0.3">
      <c r="A189" s="256">
        <v>7</v>
      </c>
      <c r="B189" s="257" t="s">
        <v>445</v>
      </c>
      <c r="C189" s="260">
        <v>1</v>
      </c>
      <c r="D189" s="260">
        <v>1</v>
      </c>
      <c r="E189" s="260">
        <f t="shared" si="26"/>
        <v>0</v>
      </c>
      <c r="F189" s="259">
        <f t="shared" si="27"/>
        <v>0</v>
      </c>
    </row>
    <row r="190" spans="1:6" ht="20.25" customHeight="1" x14ac:dyDescent="0.3">
      <c r="A190" s="256">
        <v>8</v>
      </c>
      <c r="B190" s="257" t="s">
        <v>446</v>
      </c>
      <c r="C190" s="260">
        <v>0</v>
      </c>
      <c r="D190" s="260">
        <v>0</v>
      </c>
      <c r="E190" s="260">
        <f t="shared" si="26"/>
        <v>0</v>
      </c>
      <c r="F190" s="259">
        <f t="shared" si="27"/>
        <v>0</v>
      </c>
    </row>
    <row r="191" spans="1:6" ht="20.25" customHeight="1" x14ac:dyDescent="0.3">
      <c r="A191" s="256">
        <v>9</v>
      </c>
      <c r="B191" s="257" t="s">
        <v>447</v>
      </c>
      <c r="C191" s="260">
        <v>0</v>
      </c>
      <c r="D191" s="260">
        <v>0</v>
      </c>
      <c r="E191" s="260">
        <f t="shared" si="26"/>
        <v>0</v>
      </c>
      <c r="F191" s="259">
        <f t="shared" si="27"/>
        <v>0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381</v>
      </c>
      <c r="D192" s="263">
        <f>+D183+D185</f>
        <v>584</v>
      </c>
      <c r="E192" s="263">
        <f t="shared" si="26"/>
        <v>203</v>
      </c>
      <c r="F192" s="264">
        <f t="shared" si="27"/>
        <v>0.53280839895013121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111</v>
      </c>
      <c r="D193" s="263">
        <f>+D184+D186</f>
        <v>72</v>
      </c>
      <c r="E193" s="263">
        <f t="shared" si="26"/>
        <v>-39</v>
      </c>
      <c r="F193" s="264">
        <f t="shared" si="27"/>
        <v>-0.35135135135135137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801" t="s">
        <v>44</v>
      </c>
      <c r="B195" s="802" t="s">
        <v>464</v>
      </c>
      <c r="C195" s="804"/>
      <c r="D195" s="805"/>
      <c r="E195" s="805"/>
      <c r="F195" s="806"/>
      <c r="G195" s="786"/>
      <c r="H195" s="786"/>
      <c r="I195" s="786"/>
    </row>
    <row r="196" spans="1:9" ht="20.25" customHeight="1" x14ac:dyDescent="0.3">
      <c r="A196" s="792"/>
      <c r="B196" s="803"/>
      <c r="C196" s="798"/>
      <c r="D196" s="799"/>
      <c r="E196" s="799"/>
      <c r="F196" s="800"/>
      <c r="G196" s="786"/>
      <c r="H196" s="786"/>
      <c r="I196" s="786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56895898</v>
      </c>
      <c r="D198" s="263">
        <f t="shared" si="28"/>
        <v>60278562</v>
      </c>
      <c r="E198" s="263">
        <f t="shared" ref="E198:E208" si="29">D198-C198</f>
        <v>3382664</v>
      </c>
      <c r="F198" s="273">
        <f t="shared" ref="F198:F208" si="30">IF(C198=0,0,E198/C198)</f>
        <v>5.9453565527694104E-2</v>
      </c>
    </row>
    <row r="199" spans="1:9" ht="20.25" customHeight="1" x14ac:dyDescent="0.3">
      <c r="A199" s="271"/>
      <c r="B199" s="272" t="s">
        <v>466</v>
      </c>
      <c r="C199" s="263">
        <f t="shared" si="28"/>
        <v>12113174</v>
      </c>
      <c r="D199" s="263">
        <f t="shared" si="28"/>
        <v>13890239</v>
      </c>
      <c r="E199" s="263">
        <f t="shared" si="29"/>
        <v>1777065</v>
      </c>
      <c r="F199" s="273">
        <f t="shared" si="30"/>
        <v>0.14670514928622341</v>
      </c>
    </row>
    <row r="200" spans="1:9" ht="20.25" customHeight="1" x14ac:dyDescent="0.3">
      <c r="A200" s="271"/>
      <c r="B200" s="272" t="s">
        <v>467</v>
      </c>
      <c r="C200" s="263">
        <f t="shared" si="28"/>
        <v>68508982</v>
      </c>
      <c r="D200" s="263">
        <f t="shared" si="28"/>
        <v>82228471</v>
      </c>
      <c r="E200" s="263">
        <f t="shared" si="29"/>
        <v>13719489</v>
      </c>
      <c r="F200" s="273">
        <f t="shared" si="30"/>
        <v>0.2002582522682938</v>
      </c>
    </row>
    <row r="201" spans="1:9" ht="20.25" customHeight="1" x14ac:dyDescent="0.3">
      <c r="A201" s="271"/>
      <c r="B201" s="272" t="s">
        <v>468</v>
      </c>
      <c r="C201" s="263">
        <f t="shared" si="28"/>
        <v>8872104</v>
      </c>
      <c r="D201" s="263">
        <f t="shared" si="28"/>
        <v>9964745</v>
      </c>
      <c r="E201" s="263">
        <f t="shared" si="29"/>
        <v>1092641</v>
      </c>
      <c r="F201" s="273">
        <f t="shared" si="30"/>
        <v>0.12315466545477825</v>
      </c>
    </row>
    <row r="202" spans="1:9" ht="20.25" customHeight="1" x14ac:dyDescent="0.3">
      <c r="A202" s="271"/>
      <c r="B202" s="272" t="s">
        <v>138</v>
      </c>
      <c r="C202" s="274">
        <f t="shared" si="28"/>
        <v>873</v>
      </c>
      <c r="D202" s="274">
        <f t="shared" si="28"/>
        <v>925</v>
      </c>
      <c r="E202" s="274">
        <f t="shared" si="29"/>
        <v>52</v>
      </c>
      <c r="F202" s="273">
        <f t="shared" si="30"/>
        <v>5.9564719358533788E-2</v>
      </c>
    </row>
    <row r="203" spans="1:9" ht="20.25" customHeight="1" x14ac:dyDescent="0.3">
      <c r="A203" s="271"/>
      <c r="B203" s="272" t="s">
        <v>140</v>
      </c>
      <c r="C203" s="274">
        <f t="shared" si="28"/>
        <v>5374</v>
      </c>
      <c r="D203" s="274">
        <f t="shared" si="28"/>
        <v>5548</v>
      </c>
      <c r="E203" s="274">
        <f t="shared" si="29"/>
        <v>174</v>
      </c>
      <c r="F203" s="273">
        <f t="shared" si="30"/>
        <v>3.2378116858950499E-2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18272</v>
      </c>
      <c r="D204" s="274">
        <f t="shared" si="28"/>
        <v>21525</v>
      </c>
      <c r="E204" s="274">
        <f t="shared" si="29"/>
        <v>3253</v>
      </c>
      <c r="F204" s="273">
        <f t="shared" si="30"/>
        <v>0.17803196147110334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1342</v>
      </c>
      <c r="D205" s="274">
        <f t="shared" si="28"/>
        <v>1474</v>
      </c>
      <c r="E205" s="274">
        <f t="shared" si="29"/>
        <v>132</v>
      </c>
      <c r="F205" s="273">
        <f t="shared" si="30"/>
        <v>9.8360655737704916E-2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719</v>
      </c>
      <c r="D206" s="274">
        <f t="shared" si="28"/>
        <v>751</v>
      </c>
      <c r="E206" s="274">
        <f t="shared" si="29"/>
        <v>32</v>
      </c>
      <c r="F206" s="273">
        <f t="shared" si="30"/>
        <v>4.4506258692628649E-2</v>
      </c>
    </row>
    <row r="207" spans="1:9" ht="20.25" customHeight="1" x14ac:dyDescent="0.3">
      <c r="A207" s="271"/>
      <c r="B207" s="262" t="s">
        <v>471</v>
      </c>
      <c r="C207" s="263">
        <f>+C198+C200</f>
        <v>125404880</v>
      </c>
      <c r="D207" s="263">
        <f>+D198+D200</f>
        <v>142507033</v>
      </c>
      <c r="E207" s="263">
        <f t="shared" si="29"/>
        <v>17102153</v>
      </c>
      <c r="F207" s="273">
        <f t="shared" si="30"/>
        <v>0.13637549830596704</v>
      </c>
    </row>
    <row r="208" spans="1:9" ht="20.25" customHeight="1" x14ac:dyDescent="0.3">
      <c r="A208" s="271"/>
      <c r="B208" s="262" t="s">
        <v>472</v>
      </c>
      <c r="C208" s="263">
        <f>+C199+C201</f>
        <v>20985278</v>
      </c>
      <c r="D208" s="263">
        <f>+D199+D201</f>
        <v>23854984</v>
      </c>
      <c r="E208" s="263">
        <f t="shared" si="29"/>
        <v>2869706</v>
      </c>
      <c r="F208" s="273">
        <f t="shared" si="30"/>
        <v>0.13674853390076605</v>
      </c>
    </row>
  </sheetData>
  <mergeCells count="12">
    <mergeCell ref="G195:I196"/>
    <mergeCell ref="A2:F2"/>
    <mergeCell ref="A3:F3"/>
    <mergeCell ref="A4:F4"/>
    <mergeCell ref="A5:F5"/>
    <mergeCell ref="C9:F9"/>
    <mergeCell ref="A10:A11"/>
    <mergeCell ref="B10:B11"/>
    <mergeCell ref="C10:F11"/>
    <mergeCell ref="A195:A196"/>
    <mergeCell ref="B195:B196"/>
    <mergeCell ref="C195:F196"/>
  </mergeCells>
  <pageMargins left="0.25" right="0.25" top="0.5" bottom="0.5" header="0.25" footer="0.25"/>
  <pageSetup paperSize="9" scale="56" fitToHeight="0" orientation="portrait" horizontalDpi="1200" verticalDpi="1200" r:id="rId1"/>
  <headerFooter>
    <oddHeader>&amp;LOFFICE OF HEALTH CARE ACCESS&amp;CTWELVE MONTHS ACTUAL FILING&amp;RSTAMFORD HOSPITAL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zoomScale="70" workbookViewId="0">
      <selection activeCell="B15" sqref="B15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87" t="s">
        <v>0</v>
      </c>
      <c r="B2" s="787"/>
      <c r="C2" s="787"/>
      <c r="D2" s="787"/>
      <c r="E2" s="787"/>
      <c r="F2" s="787"/>
    </row>
    <row r="3" spans="1:7" ht="20.25" customHeight="1" x14ac:dyDescent="0.3">
      <c r="A3" s="787" t="s">
        <v>1</v>
      </c>
      <c r="B3" s="787"/>
      <c r="C3" s="787"/>
      <c r="D3" s="787"/>
      <c r="E3" s="787"/>
      <c r="F3" s="787"/>
    </row>
    <row r="4" spans="1:7" ht="20.25" customHeight="1" x14ac:dyDescent="0.3">
      <c r="A4" s="787" t="s">
        <v>314</v>
      </c>
      <c r="B4" s="787"/>
      <c r="C4" s="787"/>
      <c r="D4" s="787"/>
      <c r="E4" s="787"/>
      <c r="F4" s="787"/>
    </row>
    <row r="5" spans="1:7" ht="20.25" customHeight="1" x14ac:dyDescent="0.3">
      <c r="A5" s="787" t="s">
        <v>473</v>
      </c>
      <c r="B5" s="787"/>
      <c r="C5" s="787"/>
      <c r="D5" s="787"/>
      <c r="E5" s="787"/>
      <c r="F5" s="78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801" t="s">
        <v>12</v>
      </c>
      <c r="B10" s="802" t="s">
        <v>116</v>
      </c>
      <c r="C10" s="804"/>
      <c r="D10" s="805"/>
      <c r="E10" s="805"/>
      <c r="F10" s="806"/>
    </row>
    <row r="11" spans="1:7" ht="20.25" customHeight="1" x14ac:dyDescent="0.3">
      <c r="A11" s="792"/>
      <c r="B11" s="803"/>
      <c r="C11" s="798"/>
      <c r="D11" s="799"/>
      <c r="E11" s="799"/>
      <c r="F11" s="800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801" t="s">
        <v>44</v>
      </c>
      <c r="B109" s="802" t="s">
        <v>490</v>
      </c>
      <c r="C109" s="804"/>
      <c r="D109" s="805"/>
      <c r="E109" s="805"/>
      <c r="F109" s="806"/>
      <c r="G109" s="245"/>
    </row>
    <row r="110" spans="1:7" ht="20.25" customHeight="1" x14ac:dyDescent="0.3">
      <c r="A110" s="792"/>
      <c r="B110" s="803"/>
      <c r="C110" s="798"/>
      <c r="D110" s="799"/>
      <c r="E110" s="799"/>
      <c r="F110" s="800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paperSize="9" scale="56" fitToHeight="0" orientation="portrait" horizontalDpi="1200" verticalDpi="1200" r:id="rId1"/>
  <headerFooter>
    <oddHeader>&amp;LOFFICE OF HEALTH CARE ACCESS&amp;CTWELVE MONTHS ACTUAL FILING&amp;RSTAMFORD HOSPITAL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zoomScale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134849000</v>
      </c>
      <c r="D13" s="22">
        <v>129578000</v>
      </c>
      <c r="E13" s="22">
        <f t="shared" ref="E13:E22" si="0">D13-C13</f>
        <v>-5271000</v>
      </c>
      <c r="F13" s="306">
        <f t="shared" ref="F13:F22" si="1">IF(C13=0,0,E13/C13)</f>
        <v>-3.9088165281166341E-2</v>
      </c>
    </row>
    <row r="14" spans="1:8" ht="24" customHeight="1" x14ac:dyDescent="0.2">
      <c r="A14" s="304">
        <v>2</v>
      </c>
      <c r="B14" s="305" t="s">
        <v>17</v>
      </c>
      <c r="C14" s="22">
        <v>53000</v>
      </c>
      <c r="D14" s="22">
        <v>45000</v>
      </c>
      <c r="E14" s="22">
        <f t="shared" si="0"/>
        <v>-8000</v>
      </c>
      <c r="F14" s="306">
        <f t="shared" si="1"/>
        <v>-0.15094339622641509</v>
      </c>
    </row>
    <row r="15" spans="1:8" ht="35.1" customHeight="1" x14ac:dyDescent="0.2">
      <c r="A15" s="304">
        <v>3</v>
      </c>
      <c r="B15" s="305" t="s">
        <v>18</v>
      </c>
      <c r="C15" s="22">
        <v>77483000</v>
      </c>
      <c r="D15" s="22">
        <v>77844000</v>
      </c>
      <c r="E15" s="22">
        <f t="shared" si="0"/>
        <v>361000</v>
      </c>
      <c r="F15" s="306">
        <f t="shared" si="1"/>
        <v>4.6590865092988138E-3</v>
      </c>
    </row>
    <row r="16" spans="1:8" ht="35.1" customHeight="1" x14ac:dyDescent="0.2">
      <c r="A16" s="304">
        <v>4</v>
      </c>
      <c r="B16" s="305" t="s">
        <v>19</v>
      </c>
      <c r="C16" s="22">
        <v>134000</v>
      </c>
      <c r="D16" s="22">
        <v>129000</v>
      </c>
      <c r="E16" s="22">
        <f t="shared" si="0"/>
        <v>-5000</v>
      </c>
      <c r="F16" s="306">
        <f t="shared" si="1"/>
        <v>-3.7313432835820892E-2</v>
      </c>
    </row>
    <row r="17" spans="1:11" ht="24" customHeight="1" x14ac:dyDescent="0.2">
      <c r="A17" s="304">
        <v>5</v>
      </c>
      <c r="B17" s="305" t="s">
        <v>20</v>
      </c>
      <c r="C17" s="22">
        <v>0</v>
      </c>
      <c r="D17" s="22">
        <v>0</v>
      </c>
      <c r="E17" s="22">
        <f t="shared" si="0"/>
        <v>0</v>
      </c>
      <c r="F17" s="306">
        <f t="shared" si="1"/>
        <v>0</v>
      </c>
    </row>
    <row r="18" spans="1:11" ht="24" customHeight="1" x14ac:dyDescent="0.2">
      <c r="A18" s="304">
        <v>6</v>
      </c>
      <c r="B18" s="305" t="s">
        <v>21</v>
      </c>
      <c r="C18" s="22">
        <v>265000</v>
      </c>
      <c r="D18" s="22">
        <v>46000</v>
      </c>
      <c r="E18" s="22">
        <f t="shared" si="0"/>
        <v>-219000</v>
      </c>
      <c r="F18" s="306">
        <f t="shared" si="1"/>
        <v>-0.82641509433962268</v>
      </c>
    </row>
    <row r="19" spans="1:11" ht="24" customHeight="1" x14ac:dyDescent="0.2">
      <c r="A19" s="304">
        <v>7</v>
      </c>
      <c r="B19" s="305" t="s">
        <v>22</v>
      </c>
      <c r="C19" s="22">
        <v>7430000</v>
      </c>
      <c r="D19" s="22">
        <v>7590000</v>
      </c>
      <c r="E19" s="22">
        <f t="shared" si="0"/>
        <v>160000</v>
      </c>
      <c r="F19" s="306">
        <f t="shared" si="1"/>
        <v>2.1534320323014805E-2</v>
      </c>
    </row>
    <row r="20" spans="1:11" ht="24" customHeight="1" x14ac:dyDescent="0.2">
      <c r="A20" s="304">
        <v>8</v>
      </c>
      <c r="B20" s="305" t="s">
        <v>23</v>
      </c>
      <c r="C20" s="22">
        <v>7965000</v>
      </c>
      <c r="D20" s="22">
        <v>6539000</v>
      </c>
      <c r="E20" s="22">
        <f t="shared" si="0"/>
        <v>-1426000</v>
      </c>
      <c r="F20" s="306">
        <f t="shared" si="1"/>
        <v>-0.17903327055869428</v>
      </c>
    </row>
    <row r="21" spans="1:11" ht="24" customHeight="1" x14ac:dyDescent="0.2">
      <c r="A21" s="304">
        <v>9</v>
      </c>
      <c r="B21" s="305" t="s">
        <v>24</v>
      </c>
      <c r="C21" s="22">
        <v>11971000</v>
      </c>
      <c r="D21" s="22">
        <v>8160000</v>
      </c>
      <c r="E21" s="22">
        <f t="shared" si="0"/>
        <v>-3811000</v>
      </c>
      <c r="F21" s="306">
        <f t="shared" si="1"/>
        <v>-0.31835268565700442</v>
      </c>
    </row>
    <row r="22" spans="1:11" ht="24" customHeight="1" x14ac:dyDescent="0.25">
      <c r="A22" s="307"/>
      <c r="B22" s="308" t="s">
        <v>25</v>
      </c>
      <c r="C22" s="309">
        <f>SUM(C13:C21)</f>
        <v>240150000</v>
      </c>
      <c r="D22" s="309">
        <f>SUM(D13:D21)</f>
        <v>229931000</v>
      </c>
      <c r="E22" s="309">
        <f t="shared" si="0"/>
        <v>-10219000</v>
      </c>
      <c r="F22" s="310">
        <f t="shared" si="1"/>
        <v>-4.2552571309598171E-2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0</v>
      </c>
      <c r="D25" s="22">
        <v>55952000</v>
      </c>
      <c r="E25" s="22">
        <f>D25-C25</f>
        <v>55952000</v>
      </c>
      <c r="F25" s="306">
        <f>IF(C25=0,0,E25/C25)</f>
        <v>0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0</v>
      </c>
      <c r="D26" s="22">
        <v>0</v>
      </c>
      <c r="E26" s="22">
        <f>D26-C26</f>
        <v>0</v>
      </c>
      <c r="F26" s="306">
        <f>IF(C26=0,0,E26/C26)</f>
        <v>0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0</v>
      </c>
      <c r="D27" s="22">
        <v>0</v>
      </c>
      <c r="E27" s="22">
        <f>D27-C27</f>
        <v>0</v>
      </c>
      <c r="F27" s="306">
        <f>IF(C27=0,0,E27/C27)</f>
        <v>0</v>
      </c>
    </row>
    <row r="28" spans="1:11" ht="35.1" customHeight="1" x14ac:dyDescent="0.2">
      <c r="A28" s="304">
        <v>4</v>
      </c>
      <c r="B28" s="305" t="s">
        <v>31</v>
      </c>
      <c r="C28" s="22">
        <v>47226000</v>
      </c>
      <c r="D28" s="22">
        <v>33588000</v>
      </c>
      <c r="E28" s="22">
        <f>D28-C28</f>
        <v>-13638000</v>
      </c>
      <c r="F28" s="306">
        <f>IF(C28=0,0,E28/C28)</f>
        <v>-0.28878160335408459</v>
      </c>
    </row>
    <row r="29" spans="1:11" ht="35.1" customHeight="1" x14ac:dyDescent="0.25">
      <c r="A29" s="307"/>
      <c r="B29" s="308" t="s">
        <v>32</v>
      </c>
      <c r="C29" s="309">
        <f>SUM(C25:C28)</f>
        <v>47226000</v>
      </c>
      <c r="D29" s="309">
        <f>SUM(D25:D28)</f>
        <v>89540000</v>
      </c>
      <c r="E29" s="309">
        <f>D29-C29</f>
        <v>42314000</v>
      </c>
      <c r="F29" s="310">
        <f>IF(C29=0,0,E29/C29)</f>
        <v>0.89598949731080335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205036000</v>
      </c>
      <c r="D32" s="22">
        <v>201050000</v>
      </c>
      <c r="E32" s="22">
        <f>D32-C32</f>
        <v>-3986000</v>
      </c>
      <c r="F32" s="306">
        <f>IF(C32=0,0,E32/C32)</f>
        <v>-1.944048849958056E-2</v>
      </c>
    </row>
    <row r="33" spans="1:8" ht="24" customHeight="1" x14ac:dyDescent="0.2">
      <c r="A33" s="304">
        <v>7</v>
      </c>
      <c r="B33" s="305" t="s">
        <v>35</v>
      </c>
      <c r="C33" s="22">
        <v>32708000</v>
      </c>
      <c r="D33" s="22">
        <v>34199000</v>
      </c>
      <c r="E33" s="22">
        <f>D33-C33</f>
        <v>1491000</v>
      </c>
      <c r="F33" s="306">
        <f>IF(C33=0,0,E33/C33)</f>
        <v>4.5585177938119115E-2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604936000</v>
      </c>
      <c r="D36" s="22">
        <v>1031857000</v>
      </c>
      <c r="E36" s="22">
        <f>D36-C36</f>
        <v>426921000</v>
      </c>
      <c r="F36" s="306">
        <f>IF(C36=0,0,E36/C36)</f>
        <v>0.70572920110557147</v>
      </c>
    </row>
    <row r="37" spans="1:8" ht="24" customHeight="1" x14ac:dyDescent="0.2">
      <c r="A37" s="304">
        <v>2</v>
      </c>
      <c r="B37" s="305" t="s">
        <v>39</v>
      </c>
      <c r="C37" s="22">
        <v>388290000</v>
      </c>
      <c r="D37" s="22">
        <v>386549000</v>
      </c>
      <c r="E37" s="22">
        <f>D37-C37</f>
        <v>-1741000</v>
      </c>
      <c r="F37" s="22">
        <f>IF(C37=0,0,E37/C37)</f>
        <v>-4.4837621365474258E-3</v>
      </c>
    </row>
    <row r="38" spans="1:8" ht="24" customHeight="1" x14ac:dyDescent="0.25">
      <c r="A38" s="307"/>
      <c r="B38" s="308" t="s">
        <v>40</v>
      </c>
      <c r="C38" s="309">
        <f>C36-C37</f>
        <v>216646000</v>
      </c>
      <c r="D38" s="309">
        <f>D36-D37</f>
        <v>645308000</v>
      </c>
      <c r="E38" s="309">
        <f>D38-C38</f>
        <v>428662000</v>
      </c>
      <c r="F38" s="310">
        <f>IF(C38=0,0,E38/C38)</f>
        <v>1.9786287307404706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342768000</v>
      </c>
      <c r="D40" s="22">
        <v>13162000</v>
      </c>
      <c r="E40" s="22">
        <f>D40-C40</f>
        <v>-329606000</v>
      </c>
      <c r="F40" s="306">
        <f>IF(C40=0,0,E40/C40)</f>
        <v>-0.96160084955421743</v>
      </c>
    </row>
    <row r="41" spans="1:8" ht="24" customHeight="1" x14ac:dyDescent="0.25">
      <c r="A41" s="307"/>
      <c r="B41" s="308" t="s">
        <v>42</v>
      </c>
      <c r="C41" s="309">
        <f>+C38+C40</f>
        <v>559414000</v>
      </c>
      <c r="D41" s="309">
        <f>+D38+D40</f>
        <v>658470000</v>
      </c>
      <c r="E41" s="309">
        <f>D41-C41</f>
        <v>99056000</v>
      </c>
      <c r="F41" s="310">
        <f>IF(C41=0,0,E41/C41)</f>
        <v>0.17707100644603102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1084534000</v>
      </c>
      <c r="D43" s="309">
        <f>D22+D29+D31+D32+D33+D41</f>
        <v>1213190000</v>
      </c>
      <c r="E43" s="309">
        <f>D43-C43</f>
        <v>128656000</v>
      </c>
      <c r="F43" s="310">
        <f>IF(C43=0,0,E43/C43)</f>
        <v>0.1186279083919914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89221000</v>
      </c>
      <c r="D49" s="22">
        <v>89474000</v>
      </c>
      <c r="E49" s="22">
        <f t="shared" ref="E49:E56" si="2">D49-C49</f>
        <v>253000</v>
      </c>
      <c r="F49" s="306">
        <f t="shared" ref="F49:F56" si="3">IF(C49=0,0,E49/C49)</f>
        <v>2.8356552829490816E-3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17725000</v>
      </c>
      <c r="D50" s="22">
        <v>18892000</v>
      </c>
      <c r="E50" s="22">
        <f t="shared" si="2"/>
        <v>1167000</v>
      </c>
      <c r="F50" s="306">
        <f t="shared" si="3"/>
        <v>6.5839210155148098E-2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16906000</v>
      </c>
      <c r="D51" s="22">
        <v>12718000</v>
      </c>
      <c r="E51" s="22">
        <f t="shared" si="2"/>
        <v>-4188000</v>
      </c>
      <c r="F51" s="306">
        <f t="shared" si="3"/>
        <v>-0.2477227019992902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0</v>
      </c>
      <c r="D52" s="22">
        <v>0</v>
      </c>
      <c r="E52" s="22">
        <f t="shared" si="2"/>
        <v>0</v>
      </c>
      <c r="F52" s="306">
        <f t="shared" si="3"/>
        <v>0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5933000</v>
      </c>
      <c r="D53" s="22">
        <v>11966000</v>
      </c>
      <c r="E53" s="22">
        <f t="shared" si="2"/>
        <v>6033000</v>
      </c>
      <c r="F53" s="306">
        <f t="shared" si="3"/>
        <v>1.0168548794876118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0</v>
      </c>
      <c r="D54" s="22">
        <v>0</v>
      </c>
      <c r="E54" s="22">
        <f t="shared" si="2"/>
        <v>0</v>
      </c>
      <c r="F54" s="306">
        <f t="shared" si="3"/>
        <v>0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21324000</v>
      </c>
      <c r="D55" s="22">
        <v>21439000</v>
      </c>
      <c r="E55" s="22">
        <f t="shared" si="2"/>
        <v>115000</v>
      </c>
      <c r="F55" s="306">
        <f t="shared" si="3"/>
        <v>5.3929844306884259E-3</v>
      </c>
    </row>
    <row r="56" spans="1:6" ht="24" customHeight="1" x14ac:dyDescent="0.25">
      <c r="A56" s="307"/>
      <c r="B56" s="308" t="s">
        <v>54</v>
      </c>
      <c r="C56" s="309">
        <f>SUM(C49:C55)</f>
        <v>151109000</v>
      </c>
      <c r="D56" s="309">
        <f>SUM(D49:D55)</f>
        <v>154489000</v>
      </c>
      <c r="E56" s="309">
        <f t="shared" si="2"/>
        <v>3380000</v>
      </c>
      <c r="F56" s="310">
        <f t="shared" si="3"/>
        <v>2.2367959552376099E-2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366920000</v>
      </c>
      <c r="D59" s="22">
        <v>401228000</v>
      </c>
      <c r="E59" s="22">
        <f>D59-C59</f>
        <v>34308000</v>
      </c>
      <c r="F59" s="306">
        <f>IF(C59=0,0,E59/C59)</f>
        <v>9.3502670881936117E-2</v>
      </c>
    </row>
    <row r="60" spans="1:6" ht="24" customHeight="1" x14ac:dyDescent="0.2">
      <c r="A60" s="304">
        <v>2</v>
      </c>
      <c r="B60" s="305" t="s">
        <v>57</v>
      </c>
      <c r="C60" s="22">
        <v>0</v>
      </c>
      <c r="D60" s="22">
        <v>0</v>
      </c>
      <c r="E60" s="22">
        <f>D60-C60</f>
        <v>0</v>
      </c>
      <c r="F60" s="306">
        <f>IF(C60=0,0,E60/C60)</f>
        <v>0</v>
      </c>
    </row>
    <row r="61" spans="1:6" ht="24" customHeight="1" x14ac:dyDescent="0.25">
      <c r="A61" s="307"/>
      <c r="B61" s="308" t="s">
        <v>58</v>
      </c>
      <c r="C61" s="309">
        <f>SUM(C59:C60)</f>
        <v>366920000</v>
      </c>
      <c r="D61" s="309">
        <f>SUM(D59:D60)</f>
        <v>401228000</v>
      </c>
      <c r="E61" s="309">
        <f>D61-C61</f>
        <v>34308000</v>
      </c>
      <c r="F61" s="310">
        <f>IF(C61=0,0,E61/C61)</f>
        <v>9.3502670881936117E-2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90860000</v>
      </c>
      <c r="D63" s="22">
        <v>126874000</v>
      </c>
      <c r="E63" s="22">
        <f>D63-C63</f>
        <v>36014000</v>
      </c>
      <c r="F63" s="306">
        <f>IF(C63=0,0,E63/C63)</f>
        <v>0.39636803874092008</v>
      </c>
    </row>
    <row r="64" spans="1:6" ht="24" customHeight="1" x14ac:dyDescent="0.2">
      <c r="A64" s="304">
        <v>4</v>
      </c>
      <c r="B64" s="305" t="s">
        <v>60</v>
      </c>
      <c r="C64" s="22">
        <v>38266000</v>
      </c>
      <c r="D64" s="22">
        <v>33797000</v>
      </c>
      <c r="E64" s="22">
        <f>D64-C64</f>
        <v>-4469000</v>
      </c>
      <c r="F64" s="306">
        <f>IF(C64=0,0,E64/C64)</f>
        <v>-0.11678774891548634</v>
      </c>
    </row>
    <row r="65" spans="1:6" ht="24" customHeight="1" x14ac:dyDescent="0.25">
      <c r="A65" s="307"/>
      <c r="B65" s="308" t="s">
        <v>61</v>
      </c>
      <c r="C65" s="309">
        <f>SUM(C61:C64)</f>
        <v>496046000</v>
      </c>
      <c r="D65" s="309">
        <f>SUM(D61:D64)</f>
        <v>561899000</v>
      </c>
      <c r="E65" s="309">
        <f>D65-C65</f>
        <v>65853000</v>
      </c>
      <c r="F65" s="310">
        <f>IF(C65=0,0,E65/C65)</f>
        <v>0.13275583312837921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0</v>
      </c>
      <c r="D67" s="22">
        <v>0</v>
      </c>
      <c r="E67" s="22">
        <f>D67-C67</f>
        <v>0</v>
      </c>
      <c r="F67" s="321">
        <f>IF(C67=0,0,E67/C67)</f>
        <v>0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344214000</v>
      </c>
      <c r="D70" s="22">
        <v>411293000</v>
      </c>
      <c r="E70" s="22">
        <f>D70-C70</f>
        <v>67079000</v>
      </c>
      <c r="F70" s="306">
        <f>IF(C70=0,0,E70/C70)</f>
        <v>0.19487586210903682</v>
      </c>
    </row>
    <row r="71" spans="1:6" ht="24" customHeight="1" x14ac:dyDescent="0.2">
      <c r="A71" s="304">
        <v>2</v>
      </c>
      <c r="B71" s="305" t="s">
        <v>65</v>
      </c>
      <c r="C71" s="22">
        <v>84673000</v>
      </c>
      <c r="D71" s="22">
        <v>24016000</v>
      </c>
      <c r="E71" s="22">
        <f>D71-C71</f>
        <v>-60657000</v>
      </c>
      <c r="F71" s="306">
        <f>IF(C71=0,0,E71/C71)</f>
        <v>-0.71636767328428186</v>
      </c>
    </row>
    <row r="72" spans="1:6" ht="24" customHeight="1" x14ac:dyDescent="0.2">
      <c r="A72" s="304">
        <v>3</v>
      </c>
      <c r="B72" s="305" t="s">
        <v>66</v>
      </c>
      <c r="C72" s="22">
        <v>8492000</v>
      </c>
      <c r="D72" s="22">
        <v>61493000</v>
      </c>
      <c r="E72" s="22">
        <f>D72-C72</f>
        <v>53001000</v>
      </c>
      <c r="F72" s="306">
        <f>IF(C72=0,0,E72/C72)</f>
        <v>6.2412859161563823</v>
      </c>
    </row>
    <row r="73" spans="1:6" ht="24" customHeight="1" x14ac:dyDescent="0.25">
      <c r="A73" s="304"/>
      <c r="B73" s="308" t="s">
        <v>67</v>
      </c>
      <c r="C73" s="309">
        <f>SUM(C70:C72)</f>
        <v>437379000</v>
      </c>
      <c r="D73" s="309">
        <f>SUM(D70:D72)</f>
        <v>496802000</v>
      </c>
      <c r="E73" s="309">
        <f>D73-C73</f>
        <v>59423000</v>
      </c>
      <c r="F73" s="310">
        <f>IF(C73=0,0,E73/C73)</f>
        <v>0.13586157543000463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1084534000</v>
      </c>
      <c r="D75" s="309">
        <f>D56+D65+D67+D73</f>
        <v>1213190000</v>
      </c>
      <c r="E75" s="309">
        <f>D75-C75</f>
        <v>128656000</v>
      </c>
      <c r="F75" s="310">
        <f>IF(C75=0,0,E75/C75)</f>
        <v>0.1186279083919914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9" fitToHeight="0" orientation="portrait" horizontalDpi="1200" verticalDpi="1200" r:id="rId1"/>
  <headerFooter>
    <oddHeader>&amp;LOFFICE OF HEALTH CARE ACCESS&amp;CTWELVE MONTHS ACTUAL FILING&amp;RSTAMFORD HEALTH INC (FORMERLY STAMFORD HEALTH SYSTEM, INC)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1977312635</v>
      </c>
      <c r="D11" s="76">
        <v>2134969173</v>
      </c>
      <c r="E11" s="76">
        <f t="shared" ref="E11:E20" si="0">D11-C11</f>
        <v>157656538</v>
      </c>
      <c r="F11" s="77">
        <f t="shared" ref="F11:F20" si="1">IF(C11=0,0,E11/C11)</f>
        <v>7.9732731794332559E-2</v>
      </c>
    </row>
    <row r="12" spans="1:7" ht="23.1" customHeight="1" x14ac:dyDescent="0.2">
      <c r="A12" s="74">
        <v>2</v>
      </c>
      <c r="B12" s="75" t="s">
        <v>72</v>
      </c>
      <c r="C12" s="76">
        <v>1394439721</v>
      </c>
      <c r="D12" s="76">
        <v>1528424408</v>
      </c>
      <c r="E12" s="76">
        <f t="shared" si="0"/>
        <v>133984687</v>
      </c>
      <c r="F12" s="77">
        <f t="shared" si="1"/>
        <v>9.6084961567155472E-2</v>
      </c>
    </row>
    <row r="13" spans="1:7" ht="23.1" customHeight="1" x14ac:dyDescent="0.2">
      <c r="A13" s="74">
        <v>3</v>
      </c>
      <c r="B13" s="75" t="s">
        <v>73</v>
      </c>
      <c r="C13" s="76">
        <v>32247209</v>
      </c>
      <c r="D13" s="76">
        <v>25881492</v>
      </c>
      <c r="E13" s="76">
        <f t="shared" si="0"/>
        <v>-6365717</v>
      </c>
      <c r="F13" s="77">
        <f t="shared" si="1"/>
        <v>-0.19740365747621755</v>
      </c>
    </row>
    <row r="14" spans="1:7" ht="23.1" customHeight="1" x14ac:dyDescent="0.2">
      <c r="A14" s="74">
        <v>4</v>
      </c>
      <c r="B14" s="75" t="s">
        <v>74</v>
      </c>
      <c r="C14" s="76">
        <v>0</v>
      </c>
      <c r="D14" s="76">
        <v>0</v>
      </c>
      <c r="E14" s="76">
        <f t="shared" si="0"/>
        <v>0</v>
      </c>
      <c r="F14" s="77">
        <f t="shared" si="1"/>
        <v>0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550625705</v>
      </c>
      <c r="D15" s="79">
        <f>D11-D12-D13-D14</f>
        <v>580663273</v>
      </c>
      <c r="E15" s="79">
        <f t="shared" si="0"/>
        <v>30037568</v>
      </c>
      <c r="F15" s="80">
        <f t="shared" si="1"/>
        <v>5.455169950701811E-2</v>
      </c>
    </row>
    <row r="16" spans="1:7" ht="23.1" customHeight="1" x14ac:dyDescent="0.2">
      <c r="A16" s="74">
        <v>5</v>
      </c>
      <c r="B16" s="75" t="s">
        <v>76</v>
      </c>
      <c r="C16" s="76">
        <v>29514758</v>
      </c>
      <c r="D16" s="76">
        <v>36042436</v>
      </c>
      <c r="E16" s="76">
        <f t="shared" si="0"/>
        <v>6527678</v>
      </c>
      <c r="F16" s="77">
        <f t="shared" si="1"/>
        <v>0.22116657707306969</v>
      </c>
      <c r="G16" s="65"/>
    </row>
    <row r="17" spans="1:7" ht="31.5" customHeight="1" x14ac:dyDescent="0.25">
      <c r="A17" s="71"/>
      <c r="B17" s="81" t="s">
        <v>77</v>
      </c>
      <c r="C17" s="79">
        <f>C15-C16</f>
        <v>521110947</v>
      </c>
      <c r="D17" s="79">
        <f>D15-D16</f>
        <v>544620837</v>
      </c>
      <c r="E17" s="79">
        <f t="shared" si="0"/>
        <v>23509890</v>
      </c>
      <c r="F17" s="80">
        <f t="shared" si="1"/>
        <v>4.5114941713170341E-2</v>
      </c>
    </row>
    <row r="18" spans="1:7" ht="23.1" customHeight="1" x14ac:dyDescent="0.2">
      <c r="A18" s="74">
        <v>6</v>
      </c>
      <c r="B18" s="75" t="s">
        <v>78</v>
      </c>
      <c r="C18" s="76">
        <v>17681618</v>
      </c>
      <c r="D18" s="76">
        <v>17208010</v>
      </c>
      <c r="E18" s="76">
        <f t="shared" si="0"/>
        <v>-473608</v>
      </c>
      <c r="F18" s="77">
        <f t="shared" si="1"/>
        <v>-2.678533152339339E-2</v>
      </c>
      <c r="G18" s="65"/>
    </row>
    <row r="19" spans="1:7" ht="33" customHeight="1" x14ac:dyDescent="0.2">
      <c r="A19" s="74">
        <v>7</v>
      </c>
      <c r="B19" s="82" t="s">
        <v>79</v>
      </c>
      <c r="C19" s="76">
        <v>1638154</v>
      </c>
      <c r="D19" s="76">
        <v>1714558</v>
      </c>
      <c r="E19" s="76">
        <f t="shared" si="0"/>
        <v>76404</v>
      </c>
      <c r="F19" s="77">
        <f t="shared" si="1"/>
        <v>4.664030365887456E-2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540430719</v>
      </c>
      <c r="D20" s="79">
        <f>SUM(D17:D19)</f>
        <v>563543405</v>
      </c>
      <c r="E20" s="79">
        <f t="shared" si="0"/>
        <v>23112686</v>
      </c>
      <c r="F20" s="80">
        <f t="shared" si="1"/>
        <v>4.2767158097095512E-2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240551991</v>
      </c>
      <c r="D23" s="76">
        <v>253605401</v>
      </c>
      <c r="E23" s="76">
        <f t="shared" ref="E23:E32" si="2">D23-C23</f>
        <v>13053410</v>
      </c>
      <c r="F23" s="77">
        <f t="shared" ref="F23:F32" si="3">IF(C23=0,0,E23/C23)</f>
        <v>5.4264402243089309E-2</v>
      </c>
    </row>
    <row r="24" spans="1:7" ht="23.1" customHeight="1" x14ac:dyDescent="0.2">
      <c r="A24" s="74">
        <v>2</v>
      </c>
      <c r="B24" s="75" t="s">
        <v>83</v>
      </c>
      <c r="C24" s="76">
        <v>55661609</v>
      </c>
      <c r="D24" s="76">
        <v>57789288</v>
      </c>
      <c r="E24" s="76">
        <f t="shared" si="2"/>
        <v>2127679</v>
      </c>
      <c r="F24" s="77">
        <f t="shared" si="3"/>
        <v>3.8225251447546189E-2</v>
      </c>
    </row>
    <row r="25" spans="1:7" ht="23.1" customHeight="1" x14ac:dyDescent="0.2">
      <c r="A25" s="74">
        <v>3</v>
      </c>
      <c r="B25" s="75" t="s">
        <v>84</v>
      </c>
      <c r="C25" s="76">
        <v>12722131</v>
      </c>
      <c r="D25" s="76">
        <v>11658888</v>
      </c>
      <c r="E25" s="76">
        <f t="shared" si="2"/>
        <v>-1063243</v>
      </c>
      <c r="F25" s="77">
        <f t="shared" si="3"/>
        <v>-8.3574284842688695E-2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65446195</v>
      </c>
      <c r="D26" s="76">
        <v>72239457</v>
      </c>
      <c r="E26" s="76">
        <f t="shared" si="2"/>
        <v>6793262</v>
      </c>
      <c r="F26" s="77">
        <f t="shared" si="3"/>
        <v>0.10379918954799434</v>
      </c>
    </row>
    <row r="27" spans="1:7" ht="23.1" customHeight="1" x14ac:dyDescent="0.2">
      <c r="A27" s="74">
        <v>5</v>
      </c>
      <c r="B27" s="75" t="s">
        <v>86</v>
      </c>
      <c r="C27" s="76">
        <v>25572224</v>
      </c>
      <c r="D27" s="76">
        <v>35304631</v>
      </c>
      <c r="E27" s="76">
        <f t="shared" si="2"/>
        <v>9732407</v>
      </c>
      <c r="F27" s="77">
        <f t="shared" si="3"/>
        <v>0.3805850832528293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5899903</v>
      </c>
      <c r="D29" s="76">
        <v>6942399</v>
      </c>
      <c r="E29" s="76">
        <f t="shared" si="2"/>
        <v>1042496</v>
      </c>
      <c r="F29" s="77">
        <f t="shared" si="3"/>
        <v>0.17669714230894981</v>
      </c>
    </row>
    <row r="30" spans="1:7" ht="23.1" customHeight="1" x14ac:dyDescent="0.2">
      <c r="A30" s="74">
        <v>8</v>
      </c>
      <c r="B30" s="75" t="s">
        <v>89</v>
      </c>
      <c r="C30" s="76">
        <v>1546684</v>
      </c>
      <c r="D30" s="76">
        <v>1234626</v>
      </c>
      <c r="E30" s="76">
        <f t="shared" si="2"/>
        <v>-312058</v>
      </c>
      <c r="F30" s="77">
        <f t="shared" si="3"/>
        <v>-0.20175937683456996</v>
      </c>
    </row>
    <row r="31" spans="1:7" ht="23.1" customHeight="1" x14ac:dyDescent="0.2">
      <c r="A31" s="74">
        <v>9</v>
      </c>
      <c r="B31" s="75" t="s">
        <v>90</v>
      </c>
      <c r="C31" s="76">
        <v>118045071</v>
      </c>
      <c r="D31" s="76">
        <v>119636849</v>
      </c>
      <c r="E31" s="76">
        <f t="shared" si="2"/>
        <v>1591778</v>
      </c>
      <c r="F31" s="77">
        <f t="shared" si="3"/>
        <v>1.3484493562632531E-2</v>
      </c>
    </row>
    <row r="32" spans="1:7" ht="23.1" customHeight="1" x14ac:dyDescent="0.25">
      <c r="A32" s="71"/>
      <c r="B32" s="78" t="s">
        <v>91</v>
      </c>
      <c r="C32" s="79">
        <f>SUM(C23:C31)</f>
        <v>525445808</v>
      </c>
      <c r="D32" s="79">
        <f>SUM(D23:D31)</f>
        <v>558411539</v>
      </c>
      <c r="E32" s="79">
        <f t="shared" si="2"/>
        <v>32965731</v>
      </c>
      <c r="F32" s="80">
        <f t="shared" si="3"/>
        <v>6.2738593586800492E-2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14984911</v>
      </c>
      <c r="D34" s="79">
        <f>+D20-D32</f>
        <v>5131866</v>
      </c>
      <c r="E34" s="79">
        <f>D34-C34</f>
        <v>-9853045</v>
      </c>
      <c r="F34" s="80">
        <f>IF(C34=0,0,E34/C34)</f>
        <v>-0.65753109911697172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-3158606</v>
      </c>
      <c r="D37" s="76">
        <v>2118858</v>
      </c>
      <c r="E37" s="76">
        <f>D37-C37</f>
        <v>5277464</v>
      </c>
      <c r="F37" s="77">
        <f>IF(C37=0,0,E37/C37)</f>
        <v>-1.6708206088382027</v>
      </c>
    </row>
    <row r="38" spans="1:6" ht="23.1" customHeight="1" x14ac:dyDescent="0.2">
      <c r="A38" s="85">
        <v>2</v>
      </c>
      <c r="B38" s="75" t="s">
        <v>95</v>
      </c>
      <c r="C38" s="76">
        <v>0</v>
      </c>
      <c r="D38" s="76">
        <v>0</v>
      </c>
      <c r="E38" s="76">
        <f>D38-C38</f>
        <v>0</v>
      </c>
      <c r="F38" s="77">
        <f>IF(C38=0,0,E38/C38)</f>
        <v>0</v>
      </c>
    </row>
    <row r="39" spans="1:6" ht="23.1" customHeight="1" x14ac:dyDescent="0.2">
      <c r="A39" s="85">
        <v>3</v>
      </c>
      <c r="B39" s="75" t="s">
        <v>96</v>
      </c>
      <c r="C39" s="76">
        <v>8390290</v>
      </c>
      <c r="D39" s="76">
        <v>7011226</v>
      </c>
      <c r="E39" s="76">
        <f>D39-C39</f>
        <v>-1379064</v>
      </c>
      <c r="F39" s="77">
        <f>IF(C39=0,0,E39/C39)</f>
        <v>-0.16436428299856143</v>
      </c>
    </row>
    <row r="40" spans="1:6" ht="23.1" customHeight="1" x14ac:dyDescent="0.25">
      <c r="A40" s="83"/>
      <c r="B40" s="78" t="s">
        <v>97</v>
      </c>
      <c r="C40" s="79">
        <f>SUM(C37:C39)</f>
        <v>5231684</v>
      </c>
      <c r="D40" s="79">
        <f>SUM(D37:D39)</f>
        <v>9130084</v>
      </c>
      <c r="E40" s="79">
        <f>D40-C40</f>
        <v>3898400</v>
      </c>
      <c r="F40" s="80">
        <f>IF(C40=0,0,E40/C40)</f>
        <v>0.74515203899929738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20216595</v>
      </c>
      <c r="D42" s="79">
        <f>D34+D40</f>
        <v>14261950</v>
      </c>
      <c r="E42" s="79">
        <f>D42-C42</f>
        <v>-5954645</v>
      </c>
      <c r="F42" s="80">
        <f>IF(C42=0,0,E42/C42)</f>
        <v>-0.29454242912814943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-7809620</v>
      </c>
      <c r="D45" s="76">
        <v>-3660025</v>
      </c>
      <c r="E45" s="76">
        <f>D45-C45</f>
        <v>4149595</v>
      </c>
      <c r="F45" s="77">
        <f>IF(C45=0,0,E45/C45)</f>
        <v>-0.53134403466493885</v>
      </c>
    </row>
    <row r="46" spans="1:6" ht="23.1" customHeight="1" x14ac:dyDescent="0.2">
      <c r="A46" s="85"/>
      <c r="B46" s="75" t="s">
        <v>101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5">
      <c r="A47" s="83"/>
      <c r="B47" s="78" t="s">
        <v>102</v>
      </c>
      <c r="C47" s="79">
        <f>SUM(C45:C46)</f>
        <v>-7809620</v>
      </c>
      <c r="D47" s="79">
        <f>SUM(D45:D46)</f>
        <v>-3660025</v>
      </c>
      <c r="E47" s="79">
        <f>D47-C47</f>
        <v>4149595</v>
      </c>
      <c r="F47" s="80">
        <f>IF(C47=0,0,E47/C47)</f>
        <v>-0.53134403466493885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12406975</v>
      </c>
      <c r="D49" s="79">
        <f>D42+D47</f>
        <v>10601925</v>
      </c>
      <c r="E49" s="79">
        <f>D49-C49</f>
        <v>-1805050</v>
      </c>
      <c r="F49" s="80">
        <f>IF(C49=0,0,E49/C49)</f>
        <v>-0.14548671211153405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paperSize="9" scale="74" orientation="portrait" horizontalDpi="1200" verticalDpi="1200" r:id="rId1"/>
  <headerFooter>
    <oddHeader>&amp;L&amp;8OFFICE OF HEALTH CARE ACCESS&amp;C&amp;8TWELVE MONTHS ACTUAL FILING&amp;R&amp;8STAMFORD HEALTH INC (FORMERLY STAMFORD HEALTH SYSTEM, INC)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Ciesones, Ron</cp:lastModifiedBy>
  <cp:lastPrinted>2017-09-19T17:18:59Z</cp:lastPrinted>
  <dcterms:created xsi:type="dcterms:W3CDTF">2017-09-14T16:12:43Z</dcterms:created>
  <dcterms:modified xsi:type="dcterms:W3CDTF">2017-09-19T17:19:06Z</dcterms:modified>
</cp:coreProperties>
</file>