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680" tabRatio="942" activeTab="0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'Report_500'!$A$10:$F$354</definedName>
    <definedName name="ALL" localSheetId="15">'Report_600'!$B$9:$C$121</definedName>
    <definedName name="DSS_ANALYSIS_1ST_9_MOS_FY1999_Crosstab" localSheetId="13">'Report_500'!$A$5:$F$14</definedName>
    <definedName name="DSS_ANALYSIS_1ST_9_MOS_FY1999_Crosstab" localSheetId="15">'Report_600'!$B$2:$C$12</definedName>
    <definedName name="FILTER" localSheetId="13">'Report_500'!#REF!</definedName>
    <definedName name="LN_1A4" localSheetId="13">'Report_500'!$E$14</definedName>
    <definedName name="LN_1D2">'Report_500'!$D$119</definedName>
    <definedName name="LN_IA1">'Report_500'!$D$15</definedName>
    <definedName name="LN_IA11">'Report_500'!$D$27</definedName>
    <definedName name="LN_IA12">'Report_500'!$D$28</definedName>
    <definedName name="LN_IA14">'Report_500'!$D$30</definedName>
    <definedName name="LN_IA15">'Report_500'!$D$31</definedName>
    <definedName name="LN_IA16">'Report_500'!$D$32</definedName>
    <definedName name="LN_IA17">'Report_500'!$D$35</definedName>
    <definedName name="LN_IA18">'Report_500'!$D$36</definedName>
    <definedName name="LN_IA2">'Report_500'!$D$16</definedName>
    <definedName name="LN_IA4">'Report_500'!$D$18</definedName>
    <definedName name="LN_IA5">'Report_500'!$D$19</definedName>
    <definedName name="LN_IA6">'Report_500'!$D$20</definedName>
    <definedName name="LN_IA7">'Report_500'!$D$21</definedName>
    <definedName name="LN_IA8">'Report_500'!$D$22</definedName>
    <definedName name="LN_IB1">'Report_500'!$D$42</definedName>
    <definedName name="LN_IB10">'Report_500'!$D$51</definedName>
    <definedName name="LN_IB13">'Report_500'!$D$56</definedName>
    <definedName name="LN_IB14">'Report_500'!$D$57</definedName>
    <definedName name="LN_IB16">'Report_500'!$D$59</definedName>
    <definedName name="LN_IB17">'Report_500'!$D$60</definedName>
    <definedName name="LN_IB18">'Report_500'!$D$61</definedName>
    <definedName name="LN_IB19">'Report_500'!$D$62</definedName>
    <definedName name="LN_IB2">'Report_500'!$D$43</definedName>
    <definedName name="LN_IB20">'Report_500'!$D$63</definedName>
    <definedName name="LN_IB21">'Report_500'!$D$66</definedName>
    <definedName name="LN_IB22">'Report_500'!$D$67</definedName>
    <definedName name="LN_IB32">'Report_500'!$D$73</definedName>
    <definedName name="LN_IB33">'Report_500'!$D$74</definedName>
    <definedName name="LN_IB34">'Report_500'!$D$76</definedName>
    <definedName name="LN_IB4">'Report_500'!$D$45</definedName>
    <definedName name="LN_IB5">'Report_500'!$D$46</definedName>
    <definedName name="LN_IB6">'Report_500'!$D$47</definedName>
    <definedName name="LN_IB7">'Report_500'!$D$48</definedName>
    <definedName name="LN_IB8">'Report_500'!$D$49</definedName>
    <definedName name="LN_IB9">'Report_500'!$D$50</definedName>
    <definedName name="LN_IC1">'Report_500'!$D$83</definedName>
    <definedName name="LN_IC10">'Report_500'!$D$92</definedName>
    <definedName name="LN_IC11">'Report_500'!$D$93</definedName>
    <definedName name="LN_IC14">'Report_500'!$D$98</definedName>
    <definedName name="LN_IC15">'Report_500'!$D$99</definedName>
    <definedName name="LN_IC17">'Report_500'!$D$101</definedName>
    <definedName name="LN_IC18">'Report_500'!$D$102</definedName>
    <definedName name="LN_IC19">'Report_500'!$D$103</definedName>
    <definedName name="LN_IC2">'Report_500'!$D$84</definedName>
    <definedName name="LN_IC21">'Report_500'!$D$105</definedName>
    <definedName name="LN_IC22">'Report_500'!$D$106</definedName>
    <definedName name="LN_IC23">'Report_500'!$D$109</definedName>
    <definedName name="LN_IC24">'Report_500'!$D$110</definedName>
    <definedName name="LN_IC4">'Report_500'!$D$86</definedName>
    <definedName name="LN_IC5">'Report_500'!$D$87</definedName>
    <definedName name="LN_IC6">'Report_500'!$D$88</definedName>
    <definedName name="LN_IC7">'Report_500'!$D$89</definedName>
    <definedName name="LN_IC9">'Report_500'!$D$91</definedName>
    <definedName name="LN_ID1">'Report_500'!$D$118</definedName>
    <definedName name="LN_ID10">'Report_500'!$D$127</definedName>
    <definedName name="LN_ID11">'Report_500'!$D$128</definedName>
    <definedName name="LN_ID14">'Report_500'!$D$133</definedName>
    <definedName name="LN_ID15">'Report_500'!$D$134</definedName>
    <definedName name="LN_ID17">'Report_500'!$D$136</definedName>
    <definedName name="LN_ID18">'Report_500'!$D$137</definedName>
    <definedName name="LN_ID19">'Report_500'!$D$138</definedName>
    <definedName name="LN_ID21">'Report_500'!$D$140</definedName>
    <definedName name="LN_ID22">'Report_500'!$D$141</definedName>
    <definedName name="LN_ID23">'Report_500'!$D$144</definedName>
    <definedName name="LN_ID24">'Report_500'!$D$145</definedName>
    <definedName name="LN_ID4">'Report_500'!$D$121</definedName>
    <definedName name="LN_ID5">'Report_500'!$D$122</definedName>
    <definedName name="LN_ID6">'Report_500'!$D$123</definedName>
    <definedName name="LN_ID7">'Report_500'!$D$124</definedName>
    <definedName name="LN_ID9">'Report_500'!$D$126</definedName>
    <definedName name="LN_IE1">'Report_500'!$D$153</definedName>
    <definedName name="LN_IE10">'Report_500'!$D$162</definedName>
    <definedName name="LN_IE11">'Report_500'!$D$163</definedName>
    <definedName name="LN_IE14">'Report_500'!$D$168</definedName>
    <definedName name="LN_IE15">'Report_500'!$D$169</definedName>
    <definedName name="LN_IE17">'Report_500'!$D$171</definedName>
    <definedName name="LN_IE18">'Report_500'!$D$172</definedName>
    <definedName name="LN_IE19">'Report_500'!$D$173</definedName>
    <definedName name="LN_IE2">'Report_500'!$D$154</definedName>
    <definedName name="LN_IE21">'Report_500'!$D$175</definedName>
    <definedName name="LN_IE22">'Report_500'!$D$176</definedName>
    <definedName name="LN_IE23">'Report_500'!$D$179</definedName>
    <definedName name="LN_IE24">'Report_500'!$D$180</definedName>
    <definedName name="LN_IE4">'Report_500'!$D$156</definedName>
    <definedName name="LN_IE5">'Report_500'!$D$157</definedName>
    <definedName name="LN_IE6">'Report_500'!$D$158</definedName>
    <definedName name="LN_IE7">'Report_500'!$D$159</definedName>
    <definedName name="LN_IE9">'Report_500'!$D$161</definedName>
    <definedName name="LN_IF1">'Report_500'!$D$188</definedName>
    <definedName name="LN_IF11">'Report_500'!$D$198</definedName>
    <definedName name="LN_IF14">'Report_500'!$D$203</definedName>
    <definedName name="LN_IF15">'Report_500'!$D$204</definedName>
    <definedName name="LN_IF18">'Report_500'!$D$207</definedName>
    <definedName name="LN_IF19">'Report_500'!$D$208</definedName>
    <definedName name="LN_IF2">'Report_500'!$D$189</definedName>
    <definedName name="LN_IF21">'Report_500'!$D$210</definedName>
    <definedName name="LN_IF23">'Report_500'!$D$214</definedName>
    <definedName name="LN_IF24">'Report_500'!$D$215</definedName>
    <definedName name="LN_IF4">'Report_500'!$D$191</definedName>
    <definedName name="LN_IF5">'Report_500'!$D$192</definedName>
    <definedName name="LN_IF6">'Report_500'!$D$193</definedName>
    <definedName name="LN_IF7">'Report_500'!$D$194</definedName>
    <definedName name="LN_IF9">'Report_500'!$D$196</definedName>
    <definedName name="LN_IG1">'Report_500'!$D$221</definedName>
    <definedName name="LN_IG10">'Report_500'!$D$234</definedName>
    <definedName name="LN_IG13">'Report_500'!$D$237</definedName>
    <definedName name="LN_IG14">'Report_500'!$D$238</definedName>
    <definedName name="LN_IG2">'Report_500'!$D$222</definedName>
    <definedName name="LN_IG3">'Report_500'!$D$224</definedName>
    <definedName name="LN_IG4">'Report_500'!$D$225</definedName>
    <definedName name="LN_IG5">'Report_500'!$D$226</definedName>
    <definedName name="LN_IG6">'Report_500'!$D$228</definedName>
    <definedName name="LN_IG9">'Report_500'!$D$233</definedName>
    <definedName name="LN_IH10">'Report_500'!$D$256</definedName>
    <definedName name="LN_IH3">'Report_500'!$D$245</definedName>
    <definedName name="LN_IH4">'Report_500'!$D$248</definedName>
    <definedName name="LN_IH5">'Report_500'!$D$249</definedName>
    <definedName name="LN_IH6">'Report_500'!$D$250</definedName>
    <definedName name="LN_IH8">'Report_500'!$D$254</definedName>
    <definedName name="LN_IH9">'Report_500'!$D$255</definedName>
    <definedName name="LN_IIA1">'Report_500'!$D$261</definedName>
    <definedName name="LN_IIA11">'Report_500'!$D$271</definedName>
    <definedName name="LN_IIA12">'Report_500'!$D$272</definedName>
    <definedName name="LN_IIA14">'Report_500'!$D$274</definedName>
    <definedName name="LN_IIA2">'Report_500'!$D$262</definedName>
    <definedName name="LN_IIA4">'Report_500'!$D$264</definedName>
    <definedName name="LN_IIA6">'Report_500'!$D$266</definedName>
    <definedName name="LN_IIA7">'Report_500'!$D$267</definedName>
    <definedName name="LN_IIA9">'Report_500'!$D$269</definedName>
    <definedName name="LN_IIB11">'Report_500'!$D$287</definedName>
    <definedName name="LN_IIB12">'Report_500'!$D$288</definedName>
    <definedName name="LN_IIB14">'Report_500'!$D$291</definedName>
    <definedName name="LN_IIB2">'Report_500'!$D$278</definedName>
    <definedName name="LN_IIB4">'Report_500'!$D$280</definedName>
    <definedName name="LN_IIB6">'Report_500'!$D$282</definedName>
    <definedName name="LN_IIB7">'Report_500'!$D$283</definedName>
    <definedName name="LN_IIB9">'Report_500'!$D$285</definedName>
    <definedName name="LN_III1">'Report_500'!$D$304</definedName>
    <definedName name="LN_III10">'Report_500'!$D$313</definedName>
    <definedName name="LN_III11">'Report_500'!$D$314</definedName>
    <definedName name="LN_III12">'Report_500'!$D$315</definedName>
    <definedName name="LN_III2">'Report_500'!$D$305</definedName>
    <definedName name="LN_III3">'Report_500'!$D$307</definedName>
    <definedName name="LN_III4">'Report_500'!$D$308</definedName>
    <definedName name="LN_III5">'Report_500'!$D$306</definedName>
    <definedName name="LN_III6">'Report_500'!$D$309</definedName>
    <definedName name="LN_III7">'Report_500'!$D$310</definedName>
    <definedName name="LN_III8">'Report_500'!$D$311</definedName>
    <definedName name="LN_III9">'Report_500'!$D$312</definedName>
    <definedName name="LN_IV1">'Report_500'!$D$324</definedName>
    <definedName name="LN_IV2">'Report_500'!$D$322</definedName>
    <definedName name="LN_IV3">'Report_500'!$D$323</definedName>
    <definedName name="LN_IV4">'Report_500'!$D$325</definedName>
    <definedName name="_xlnm.Print_Area" localSheetId="0">'Report_100'!$A$10:$F$80</definedName>
    <definedName name="_xlnm.Print_Area" localSheetId="1">'Report_150'!$A$10:$F$49</definedName>
    <definedName name="_xlnm.Print_Area" localSheetId="2">'Report_165'!$A$10:$F$179</definedName>
    <definedName name="_xlnm.Print_Area" localSheetId="3">'Report_175'!$A$12:$F$180</definedName>
    <definedName name="_xlnm.Print_Area" localSheetId="4">'Report_185'!$A$10:$E$191</definedName>
    <definedName name="_xlnm.Print_Area" localSheetId="5">'Report_200'!$A$10:$F$210</definedName>
    <definedName name="_xlnm.Print_Area" localSheetId="6">'Report_250'!$A$10:$F$124</definedName>
    <definedName name="_xlnm.Print_Area" localSheetId="7">'Report_300'!$A$10:$F$75</definedName>
    <definedName name="_xlnm.Print_Area" localSheetId="8">'Report_350'!$A$10:$F$48</definedName>
    <definedName name="_xlnm.Print_Area" localSheetId="9">'Report_385'!$A$10:$E$80</definedName>
    <definedName name="_xlnm.Print_Area" localSheetId="10">'Report_400'!$A$10:$G$45</definedName>
    <definedName name="_xlnm.Print_Area" localSheetId="11">'Report_450'!$A$11:$F$101</definedName>
    <definedName name="_xlnm.Print_Area" localSheetId="12">'Report_485'!$A$11:$F$32</definedName>
    <definedName name="_xlnm.Print_Area" localSheetId="13">'Report_500'!$A$10:$F$337</definedName>
    <definedName name="_xlnm.Print_Area" localSheetId="14">'Report_550'!$A$11:$E$335</definedName>
    <definedName name="_xlnm.Print_Area" localSheetId="15">'Report_600'!$A$11:$C$145</definedName>
    <definedName name="_xlnm.Print_Area" localSheetId="16">'Report_650'!$A$11:$F$49</definedName>
    <definedName name="_xlnm.Print_Area" localSheetId="17">'Report_685'!$A$13:$F$27</definedName>
    <definedName name="_xlnm.Print_Area" localSheetId="18">'Report_700'!$A$8:$E$113</definedName>
    <definedName name="_xlnm.Print_Titles" localSheetId="0">'Report_100'!$1:$9</definedName>
    <definedName name="_xlnm.Print_Titles" localSheetId="1">'Report_150'!$1:$9</definedName>
    <definedName name="_xlnm.Print_Titles" localSheetId="2">'Report_165'!$1:$9</definedName>
    <definedName name="_xlnm.Print_Titles" localSheetId="3">'Report_175'!$1:$11</definedName>
    <definedName name="_xlnm.Print_Titles" localSheetId="4">'Report_185'!$1:$9</definedName>
    <definedName name="_xlnm.Print_Titles" localSheetId="5">'Report_200'!$1:$9</definedName>
    <definedName name="_xlnm.Print_Titles" localSheetId="6">'Report_250'!$1:$9</definedName>
    <definedName name="_xlnm.Print_Titles" localSheetId="7">'Report_300'!$1:$9</definedName>
    <definedName name="_xlnm.Print_Titles" localSheetId="8">'Report_350'!$1:$9</definedName>
    <definedName name="_xlnm.Print_Titles" localSheetId="9">'Report_385'!$1:$9</definedName>
    <definedName name="_xlnm.Print_Titles" localSheetId="10">'Report_400'!$1:$9</definedName>
    <definedName name="_xlnm.Print_Titles" localSheetId="11">'Report_450'!$1:$10</definedName>
    <definedName name="_xlnm.Print_Titles" localSheetId="12">'Report_485'!$1:$10</definedName>
    <definedName name="_xlnm.Print_Titles" localSheetId="13">'Report_500'!$1:$9</definedName>
    <definedName name="_xlnm.Print_Titles" localSheetId="14">'Report_550'!$1:$10</definedName>
    <definedName name="_xlnm.Print_Titles" localSheetId="15">'Report_600'!$1:$10</definedName>
    <definedName name="_xlnm.Print_Titles" localSheetId="16">'Report_650'!$1:$10</definedName>
    <definedName name="_xlnm.Print_Titles" localSheetId="17">'Report_685'!$1:$12</definedName>
    <definedName name="_xlnm.Print_Titles" localSheetId="18">'Report_700'!$1:$7</definedName>
  </definedNames>
  <calcPr fullCalcOnLoad="1"/>
</workbook>
</file>

<file path=xl/sharedStrings.xml><?xml version="1.0" encoding="utf-8"?>
<sst xmlns="http://schemas.openxmlformats.org/spreadsheetml/2006/main" count="2302" uniqueCount="979">
  <si>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</si>
  <si>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</si>
  <si>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</si>
  <si>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</si>
  <si>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</si>
  <si>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</si>
  <si>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</si>
  <si>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</si>
  <si>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</si>
  <si>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</si>
  <si>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</si>
  <si>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</si>
  <si>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</si>
  <si>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</si>
  <si>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</si>
  <si>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</si>
  <si>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</si>
  <si>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</si>
  <si>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</si>
  <si>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</si>
  <si>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</si>
  <si>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</si>
  <si>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</si>
  <si>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</si>
  <si>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</si>
  <si>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</si>
  <si>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</si>
  <si>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</si>
  <si>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</si>
  <si>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</si>
  <si>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</si>
  <si>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</si>
  <si>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</si>
  <si>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</si>
  <si>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 val="single"/>
        <sz val="14"/>
        <rFont val="Arial"/>
        <family val="2"/>
      </rPr>
      <t xml:space="preserve">        FY 2007</t>
    </r>
  </si>
  <si>
    <r>
      <t xml:space="preserve">       ACTUAL                   </t>
    </r>
    <r>
      <rPr>
        <b/>
        <u val="single"/>
        <sz val="14"/>
        <rFont val="Arial"/>
        <family val="2"/>
      </rPr>
      <t xml:space="preserve">        FY 2008</t>
    </r>
  </si>
  <si>
    <r>
      <t xml:space="preserve">       ACTUAL                                      </t>
    </r>
    <r>
      <rPr>
        <b/>
        <u val="single"/>
        <sz val="14"/>
        <rFont val="Arial"/>
        <family val="2"/>
      </rPr>
      <t xml:space="preserve">        FY 2009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</si>
  <si>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</si>
  <si>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</si>
  <si>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</si>
  <si>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</si>
  <si>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</si>
  <si>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</si>
  <si>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</si>
  <si>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</si>
  <si>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</si>
  <si>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</si>
  <si>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</si>
  <si>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</si>
  <si>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</si>
  <si>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</si>
  <si>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</si>
  <si>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</si>
  <si>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</si>
  <si>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</si>
  <si>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</si>
  <si>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</si>
  <si>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</si>
  <si>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</si>
  <si>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</si>
  <si>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</si>
  <si>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</si>
  <si>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</si>
  <si>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</si>
  <si>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</si>
  <si>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</si>
  <si>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</si>
  <si>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</si>
  <si>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</si>
  <si>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</si>
  <si>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</si>
  <si>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</si>
  <si>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</si>
  <si>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</si>
  <si>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</si>
  <si>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</si>
  <si>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</si>
  <si>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</si>
  <si>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</si>
  <si>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</si>
  <si>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</si>
  <si>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</si>
  <si>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</si>
  <si>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</si>
  <si>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</si>
  <si>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</si>
  <si>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</si>
  <si>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</si>
  <si>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</si>
  <si>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</si>
  <si>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</si>
  <si>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</si>
  <si>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</si>
  <si>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</si>
  <si>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</si>
  <si>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</si>
  <si>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</si>
  <si>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</si>
  <si>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</si>
  <si>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</si>
  <si>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</si>
  <si>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</si>
  <si>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</si>
  <si>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</si>
  <si>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</si>
  <si>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</si>
  <si>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</si>
  <si>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</si>
  <si>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</si>
  <si>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</si>
  <si>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</si>
  <si>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</si>
  <si>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</si>
  <si>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</si>
  <si>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</si>
  <si>
    <t>STAMFORD HOSPITAL</t>
  </si>
  <si>
    <t>TWELVE MONTHS ACTUAL FILING</t>
  </si>
  <si>
    <t xml:space="preserve">      FISCAL YEAR 2009</t>
  </si>
  <si>
    <t>REPORT 100 - HOSPITAL BALANCE SHEET INFORMATION</t>
  </si>
  <si>
    <t xml:space="preserve">      FY 2008</t>
  </si>
  <si>
    <t xml:space="preserve">      FY 2009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</si>
  <si>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</si>
  <si>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</si>
  <si>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</si>
  <si>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</si>
  <si>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</si>
  <si>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</si>
  <si>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</si>
  <si>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</si>
  <si>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</si>
  <si>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</si>
  <si>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</si>
  <si>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</si>
  <si>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</si>
  <si>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</si>
  <si>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</si>
  <si>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</si>
  <si>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</si>
  <si>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</si>
  <si>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</si>
  <si>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</si>
  <si>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</si>
  <si>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</si>
  <si>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</si>
  <si>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</si>
  <si>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</si>
  <si>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</si>
  <si>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</si>
  <si>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</si>
  <si>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</si>
  <si>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</si>
  <si>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</si>
  <si>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</si>
  <si>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</si>
  <si>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</si>
  <si>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</si>
  <si>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</si>
  <si>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</si>
  <si>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</si>
  <si>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</si>
  <si>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</si>
  <si>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</si>
  <si>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</si>
  <si>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</si>
  <si>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</si>
  <si>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</si>
  <si>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</si>
  <si>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</si>
  <si>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</si>
  <si>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</si>
  <si>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</si>
  <si>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</si>
  <si>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</si>
  <si>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</si>
  <si>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</si>
  <si>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</si>
  <si>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</si>
  <si>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</si>
  <si>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</si>
  <si>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</si>
  <si>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</si>
  <si>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</si>
  <si>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</si>
  <si>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</si>
  <si>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</si>
  <si>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</si>
  <si>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</si>
  <si>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</si>
  <si>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</si>
  <si>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</si>
  <si>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</si>
  <si>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</si>
  <si>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</si>
  <si>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</si>
  <si>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</si>
  <si>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</si>
  <si>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</si>
  <si>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</si>
  <si>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</si>
  <si>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</si>
  <si>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</si>
  <si>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</si>
  <si>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</si>
  <si>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</si>
  <si>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</si>
  <si>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</si>
  <si>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</si>
  <si>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</si>
  <si>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</si>
  <si>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</si>
  <si>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</si>
  <si>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</si>
  <si>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</si>
  <si>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</si>
  <si>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</si>
  <si>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</si>
  <si>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</si>
  <si>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</si>
  <si>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</si>
  <si>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</si>
  <si>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2008                ACTUAL     </t>
  </si>
  <si>
    <t xml:space="preserve">      FY 2009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</si>
  <si>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</si>
  <si>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</si>
  <si>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</si>
  <si>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</si>
  <si>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</si>
  <si>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</si>
  <si>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</si>
  <si>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</si>
  <si>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</si>
  <si>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</si>
  <si>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</si>
  <si>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</si>
  <si>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</si>
  <si>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</si>
  <si>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</si>
  <si>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</si>
  <si>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</si>
  <si>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</si>
  <si>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</si>
  <si>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</si>
  <si>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</si>
  <si>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</si>
  <si>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</si>
  <si>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</si>
  <si>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</si>
  <si>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</si>
  <si>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</si>
  <si>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</si>
  <si>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</si>
  <si>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</si>
  <si>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</si>
  <si>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</si>
  <si>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</si>
  <si>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</si>
  <si>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</si>
  <si>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</si>
  <si>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</si>
  <si>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</si>
  <si>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</si>
  <si>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</si>
  <si>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</si>
  <si>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</si>
  <si>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</si>
  <si>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</si>
  <si>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</si>
  <si>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</si>
  <si>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</si>
  <si>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</si>
  <si>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</si>
  <si>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</si>
  <si>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</si>
  <si>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</si>
  <si>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</si>
  <si>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</si>
  <si>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</si>
  <si>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</si>
  <si>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</si>
  <si>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</si>
  <si>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</si>
  <si>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</si>
  <si>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</si>
  <si>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</si>
  <si>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</si>
  <si>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</si>
  <si>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</si>
  <si>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</si>
  <si>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</si>
  <si>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</si>
  <si>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</si>
  <si>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</si>
  <si>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</si>
  <si>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</si>
  <si>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</si>
  <si>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</si>
  <si>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</si>
  <si>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</si>
  <si>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</si>
  <si>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</si>
  <si>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</si>
  <si>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</si>
  <si>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</si>
  <si>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</si>
  <si>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</si>
  <si>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</si>
  <si>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</si>
  <si>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</si>
  <si>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</si>
  <si>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</si>
  <si>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</si>
  <si>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</si>
  <si>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</si>
  <si>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</si>
  <si>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</si>
  <si>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</si>
  <si>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</si>
  <si>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</si>
  <si>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</si>
  <si>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</si>
  <si>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</si>
  <si>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</si>
  <si>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</si>
  <si>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</si>
  <si>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</si>
  <si>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</si>
  <si>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</si>
  <si>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</si>
  <si>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</si>
  <si>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</si>
  <si>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</si>
  <si>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</si>
  <si>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</si>
  <si>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</si>
  <si>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</si>
  <si>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</si>
  <si>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</si>
  <si>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</si>
  <si>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</si>
  <si>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</si>
  <si>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</si>
  <si>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</si>
  <si>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</si>
  <si>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</si>
  <si>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</si>
  <si>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</si>
  <si>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</si>
  <si>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</si>
  <si>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</si>
  <si>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</si>
  <si>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</si>
  <si>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</si>
  <si>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</si>
  <si>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</si>
  <si>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</si>
  <si>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</si>
  <si>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</si>
  <si>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</si>
  <si>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</si>
  <si>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</si>
  <si>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</si>
  <si>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</si>
  <si>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</si>
  <si>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</si>
  <si>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</si>
  <si>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</si>
  <si>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</si>
  <si>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</si>
  <si>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</si>
  <si>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</si>
  <si>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</si>
  <si>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</si>
  <si>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</si>
  <si>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</si>
  <si>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</si>
  <si>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</si>
  <si>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</si>
  <si>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</si>
  <si>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</si>
  <si>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</si>
  <si>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</si>
  <si>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</si>
  <si>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</si>
  <si>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</si>
  <si>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</si>
  <si>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</si>
  <si>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</si>
  <si>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</si>
  <si>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</si>
  <si>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</si>
  <si>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</si>
  <si>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</si>
  <si>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</si>
  <si>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</si>
  <si>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</si>
  <si>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</si>
  <si>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</si>
  <si>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</si>
  <si>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</si>
  <si>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</si>
  <si>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</si>
  <si>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</si>
  <si>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</si>
  <si>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</si>
  <si>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</si>
  <si>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</si>
  <si>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</si>
  <si>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</si>
  <si>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</si>
  <si>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</si>
  <si>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</si>
  <si>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</si>
  <si>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</si>
  <si>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</si>
  <si>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</si>
  <si>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</si>
  <si>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</si>
  <si>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</si>
  <si>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</si>
  <si>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</si>
  <si>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</si>
  <si>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</si>
  <si>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2007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</si>
  <si>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</si>
  <si>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</si>
  <si>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</si>
  <si>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</si>
  <si>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</si>
  <si>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</si>
  <si>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</si>
  <si>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</si>
  <si>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</si>
  <si>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</si>
  <si>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</si>
  <si>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</si>
  <si>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</si>
  <si>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</si>
  <si>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</si>
  <si>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</si>
  <si>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</si>
  <si>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</si>
  <si>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</si>
  <si>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</si>
  <si>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</si>
  <si>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</si>
  <si>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</si>
  <si>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</si>
  <si>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</si>
  <si>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</si>
  <si>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</si>
  <si>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</si>
  <si>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</si>
  <si>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</si>
  <si>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</si>
  <si>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</si>
  <si>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</si>
  <si>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</si>
  <si>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</si>
  <si>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</si>
  <si>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</si>
  <si>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</si>
  <si>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</si>
  <si>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</si>
  <si>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</si>
  <si>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</si>
  <si>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</si>
  <si>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</si>
  <si>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</si>
  <si>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</si>
  <si>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</si>
  <si>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</si>
  <si>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</si>
  <si>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</si>
  <si>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</si>
  <si>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</si>
  <si>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</si>
  <si>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</si>
  <si>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</si>
  <si>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</si>
  <si>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</si>
  <si>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</si>
  <si>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</si>
  <si>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</si>
  <si>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</si>
  <si>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</si>
  <si>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</si>
  <si>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</si>
  <si>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</si>
  <si>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</si>
  <si>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</si>
  <si>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</si>
  <si>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</si>
  <si>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</si>
  <si>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</si>
  <si>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</si>
  <si>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</si>
  <si>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</si>
  <si>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</si>
  <si>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</si>
  <si>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</si>
  <si>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</si>
  <si>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</si>
  <si>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</si>
  <si>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</si>
  <si>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</si>
  <si>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</si>
  <si>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</si>
  <si>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</si>
  <si>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</si>
  <si>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</si>
  <si>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</si>
  <si>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</si>
  <si>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</si>
  <si>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</si>
  <si>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</si>
  <si>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</si>
  <si>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</si>
  <si>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</si>
  <si>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</si>
  <si>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</si>
  <si>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</si>
  <si>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</si>
  <si>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</si>
  <si>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</si>
  <si>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</si>
  <si>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</si>
  <si>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</si>
  <si>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</si>
  <si>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</si>
  <si>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</si>
  <si>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</si>
  <si>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</si>
  <si>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</si>
  <si>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</si>
  <si>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</si>
  <si>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</si>
  <si>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</si>
  <si>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</si>
  <si>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</si>
  <si>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</si>
  <si>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</si>
  <si>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</si>
  <si>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</si>
  <si>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</si>
  <si>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</si>
  <si>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2008 ACTUAL     </t>
  </si>
  <si>
    <t xml:space="preserve">      FY 2009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</si>
  <si>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</si>
  <si>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</si>
  <si>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</si>
  <si>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</si>
  <si>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</si>
  <si>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</si>
  <si>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</si>
  <si>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</si>
  <si>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</si>
  <si>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</si>
  <si>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</si>
  <si>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</si>
  <si>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</si>
  <si>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</si>
  <si>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</si>
  <si>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</si>
  <si>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</si>
  <si>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</si>
  <si>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</si>
  <si>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</si>
  <si>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</si>
  <si>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</si>
  <si>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</si>
  <si>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</si>
  <si>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</si>
  <si>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</si>
  <si>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</si>
  <si>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</si>
  <si>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</si>
  <si>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</si>
  <si>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</si>
  <si>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</si>
  <si>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</si>
  <si>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</si>
  <si>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</si>
  <si>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</si>
  <si>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</si>
  <si>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</si>
  <si>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</si>
  <si>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</si>
  <si>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</si>
  <si>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</si>
  <si>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</si>
  <si>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</si>
  <si>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</si>
  <si>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</si>
  <si>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</si>
  <si>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STAMFORD HEALTH SYSTEM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</si>
  <si>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</si>
  <si>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</si>
  <si>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</si>
  <si>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</si>
  <si>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</si>
  <si>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</si>
  <si>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</si>
  <si>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</si>
  <si>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</si>
  <si>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</si>
  <si>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</si>
  <si>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</si>
  <si>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</si>
  <si>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</si>
  <si>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</si>
  <si>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OCCUPANCY</t>
  </si>
  <si>
    <t>PATIENT</t>
  </si>
  <si>
    <t>STAFFED</t>
  </si>
  <si>
    <t>AVAILABLE</t>
  </si>
  <si>
    <t>OF STAFFED</t>
  </si>
  <si>
    <t>OF AVAILABLE</t>
  </si>
  <si>
    <t>DAYS</t>
  </si>
  <si>
    <t>BEDS (A)</t>
  </si>
  <si>
    <t>BEDS</t>
  </si>
  <si>
    <t/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</si>
  <si>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</si>
  <si>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</si>
  <si>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</si>
  <si>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</si>
  <si>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</si>
  <si>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</si>
  <si>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</si>
  <si>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</si>
  <si>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</si>
  <si>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</si>
  <si>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</si>
  <si>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</si>
  <si>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</si>
  <si>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</si>
  <si>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</si>
  <si>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</si>
  <si>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</si>
  <si>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</si>
  <si>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</si>
  <si>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</si>
  <si>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</si>
  <si>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</si>
  <si>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</si>
  <si>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</si>
  <si>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</si>
  <si>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</si>
  <si>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</si>
  <si>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</si>
  <si>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</si>
  <si>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</si>
  <si>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</si>
  <si>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</si>
  <si>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</si>
  <si>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</si>
  <si>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</si>
  <si>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</si>
  <si>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</si>
  <si>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</si>
  <si>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</si>
  <si>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</si>
  <si>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</si>
  <si>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</si>
  <si>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</si>
  <si>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</si>
  <si>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</si>
  <si>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</si>
  <si>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</si>
  <si>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</si>
  <si>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</si>
  <si>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</si>
  <si>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</si>
  <si>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</si>
  <si>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</si>
  <si>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</si>
  <si>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</si>
  <si>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</si>
  <si>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</si>
  <si>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</si>
  <si>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</si>
  <si>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</si>
  <si>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</si>
  <si>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</si>
  <si>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</si>
  <si>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</si>
  <si>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</si>
  <si>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</si>
  <si>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</si>
  <si>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</si>
  <si>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</si>
  <si>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</si>
  <si>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</si>
  <si>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</si>
  <si>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</si>
  <si>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</si>
  <si>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</si>
  <si>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</si>
  <si>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</si>
  <si>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</si>
  <si>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Stamford Hospital</t>
  </si>
  <si>
    <t>Tully Health Center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</si>
  <si>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</si>
  <si>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</si>
  <si>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</si>
  <si>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</si>
  <si>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</si>
  <si>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</si>
  <si>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</si>
  <si>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</si>
  <si>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2009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</si>
  <si>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</si>
  <si>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</si>
  <si>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</si>
  <si>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</si>
  <si>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2008</t>
  </si>
  <si>
    <t xml:space="preserve">         FY 2009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</si>
  <si>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</si>
  <si>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</si>
  <si>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</si>
  <si>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</si>
  <si>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</si>
  <si>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</si>
  <si>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</si>
  <si>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</si>
  <si>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</si>
  <si>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</si>
  <si>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</si>
  <si>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</si>
  <si>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</si>
  <si>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</si>
  <si>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</si>
  <si>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</si>
  <si>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</si>
  <si>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</si>
  <si>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</si>
  <si>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</si>
  <si>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</si>
  <si>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</si>
  <si>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</si>
  <si>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</si>
  <si>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</si>
  <si>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</si>
  <si>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</si>
  <si>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</si>
  <si>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</si>
  <si>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</si>
  <si>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</si>
  <si>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</si>
  <si>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</si>
  <si>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</si>
  <si>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</si>
  <si>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</si>
  <si>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</si>
  <si>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</si>
  <si>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</si>
  <si>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</si>
  <si>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</si>
  <si>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</si>
  <si>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</si>
  <si>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</si>
  <si>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</si>
  <si>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</si>
  <si>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</si>
  <si>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</si>
  <si>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</si>
  <si>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</si>
  <si>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</si>
  <si>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</si>
  <si>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</si>
  <si>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</si>
  <si>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</si>
  <si>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</si>
  <si>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</si>
  <si>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</si>
  <si>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</si>
  <si>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</si>
  <si>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</si>
  <si>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</si>
  <si>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</si>
  <si>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</si>
  <si>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</si>
  <si>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</si>
  <si>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</si>
  <si>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</si>
  <si>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</si>
  <si>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</si>
  <si>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</si>
  <si>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</si>
  <si>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</si>
  <si>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</si>
  <si>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</si>
  <si>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</si>
  <si>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</si>
  <si>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</si>
  <si>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</si>
  <si>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</si>
  <si>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</si>
  <si>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</si>
  <si>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</si>
  <si>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</si>
  <si>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</si>
  <si>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</si>
  <si>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</si>
  <si>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</si>
  <si>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</si>
  <si>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</si>
  <si>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</si>
  <si>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</si>
  <si>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</si>
  <si>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</si>
  <si>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</si>
  <si>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</si>
  <si>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</si>
  <si>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</si>
  <si>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</si>
  <si>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</si>
  <si>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</si>
  <si>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</si>
  <si>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</si>
  <si>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</si>
  <si>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</si>
  <si>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</si>
  <si>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</si>
  <si>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</si>
  <si>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</si>
  <si>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</si>
  <si>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</si>
  <si>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</si>
  <si>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</si>
  <si>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</si>
  <si>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</si>
  <si>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</si>
  <si>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</si>
  <si>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</si>
  <si>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</si>
  <si>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</si>
  <si>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</si>
  <si>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</si>
  <si>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</si>
  <si>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</si>
  <si>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</si>
  <si>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</si>
  <si>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</si>
  <si>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</si>
  <si>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</si>
  <si>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</si>
  <si>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</si>
  <si>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</si>
  <si>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</si>
  <si>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</si>
  <si>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</si>
  <si>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</si>
  <si>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</si>
  <si>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</si>
  <si>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</si>
  <si>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</si>
  <si>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</si>
  <si>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</si>
  <si>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 val="single"/>
        <sz val="12"/>
        <rFont val="Arial"/>
        <family val="2"/>
      </rPr>
      <t xml:space="preserve">        FY 2008</t>
    </r>
  </si>
  <si>
    <r>
      <t xml:space="preserve">       ACTUAL            </t>
    </r>
    <r>
      <rPr>
        <b/>
        <u val="single"/>
        <sz val="12"/>
        <rFont val="Arial"/>
        <family val="2"/>
      </rPr>
      <t xml:space="preserve">        FY 2009</t>
    </r>
  </si>
  <si>
    <r>
      <t xml:space="preserve">       AMOUNT  </t>
    </r>
    <r>
      <rPr>
        <b/>
        <u val="single"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</si>
  <si>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</si>
  <si>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</si>
  <si>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</si>
  <si>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</si>
  <si>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</si>
  <si>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</si>
  <si>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</si>
  <si>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</si>
  <si>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</si>
  <si>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</si>
  <si>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</si>
  <si>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</si>
  <si>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</si>
  <si>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</si>
  <si>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</si>
  <si>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</si>
  <si>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</si>
  <si>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</si>
  <si>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</si>
  <si>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</si>
  <si>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</si>
  <si>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</si>
  <si>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</si>
  <si>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</si>
  <si>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</si>
  <si>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</si>
  <si>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</si>
  <si>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</si>
  <si>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</si>
  <si>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</si>
  <si>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</si>
  <si>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</si>
  <si>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</si>
  <si>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</si>
  <si>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</si>
  <si>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</si>
  <si>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</si>
  <si>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</si>
  <si>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</si>
  <si>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</si>
  <si>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</si>
  <si>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</si>
  <si>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</si>
  <si>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</si>
  <si>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</si>
  <si>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</si>
  <si>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</si>
  <si>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</si>
  <si>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</si>
  <si>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</si>
  <si>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</si>
  <si>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</si>
  <si>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</si>
  <si>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</si>
  <si>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</si>
  <si>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</si>
  <si>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</si>
  <si>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</si>
  <si>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</si>
  <si>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</si>
  <si>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</si>
  <si>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</si>
  <si>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</si>
  <si>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</si>
  <si>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</si>
  <si>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</si>
  <si>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</si>
  <si>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</si>
  <si>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</si>
  <si>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</si>
  <si>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</si>
  <si>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</si>
  <si>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</si>
  <si>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</si>
  <si>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</si>
  <si>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</si>
  <si>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</si>
  <si>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</si>
  <si>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</si>
  <si>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</si>
  <si>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</si>
  <si>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</si>
  <si>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</si>
  <si>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</si>
  <si>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</si>
  <si>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</si>
  <si>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</si>
  <si>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</si>
  <si>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</si>
  <si>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</si>
  <si>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</si>
  <si>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</si>
  <si>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</si>
  <si>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</si>
  <si>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</si>
  <si>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</si>
  <si>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</si>
  <si>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 val="single"/>
        <sz val="12"/>
        <rFont val="Arial"/>
        <family val="2"/>
      </rPr>
      <t xml:space="preserve">        FY 2009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</si>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</sst>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_);\(0\)"/>
    <numFmt numFmtId="169" formatCode="&quot;$&quot;#,##0"/>
    <numFmt numFmtId="170" formatCode="#,##0.0"/>
    <numFmt numFmtId="171" formatCode="0.00000_)"/>
    <numFmt numFmtId="172" formatCode="0.00000_);\(0.00000\)"/>
    <numFmt numFmtId="173" formatCode="0.0000_)"/>
    <numFmt numFmtId="174" formatCode="#,##0.00000_);\(#,##0.00000\)"/>
    <numFmt numFmtId="175" formatCode="_(* #,##0.0_);_(* \(#,##0.0\);_(* &quot;-&quot;??_);_(@_)"/>
    <numFmt numFmtId="176" formatCode="0.0%"/>
    <numFmt numFmtId="177" formatCode="0.0000_);\(0.0000\)"/>
    <numFmt numFmtId="178" formatCode="_(* #,##0_);_(* \(#,##0\);_(* &quot;-&quot;??_);_(@_)"/>
    <numFmt numFmtId="179" formatCode="_(* #,##0.0000_);_(* \(#,##0.0000\);_(* &quot;-&quot;??_);_(@_)"/>
    <numFmt numFmtId="180" formatCode="0.0000000000_);\(0.0000000000\)"/>
    <numFmt numFmtId="181" formatCode="_(* #,##0.00000000_);_(* \(#,##0.00000000\);_(* &quot;-&quot;??_);_(@_)"/>
    <numFmt numFmtId="182" formatCode="#,##0.000000_);\(#,##0.000000\)"/>
    <numFmt numFmtId="183" formatCode="#,##0.0_);\(#,##0.0\)"/>
    <numFmt numFmtId="184" formatCode="_(* #,##0.0_);_(* \(#,##0.0\);_(* &quot;-&quot;?_);_(@_)"/>
    <numFmt numFmtId="185" formatCode="0.00000"/>
    <numFmt numFmtId="186" formatCode="#,##0.00000"/>
    <numFmt numFmtId="187" formatCode="#,##0.0000"/>
    <numFmt numFmtId="188" formatCode="_(* #,##0.0000000000_);_(* \(#,##0.0000000000\);_(* &quot;-&quot;??_);_(@_)"/>
    <numFmt numFmtId="189" formatCode="#,##0.0000000000_);\(#,##0.0000000000\)"/>
    <numFmt numFmtId="190" formatCode="0.0000"/>
    <numFmt numFmtId="191" formatCode="0.0"/>
    <numFmt numFmtId="192" formatCode="#,##0.0_);[Red]\(#,##0.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u val="single"/>
      <sz val="12"/>
      <name val="Arial"/>
      <family val="0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  <family val="0"/>
    </font>
    <font>
      <sz val="11"/>
      <name val="Arial"/>
      <family val="2"/>
    </font>
    <font>
      <u val="single"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  <family val="0"/>
    </font>
    <font>
      <b/>
      <sz val="13"/>
      <name val="Arial"/>
      <family val="2"/>
    </font>
    <font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719"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0" fontId="24" fillId="0" borderId="7" xfId="0" applyFont="1" applyBorder="1" applyAlignment="1">
      <alignment horizontal="centerContinuous"/>
    </xf>
    <xf numFmtId="0" fontId="25" fillId="0" borderId="7" xfId="0" applyFont="1" applyBorder="1" applyAlignment="1">
      <alignment horizontal="centerContinuous"/>
    </xf>
    <xf numFmtId="0" fontId="25" fillId="0" borderId="7" xfId="0" applyFont="1" applyBorder="1" applyAlignment="1">
      <alignment/>
    </xf>
    <xf numFmtId="0" fontId="0" fillId="0" borderId="7" xfId="0" applyFill="1" applyBorder="1" applyAlignment="1">
      <alignment/>
    </xf>
    <xf numFmtId="168" fontId="24" fillId="0" borderId="7" xfId="0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left"/>
    </xf>
    <xf numFmtId="0" fontId="24" fillId="0" borderId="7" xfId="0" applyFont="1" applyFill="1" applyBorder="1" applyAlignment="1">
      <alignment horizontal="centerContinuous"/>
    </xf>
    <xf numFmtId="168" fontId="24" fillId="0" borderId="7" xfId="0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168" fontId="26" fillId="0" borderId="7" xfId="0" applyNumberFormat="1" applyFont="1" applyBorder="1" applyAlignment="1">
      <alignment horizontal="center" wrapText="1"/>
    </xf>
    <xf numFmtId="0" fontId="26" fillId="0" borderId="7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center"/>
    </xf>
    <xf numFmtId="0" fontId="25" fillId="0" borderId="7" xfId="0" applyFont="1" applyFill="1" applyBorder="1" applyAlignment="1">
      <alignment/>
    </xf>
    <xf numFmtId="0" fontId="25" fillId="0" borderId="7" xfId="0" applyFont="1" applyFill="1" applyBorder="1" applyAlignment="1">
      <alignment horizontal="center" wrapText="1"/>
    </xf>
    <xf numFmtId="0" fontId="24" fillId="0" borderId="7" xfId="0" applyFont="1" applyFill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7" xfId="0" applyFont="1" applyBorder="1" applyAlignment="1">
      <alignment horizontal="left" wrapText="1"/>
    </xf>
    <xf numFmtId="5" fontId="25" fillId="0" borderId="7" xfId="0" applyNumberFormat="1" applyFont="1" applyBorder="1" applyAlignment="1">
      <alignment horizontal="right"/>
    </xf>
    <xf numFmtId="9" fontId="25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center"/>
    </xf>
    <xf numFmtId="0" fontId="24" fillId="0" borderId="7" xfId="0" applyFont="1" applyBorder="1" applyAlignment="1">
      <alignment horizontal="left" wrapText="1"/>
    </xf>
    <xf numFmtId="5" fontId="24" fillId="0" borderId="7" xfId="0" applyNumberFormat="1" applyFont="1" applyBorder="1" applyAlignment="1">
      <alignment horizontal="right"/>
    </xf>
    <xf numFmtId="9" fontId="24" fillId="0" borderId="7" xfId="0" applyNumberFormat="1" applyFont="1" applyBorder="1" applyAlignment="1">
      <alignment horizontal="right"/>
    </xf>
    <xf numFmtId="0" fontId="24" fillId="0" borderId="7" xfId="0" applyFont="1" applyBorder="1" applyAlignment="1">
      <alignment horizontal="center"/>
    </xf>
    <xf numFmtId="0" fontId="26" fillId="0" borderId="7" xfId="0" applyFont="1" applyBorder="1" applyAlignment="1">
      <alignment horizontal="left"/>
    </xf>
    <xf numFmtId="37" fontId="25" fillId="0" borderId="7" xfId="0" applyNumberFormat="1" applyFont="1" applyBorder="1" applyAlignment="1">
      <alignment/>
    </xf>
    <xf numFmtId="0" fontId="0" fillId="0" borderId="7" xfId="0" applyBorder="1" applyAlignment="1">
      <alignment horizontal="left"/>
    </xf>
    <xf numFmtId="6" fontId="0" fillId="0" borderId="7" xfId="0" applyNumberFormat="1" applyBorder="1" applyAlignment="1">
      <alignment horizontal="right"/>
    </xf>
    <xf numFmtId="9" fontId="0" fillId="0" borderId="7" xfId="0" applyNumberFormat="1" applyBorder="1" applyAlignment="1">
      <alignment horizontal="right"/>
    </xf>
    <xf numFmtId="0" fontId="24" fillId="0" borderId="7" xfId="0" applyFont="1" applyBorder="1" applyAlignment="1">
      <alignment horizontal="center"/>
    </xf>
    <xf numFmtId="37" fontId="24" fillId="0" borderId="7" xfId="0" applyNumberFormat="1" applyFont="1" applyBorder="1" applyAlignment="1">
      <alignment horizontal="centerContinuous"/>
    </xf>
    <xf numFmtId="37" fontId="25" fillId="0" borderId="7" xfId="0" applyNumberFormat="1" applyFont="1" applyBorder="1" applyAlignment="1">
      <alignment horizontal="centerContinuous"/>
    </xf>
    <xf numFmtId="37" fontId="26" fillId="0" borderId="7" xfId="0" applyNumberFormat="1" applyFont="1" applyFill="1" applyBorder="1" applyAlignment="1">
      <alignment horizontal="center"/>
    </xf>
    <xf numFmtId="37" fontId="25" fillId="0" borderId="7" xfId="0" applyNumberFormat="1" applyFont="1" applyFill="1" applyBorder="1" applyAlignment="1">
      <alignment/>
    </xf>
    <xf numFmtId="37" fontId="25" fillId="0" borderId="7" xfId="0" applyNumberFormat="1" applyFont="1" applyFill="1" applyBorder="1" applyAlignment="1">
      <alignment horizontal="center"/>
    </xf>
    <xf numFmtId="0" fontId="26" fillId="0" borderId="7" xfId="0" applyFont="1" applyBorder="1" applyAlignment="1">
      <alignment horizontal="left"/>
    </xf>
    <xf numFmtId="37" fontId="24" fillId="0" borderId="7" xfId="0" applyNumberFormat="1" applyFont="1" applyBorder="1" applyAlignment="1">
      <alignment horizontal="right"/>
    </xf>
    <xf numFmtId="0" fontId="27" fillId="0" borderId="7" xfId="0" applyFont="1" applyBorder="1" applyAlignment="1">
      <alignment/>
    </xf>
    <xf numFmtId="0" fontId="25" fillId="0" borderId="7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left" wrapText="1"/>
    </xf>
    <xf numFmtId="9" fontId="25" fillId="0" borderId="7" xfId="0" applyNumberFormat="1" applyFont="1" applyFill="1" applyBorder="1" applyAlignment="1">
      <alignment horizontal="right"/>
    </xf>
    <xf numFmtId="0" fontId="24" fillId="0" borderId="7" xfId="0" applyFont="1" applyBorder="1" applyAlignment="1">
      <alignment/>
    </xf>
    <xf numFmtId="0" fontId="25" fillId="0" borderId="7" xfId="0" applyFont="1" applyBorder="1" applyAlignment="1">
      <alignment horizontal="left"/>
    </xf>
    <xf numFmtId="37" fontId="25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left" wrapText="1"/>
    </xf>
    <xf numFmtId="5" fontId="25" fillId="0" borderId="7" xfId="0" applyNumberFormat="1" applyFont="1" applyBorder="1" applyAlignment="1">
      <alignment horizontal="right"/>
    </xf>
    <xf numFmtId="169" fontId="25" fillId="0" borderId="7" xfId="0" applyNumberFormat="1" applyFont="1" applyBorder="1" applyAlignment="1">
      <alignment horizontal="right"/>
    </xf>
    <xf numFmtId="169" fontId="24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4" fillId="0" borderId="7" xfId="0" applyFont="1" applyBorder="1" applyAlignment="1">
      <alignment horizontal="centerContinuous"/>
    </xf>
    <xf numFmtId="0" fontId="24" fillId="0" borderId="7" xfId="0" applyFont="1" applyBorder="1" applyAlignment="1">
      <alignment/>
    </xf>
    <xf numFmtId="168" fontId="24" fillId="0" borderId="7" xfId="0" applyNumberFormat="1" applyFont="1" applyFill="1" applyBorder="1" applyAlignment="1">
      <alignment horizontal="center"/>
    </xf>
    <xf numFmtId="0" fontId="24" fillId="0" borderId="7" xfId="0" applyFont="1" applyBorder="1" applyAlignment="1">
      <alignment horizontal="right"/>
    </xf>
    <xf numFmtId="0" fontId="26" fillId="0" borderId="7" xfId="0" applyFont="1" applyBorder="1" applyAlignment="1">
      <alignment horizontal="right"/>
    </xf>
    <xf numFmtId="0" fontId="26" fillId="0" borderId="7" xfId="0" applyFont="1" applyBorder="1" applyAlignment="1">
      <alignment/>
    </xf>
    <xf numFmtId="6" fontId="26" fillId="0" borderId="7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5" fillId="0" borderId="7" xfId="0" applyFont="1" applyBorder="1" applyAlignment="1">
      <alignment/>
    </xf>
    <xf numFmtId="168" fontId="25" fillId="0" borderId="7" xfId="0" applyNumberFormat="1" applyFont="1" applyFill="1" applyBorder="1" applyAlignment="1">
      <alignment horizontal="center"/>
    </xf>
    <xf numFmtId="6" fontId="24" fillId="0" borderId="7" xfId="0" applyNumberFormat="1" applyFont="1" applyBorder="1" applyAlignment="1">
      <alignment horizontal="center"/>
    </xf>
    <xf numFmtId="6" fontId="25" fillId="0" borderId="7" xfId="0" applyNumberFormat="1" applyFont="1" applyBorder="1" applyAlignment="1">
      <alignment horizontal="center"/>
    </xf>
    <xf numFmtId="9" fontId="25" fillId="0" borderId="7" xfId="0" applyNumberFormat="1" applyFont="1" applyBorder="1" applyAlignment="1">
      <alignment horizontal="right"/>
    </xf>
    <xf numFmtId="0" fontId="24" fillId="0" borderId="7" xfId="0" applyFont="1" applyBorder="1" applyAlignment="1">
      <alignment horizontal="left" wrapText="1"/>
    </xf>
    <xf numFmtId="0" fontId="25" fillId="0" borderId="7" xfId="0" applyFont="1" applyBorder="1" applyAlignment="1">
      <alignment horizontal="right"/>
    </xf>
    <xf numFmtId="0" fontId="24" fillId="0" borderId="7" xfId="0" applyFont="1" applyFill="1" applyBorder="1" applyAlignment="1">
      <alignment horizontal="left" wrapText="1"/>
    </xf>
    <xf numFmtId="0" fontId="24" fillId="0" borderId="7" xfId="0" applyFont="1" applyFill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168" fontId="18" fillId="0" borderId="0" xfId="0" applyNumberFormat="1" applyFont="1" applyBorder="1" applyAlignment="1">
      <alignment horizontal="center"/>
    </xf>
    <xf numFmtId="168" fontId="19" fillId="0" borderId="0" xfId="0" applyNumberFormat="1" applyFont="1" applyBorder="1" applyAlignment="1">
      <alignment horizontal="left"/>
    </xf>
    <xf numFmtId="5" fontId="18" fillId="0" borderId="0" xfId="0" applyNumberFormat="1" applyFont="1" applyBorder="1" applyAlignment="1">
      <alignment horizontal="right"/>
    </xf>
    <xf numFmtId="9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168" fontId="18" fillId="0" borderId="0" xfId="0" applyNumberFormat="1" applyFont="1" applyBorder="1" applyAlignment="1">
      <alignment horizontal="left"/>
    </xf>
    <xf numFmtId="168" fontId="18" fillId="0" borderId="11" xfId="0" applyNumberFormat="1" applyFont="1" applyBorder="1" applyAlignment="1">
      <alignment horizontal="center"/>
    </xf>
    <xf numFmtId="168" fontId="18" fillId="0" borderId="12" xfId="0" applyNumberFormat="1" applyFont="1" applyBorder="1" applyAlignment="1">
      <alignment horizontal="center"/>
    </xf>
    <xf numFmtId="168" fontId="18" fillId="0" borderId="13" xfId="0" applyNumberFormat="1" applyFont="1" applyBorder="1" applyAlignment="1">
      <alignment horizontal="center"/>
    </xf>
    <xf numFmtId="168" fontId="18" fillId="0" borderId="14" xfId="0" applyNumberFormat="1" applyFont="1" applyBorder="1" applyAlignment="1">
      <alignment/>
    </xf>
    <xf numFmtId="168" fontId="18" fillId="0" borderId="15" xfId="0" applyNumberFormat="1" applyFont="1" applyBorder="1" applyAlignment="1">
      <alignment horizontal="left"/>
    </xf>
    <xf numFmtId="168" fontId="18" fillId="0" borderId="16" xfId="0" applyNumberFormat="1" applyFont="1" applyBorder="1" applyAlignment="1">
      <alignment horizontal="center" wrapText="1"/>
    </xf>
    <xf numFmtId="168" fontId="18" fillId="0" borderId="15" xfId="0" applyNumberFormat="1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168" fontId="18" fillId="0" borderId="17" xfId="0" applyNumberFormat="1" applyFont="1" applyBorder="1" applyAlignment="1">
      <alignment horizontal="center" wrapText="1"/>
    </xf>
    <xf numFmtId="168" fontId="18" fillId="20" borderId="18" xfId="0" applyNumberFormat="1" applyFont="1" applyFill="1" applyBorder="1" applyAlignment="1">
      <alignment/>
    </xf>
    <xf numFmtId="168" fontId="18" fillId="20" borderId="18" xfId="0" applyNumberFormat="1" applyFont="1" applyFill="1" applyBorder="1" applyAlignment="1">
      <alignment horizontal="left"/>
    </xf>
    <xf numFmtId="168" fontId="18" fillId="0" borderId="8" xfId="0" applyNumberFormat="1" applyFont="1" applyBorder="1" applyAlignment="1">
      <alignment horizontal="center"/>
    </xf>
    <xf numFmtId="168" fontId="19" fillId="0" borderId="8" xfId="0" applyNumberFormat="1" applyFont="1" applyBorder="1" applyAlignment="1">
      <alignment horizontal="left"/>
    </xf>
    <xf numFmtId="5" fontId="20" fillId="0" borderId="8" xfId="0" applyNumberFormat="1" applyFont="1" applyBorder="1" applyAlignment="1">
      <alignment horizontal="center"/>
    </xf>
    <xf numFmtId="5" fontId="20" fillId="0" borderId="18" xfId="0" applyNumberFormat="1" applyFont="1" applyBorder="1" applyAlignment="1">
      <alignment horizontal="right"/>
    </xf>
    <xf numFmtId="9" fontId="20" fillId="0" borderId="18" xfId="0" applyNumberFormat="1" applyFont="1" applyBorder="1" applyAlignment="1">
      <alignment horizontal="right"/>
    </xf>
    <xf numFmtId="168" fontId="20" fillId="0" borderId="8" xfId="0" applyNumberFormat="1" applyFont="1" applyBorder="1" applyAlignment="1">
      <alignment horizontal="center" vertical="center"/>
    </xf>
    <xf numFmtId="43" fontId="20" fillId="0" borderId="8" xfId="42" applyFont="1" applyBorder="1" applyAlignment="1" applyProtection="1">
      <alignment/>
      <protection locked="0"/>
    </xf>
    <xf numFmtId="168" fontId="18" fillId="0" borderId="8" xfId="0" applyNumberFormat="1" applyFont="1" applyBorder="1" applyAlignment="1">
      <alignment horizontal="center" vertical="center"/>
    </xf>
    <xf numFmtId="168" fontId="18" fillId="0" borderId="8" xfId="0" applyNumberFormat="1" applyFont="1" applyBorder="1" applyAlignment="1">
      <alignment horizontal="left" wrapText="1"/>
    </xf>
    <xf numFmtId="5" fontId="18" fillId="0" borderId="8" xfId="0" applyNumberFormat="1" applyFont="1" applyBorder="1" applyAlignment="1">
      <alignment horizontal="right"/>
    </xf>
    <xf numFmtId="9" fontId="18" fillId="0" borderId="8" xfId="0" applyNumberFormat="1" applyFont="1" applyBorder="1" applyAlignment="1">
      <alignment horizontal="right"/>
    </xf>
    <xf numFmtId="168" fontId="18" fillId="0" borderId="8" xfId="0" applyNumberFormat="1" applyFont="1" applyBorder="1" applyAlignment="1">
      <alignment horizontal="right"/>
    </xf>
    <xf numFmtId="43" fontId="18" fillId="0" borderId="8" xfId="42" applyFont="1" applyBorder="1" applyAlignment="1" applyProtection="1">
      <alignment/>
      <protection locked="0"/>
    </xf>
    <xf numFmtId="5" fontId="18" fillId="0" borderId="18" xfId="0" applyNumberFormat="1" applyFont="1" applyBorder="1" applyAlignment="1">
      <alignment horizontal="right"/>
    </xf>
    <xf numFmtId="9" fontId="18" fillId="0" borderId="18" xfId="0" applyNumberFormat="1" applyFont="1" applyBorder="1" applyAlignment="1">
      <alignment horizontal="right"/>
    </xf>
    <xf numFmtId="168" fontId="18" fillId="0" borderId="19" xfId="0" applyNumberFormat="1" applyFont="1" applyFill="1" applyBorder="1" applyAlignment="1">
      <alignment horizontal="center"/>
    </xf>
    <xf numFmtId="168" fontId="18" fillId="0" borderId="20" xfId="0" applyNumberFormat="1" applyFont="1" applyBorder="1" applyAlignment="1">
      <alignment horizontal="left"/>
    </xf>
    <xf numFmtId="5" fontId="18" fillId="0" borderId="19" xfId="0" applyNumberFormat="1" applyFont="1" applyBorder="1" applyAlignment="1">
      <alignment horizontal="right"/>
    </xf>
    <xf numFmtId="5" fontId="18" fillId="0" borderId="21" xfId="0" applyNumberFormat="1" applyFont="1" applyBorder="1" applyAlignment="1">
      <alignment horizontal="right"/>
    </xf>
    <xf numFmtId="9" fontId="18" fillId="0" borderId="21" xfId="0" applyNumberFormat="1" applyFont="1" applyBorder="1" applyAlignment="1">
      <alignment horizontal="right"/>
    </xf>
    <xf numFmtId="168" fontId="20" fillId="0" borderId="8" xfId="0" applyNumberFormat="1" applyFont="1" applyBorder="1" applyAlignment="1">
      <alignment horizontal="right"/>
    </xf>
    <xf numFmtId="168" fontId="18" fillId="0" borderId="21" xfId="0" applyNumberFormat="1" applyFont="1" applyFill="1" applyBorder="1" applyAlignment="1">
      <alignment horizontal="center"/>
    </xf>
    <xf numFmtId="168" fontId="18" fillId="0" borderId="19" xfId="0" applyNumberFormat="1" applyFont="1" applyBorder="1" applyAlignment="1">
      <alignment horizontal="left"/>
    </xf>
    <xf numFmtId="37" fontId="20" fillId="0" borderId="18" xfId="0" applyNumberFormat="1" applyFont="1" applyBorder="1" applyAlignment="1">
      <alignment horizontal="right"/>
    </xf>
    <xf numFmtId="37" fontId="18" fillId="0" borderId="8" xfId="42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5" fillId="0" borderId="22" xfId="0" applyFont="1" applyBorder="1" applyAlignment="1">
      <alignment/>
    </xf>
    <xf numFmtId="168" fontId="25" fillId="0" borderId="0" xfId="0" applyNumberFormat="1" applyFont="1" applyBorder="1" applyAlignment="1">
      <alignment horizontal="center"/>
    </xf>
    <xf numFmtId="168" fontId="24" fillId="0" borderId="8" xfId="0" applyNumberFormat="1" applyFont="1" applyBorder="1" applyAlignment="1">
      <alignment horizontal="center"/>
    </xf>
    <xf numFmtId="168" fontId="24" fillId="0" borderId="23" xfId="0" applyNumberFormat="1" applyFont="1" applyBorder="1" applyAlignment="1">
      <alignment horizontal="center"/>
    </xf>
    <xf numFmtId="168" fontId="24" fillId="0" borderId="23" xfId="0" applyNumberFormat="1" applyFont="1" applyBorder="1" applyAlignment="1">
      <alignment/>
    </xf>
    <xf numFmtId="0" fontId="24" fillId="0" borderId="23" xfId="0" applyFont="1" applyBorder="1" applyAlignment="1">
      <alignment horizontal="center" wrapText="1"/>
    </xf>
    <xf numFmtId="168" fontId="24" fillId="0" borderId="23" xfId="0" applyNumberFormat="1" applyFont="1" applyBorder="1" applyAlignment="1">
      <alignment horizontal="center" wrapText="1"/>
    </xf>
    <xf numFmtId="168" fontId="26" fillId="0" borderId="23" xfId="0" applyNumberFormat="1" applyFont="1" applyBorder="1" applyAlignment="1">
      <alignment horizontal="center"/>
    </xf>
    <xf numFmtId="168" fontId="26" fillId="0" borderId="23" xfId="0" applyNumberFormat="1" applyFont="1" applyBorder="1" applyAlignment="1">
      <alignment horizontal="left"/>
    </xf>
    <xf numFmtId="168" fontId="26" fillId="0" borderId="23" xfId="0" applyNumberFormat="1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168" fontId="24" fillId="0" borderId="8" xfId="0" applyNumberFormat="1" applyFont="1" applyBorder="1" applyAlignment="1">
      <alignment/>
    </xf>
    <xf numFmtId="168" fontId="24" fillId="0" borderId="8" xfId="0" applyNumberFormat="1" applyFont="1" applyBorder="1" applyAlignment="1">
      <alignment horizontal="center" wrapText="1"/>
    </xf>
    <xf numFmtId="0" fontId="24" fillId="0" borderId="8" xfId="0" applyFont="1" applyBorder="1" applyAlignment="1">
      <alignment horizontal="center" wrapText="1"/>
    </xf>
    <xf numFmtId="168" fontId="28" fillId="0" borderId="18" xfId="0" applyNumberFormat="1" applyFont="1" applyBorder="1" applyAlignment="1">
      <alignment horizontal="center"/>
    </xf>
    <xf numFmtId="0" fontId="26" fillId="0" borderId="18" xfId="0" applyNumberFormat="1" applyFont="1" applyBorder="1" applyAlignment="1">
      <alignment horizontal="left" wrapText="1"/>
    </xf>
    <xf numFmtId="168" fontId="25" fillId="0" borderId="18" xfId="0" applyNumberFormat="1" applyFont="1" applyBorder="1" applyAlignment="1">
      <alignment horizontal="right"/>
    </xf>
    <xf numFmtId="168" fontId="25" fillId="0" borderId="8" xfId="0" applyNumberFormat="1" applyFont="1" applyBorder="1" applyAlignment="1">
      <alignment horizontal="center"/>
    </xf>
    <xf numFmtId="0" fontId="26" fillId="0" borderId="8" xfId="0" applyNumberFormat="1" applyFont="1" applyBorder="1" applyAlignment="1">
      <alignment horizontal="left" wrapText="1"/>
    </xf>
    <xf numFmtId="168" fontId="25" fillId="0" borderId="8" xfId="0" applyNumberFormat="1" applyFont="1" applyBorder="1" applyAlignment="1">
      <alignment horizontal="right"/>
    </xf>
    <xf numFmtId="0" fontId="24" fillId="0" borderId="8" xfId="0" applyFont="1" applyBorder="1" applyAlignment="1">
      <alignment horizontal="center"/>
    </xf>
    <xf numFmtId="0" fontId="26" fillId="0" borderId="8" xfId="0" applyNumberFormat="1" applyFont="1" applyBorder="1" applyAlignment="1">
      <alignment/>
    </xf>
    <xf numFmtId="5" fontId="25" fillId="0" borderId="8" xfId="0" applyNumberFormat="1" applyFont="1" applyBorder="1" applyAlignment="1">
      <alignment horizontal="right"/>
    </xf>
    <xf numFmtId="5" fontId="24" fillId="0" borderId="8" xfId="0" applyNumberFormat="1" applyFont="1" applyBorder="1" applyAlignment="1">
      <alignment horizontal="right"/>
    </xf>
    <xf numFmtId="9" fontId="24" fillId="0" borderId="8" xfId="0" applyNumberFormat="1" applyFont="1" applyBorder="1" applyAlignment="1">
      <alignment horizontal="right"/>
    </xf>
    <xf numFmtId="0" fontId="25" fillId="0" borderId="8" xfId="42" applyNumberFormat="1" applyFont="1" applyBorder="1" applyAlignment="1" applyProtection="1">
      <alignment/>
      <protection locked="0"/>
    </xf>
    <xf numFmtId="9" fontId="25" fillId="0" borderId="8" xfId="0" applyNumberFormat="1" applyFont="1" applyBorder="1" applyAlignment="1">
      <alignment horizontal="right"/>
    </xf>
    <xf numFmtId="0" fontId="24" fillId="0" borderId="8" xfId="0" applyNumberFormat="1" applyFont="1" applyBorder="1" applyAlignment="1">
      <alignment/>
    </xf>
    <xf numFmtId="43" fontId="25" fillId="0" borderId="8" xfId="42" applyFont="1" applyBorder="1" applyAlignment="1" applyProtection="1">
      <alignment/>
      <protection locked="0"/>
    </xf>
    <xf numFmtId="168" fontId="25" fillId="0" borderId="8" xfId="0" applyNumberFormat="1" applyFont="1" applyFill="1" applyBorder="1" applyAlignment="1">
      <alignment horizontal="center"/>
    </xf>
    <xf numFmtId="3" fontId="24" fillId="0" borderId="8" xfId="0" applyNumberFormat="1" applyFont="1" applyBorder="1" applyAlignment="1" applyProtection="1">
      <alignment/>
      <protection/>
    </xf>
    <xf numFmtId="0" fontId="0" fillId="0" borderId="22" xfId="0" applyBorder="1" applyAlignment="1">
      <alignment/>
    </xf>
    <xf numFmtId="9" fontId="25" fillId="0" borderId="8" xfId="57" applyFont="1" applyBorder="1" applyAlignment="1">
      <alignment horizontal="right"/>
    </xf>
    <xf numFmtId="0" fontId="24" fillId="0" borderId="8" xfId="0" applyNumberFormat="1" applyFont="1" applyBorder="1" applyAlignment="1">
      <alignment horizontal="left"/>
    </xf>
    <xf numFmtId="168" fontId="28" fillId="0" borderId="8" xfId="0" applyNumberFormat="1" applyFont="1" applyBorder="1" applyAlignment="1">
      <alignment horizontal="center"/>
    </xf>
    <xf numFmtId="168" fontId="24" fillId="0" borderId="8" xfId="0" applyNumberFormat="1" applyFont="1" applyBorder="1" applyAlignment="1">
      <alignment horizontal="right"/>
    </xf>
    <xf numFmtId="0" fontId="25" fillId="0" borderId="8" xfId="0" applyFont="1" applyBorder="1" applyAlignment="1">
      <alignment horizontal="right"/>
    </xf>
    <xf numFmtId="0" fontId="25" fillId="0" borderId="8" xfId="0" applyFont="1" applyBorder="1" applyAlignment="1">
      <alignment/>
    </xf>
    <xf numFmtId="3" fontId="25" fillId="0" borderId="8" xfId="0" applyNumberFormat="1" applyFont="1" applyBorder="1" applyAlignment="1" applyProtection="1">
      <alignment/>
      <protection/>
    </xf>
    <xf numFmtId="0" fontId="0" fillId="0" borderId="8" xfId="0" applyBorder="1" applyAlignment="1">
      <alignment/>
    </xf>
    <xf numFmtId="42" fontId="25" fillId="0" borderId="7" xfId="0" applyNumberFormat="1" applyFont="1" applyBorder="1" applyAlignment="1">
      <alignment horizontal="right"/>
    </xf>
    <xf numFmtId="0" fontId="25" fillId="0" borderId="24" xfId="0" applyFont="1" applyFill="1" applyBorder="1" applyAlignment="1">
      <alignment horizontal="left"/>
    </xf>
    <xf numFmtId="0" fontId="25" fillId="0" borderId="24" xfId="0" applyFont="1" applyBorder="1" applyAlignment="1">
      <alignment horizontal="left"/>
    </xf>
    <xf numFmtId="183" fontId="25" fillId="0" borderId="7" xfId="0" applyNumberFormat="1" applyFont="1" applyBorder="1" applyAlignment="1">
      <alignment horizontal="right"/>
    </xf>
    <xf numFmtId="183" fontId="24" fillId="0" borderId="7" xfId="0" applyNumberFormat="1" applyFont="1" applyBorder="1" applyAlignment="1">
      <alignment horizontal="right"/>
    </xf>
    <xf numFmtId="10" fontId="25" fillId="0" borderId="7" xfId="0" applyNumberFormat="1" applyFont="1" applyBorder="1" applyAlignment="1">
      <alignment horizontal="right"/>
    </xf>
    <xf numFmtId="0" fontId="0" fillId="0" borderId="7" xfId="0" applyBorder="1" applyAlignment="1">
      <alignment/>
    </xf>
    <xf numFmtId="176" fontId="25" fillId="0" borderId="7" xfId="0" applyNumberFormat="1" applyFont="1" applyBorder="1" applyAlignment="1">
      <alignment horizontal="right"/>
    </xf>
    <xf numFmtId="43" fontId="24" fillId="0" borderId="7" xfId="0" applyNumberFormat="1" applyFont="1" applyBorder="1" applyAlignment="1">
      <alignment horizontal="centerContinuous"/>
    </xf>
    <xf numFmtId="39" fontId="24" fillId="0" borderId="7" xfId="0" applyNumberFormat="1" applyFont="1" applyBorder="1" applyAlignment="1">
      <alignment horizontal="right"/>
    </xf>
    <xf numFmtId="5" fontId="25" fillId="0" borderId="7" xfId="0" applyNumberFormat="1" applyFont="1" applyFill="1" applyBorder="1" applyAlignment="1">
      <alignment horizontal="right"/>
    </xf>
    <xf numFmtId="4" fontId="24" fillId="0" borderId="7" xfId="0" applyNumberFormat="1" applyFont="1" applyBorder="1" applyAlignment="1">
      <alignment horizontal="right"/>
    </xf>
    <xf numFmtId="169" fontId="25" fillId="0" borderId="7" xfId="0" applyNumberFormat="1" applyFont="1" applyFill="1" applyBorder="1" applyAlignment="1">
      <alignment horizontal="right"/>
    </xf>
    <xf numFmtId="0" fontId="43" fillId="0" borderId="7" xfId="0" applyFont="1" applyBorder="1" applyAlignment="1">
      <alignment horizontal="left"/>
    </xf>
    <xf numFmtId="176" fontId="24" fillId="0" borderId="7" xfId="0" applyNumberFormat="1" applyFont="1" applyFill="1" applyBorder="1" applyAlignment="1">
      <alignment horizontal="right"/>
    </xf>
    <xf numFmtId="43" fontId="24" fillId="0" borderId="7" xfId="0" applyNumberFormat="1" applyFont="1" applyBorder="1" applyAlignment="1">
      <alignment horizontal="right"/>
    </xf>
    <xf numFmtId="5" fontId="25" fillId="0" borderId="7" xfId="0" applyNumberFormat="1" applyFont="1" applyBorder="1" applyAlignment="1">
      <alignment/>
    </xf>
    <xf numFmtId="168" fontId="24" fillId="0" borderId="7" xfId="0" applyNumberFormat="1" applyFont="1" applyBorder="1" applyAlignment="1">
      <alignment horizontal="right"/>
    </xf>
    <xf numFmtId="5" fontId="25" fillId="0" borderId="7" xfId="0" applyNumberFormat="1" applyFont="1" applyBorder="1" applyAlignment="1">
      <alignment/>
    </xf>
    <xf numFmtId="0" fontId="25" fillId="0" borderId="24" xfId="0" applyFont="1" applyBorder="1" applyAlignment="1">
      <alignment horizontal="left"/>
    </xf>
    <xf numFmtId="37" fontId="25" fillId="0" borderId="7" xfId="0" applyNumberFormat="1" applyFont="1" applyBorder="1" applyAlignment="1">
      <alignment/>
    </xf>
    <xf numFmtId="5" fontId="24" fillId="0" borderId="7" xfId="0" applyNumberFormat="1" applyFont="1" applyBorder="1" applyAlignment="1">
      <alignment/>
    </xf>
    <xf numFmtId="169" fontId="24" fillId="0" borderId="7" xfId="0" applyNumberFormat="1" applyFont="1" applyBorder="1" applyAlignment="1">
      <alignment/>
    </xf>
    <xf numFmtId="0" fontId="26" fillId="0" borderId="7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left"/>
    </xf>
    <xf numFmtId="42" fontId="25" fillId="0" borderId="7" xfId="0" applyNumberFormat="1" applyFont="1" applyBorder="1" applyAlignment="1">
      <alignment/>
    </xf>
    <xf numFmtId="169" fontId="25" fillId="0" borderId="7" xfId="0" applyNumberFormat="1" applyFont="1" applyBorder="1" applyAlignment="1">
      <alignment/>
    </xf>
    <xf numFmtId="42" fontId="25" fillId="0" borderId="7" xfId="0" applyNumberFormat="1" applyFont="1" applyBorder="1" applyAlignment="1">
      <alignment/>
    </xf>
    <xf numFmtId="184" fontId="24" fillId="0" borderId="7" xfId="0" applyNumberFormat="1" applyFont="1" applyBorder="1" applyAlignment="1">
      <alignment horizontal="right"/>
    </xf>
    <xf numFmtId="1" fontId="24" fillId="0" borderId="7" xfId="0" applyNumberFormat="1" applyFont="1" applyBorder="1" applyAlignment="1">
      <alignment horizontal="right"/>
    </xf>
    <xf numFmtId="169" fontId="25" fillId="0" borderId="7" xfId="0" applyNumberFormat="1" applyFont="1" applyBorder="1" applyAlignment="1">
      <alignment/>
    </xf>
    <xf numFmtId="0" fontId="25" fillId="0" borderId="0" xfId="0" applyFont="1" applyBorder="1" applyAlignment="1">
      <alignment/>
    </xf>
    <xf numFmtId="1" fontId="24" fillId="0" borderId="7" xfId="0" applyNumberFormat="1" applyFont="1" applyBorder="1" applyAlignment="1">
      <alignment/>
    </xf>
    <xf numFmtId="184" fontId="24" fillId="0" borderId="7" xfId="0" applyNumberFormat="1" applyFont="1" applyBorder="1" applyAlignment="1">
      <alignment/>
    </xf>
    <xf numFmtId="41" fontId="25" fillId="0" borderId="7" xfId="0" applyNumberFormat="1" applyFont="1" applyBorder="1" applyAlignment="1">
      <alignment horizontal="right"/>
    </xf>
    <xf numFmtId="184" fontId="25" fillId="0" borderId="7" xfId="0" applyNumberFormat="1" applyFont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 horizontal="center"/>
    </xf>
    <xf numFmtId="176" fontId="25" fillId="0" borderId="0" xfId="0" applyNumberFormat="1" applyFont="1" applyBorder="1" applyAlignment="1">
      <alignment/>
    </xf>
    <xf numFmtId="169" fontId="25" fillId="0" borderId="0" xfId="0" applyNumberFormat="1" applyFont="1" applyFill="1" applyBorder="1" applyAlignment="1">
      <alignment/>
    </xf>
    <xf numFmtId="5" fontId="25" fillId="0" borderId="0" xfId="0" applyNumberFormat="1" applyFont="1" applyFill="1" applyBorder="1" applyAlignment="1">
      <alignment/>
    </xf>
    <xf numFmtId="169" fontId="25" fillId="0" borderId="0" xfId="0" applyNumberFormat="1" applyFont="1" applyFill="1" applyBorder="1" applyAlignment="1">
      <alignment/>
    </xf>
    <xf numFmtId="169" fontId="25" fillId="0" borderId="0" xfId="0" applyNumberFormat="1" applyFont="1" applyBorder="1" applyAlignment="1">
      <alignment/>
    </xf>
    <xf numFmtId="5" fontId="25" fillId="0" borderId="0" xfId="0" applyNumberFormat="1" applyFont="1" applyBorder="1" applyAlignment="1">
      <alignment/>
    </xf>
    <xf numFmtId="169" fontId="25" fillId="0" borderId="0" xfId="0" applyNumberFormat="1" applyFont="1" applyBorder="1" applyAlignment="1">
      <alignment/>
    </xf>
    <xf numFmtId="182" fontId="25" fillId="0" borderId="7" xfId="0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Continuous"/>
    </xf>
    <xf numFmtId="168" fontId="23" fillId="0" borderId="25" xfId="0" applyNumberFormat="1" applyFont="1" applyBorder="1" applyAlignment="1">
      <alignment horizontal="center"/>
    </xf>
    <xf numFmtId="168" fontId="23" fillId="0" borderId="12" xfId="0" applyNumberFormat="1" applyFont="1" applyBorder="1" applyAlignment="1">
      <alignment horizontal="center"/>
    </xf>
    <xf numFmtId="168" fontId="23" fillId="0" borderId="13" xfId="0" applyNumberFormat="1" applyFont="1" applyBorder="1" applyAlignment="1">
      <alignment horizontal="center"/>
    </xf>
    <xf numFmtId="168" fontId="29" fillId="0" borderId="0" xfId="0" applyNumberFormat="1" applyFont="1" applyBorder="1" applyAlignment="1">
      <alignment horizontal="center"/>
    </xf>
    <xf numFmtId="168" fontId="23" fillId="0" borderId="26" xfId="0" applyNumberFormat="1" applyFont="1" applyBorder="1" applyAlignment="1">
      <alignment horizontal="center" wrapText="1"/>
    </xf>
    <xf numFmtId="168" fontId="23" fillId="0" borderId="16" xfId="0" applyNumberFormat="1" applyFont="1" applyBorder="1" applyAlignment="1">
      <alignment horizontal="left" wrapText="1"/>
    </xf>
    <xf numFmtId="168" fontId="23" fillId="0" borderId="16" xfId="0" applyNumberFormat="1" applyFont="1" applyBorder="1" applyAlignment="1">
      <alignment horizontal="center" wrapText="1"/>
    </xf>
    <xf numFmtId="168" fontId="23" fillId="0" borderId="15" xfId="0" applyNumberFormat="1" applyFont="1" applyBorder="1" applyAlignment="1">
      <alignment horizontal="center" wrapText="1"/>
    </xf>
    <xf numFmtId="9" fontId="23" fillId="0" borderId="27" xfId="57" applyFont="1" applyBorder="1" applyAlignment="1">
      <alignment horizontal="center" wrapText="1"/>
    </xf>
    <xf numFmtId="168" fontId="23" fillId="20" borderId="18" xfId="0" applyNumberFormat="1" applyFont="1" applyFill="1" applyBorder="1" applyAlignment="1">
      <alignment horizontal="center" wrapText="1"/>
    </xf>
    <xf numFmtId="168" fontId="23" fillId="20" borderId="18" xfId="0" applyNumberFormat="1" applyFont="1" applyFill="1" applyBorder="1" applyAlignment="1">
      <alignment horizontal="left" wrapText="1"/>
    </xf>
    <xf numFmtId="168" fontId="23" fillId="0" borderId="18" xfId="0" applyNumberFormat="1" applyFont="1" applyBorder="1" applyAlignment="1">
      <alignment horizontal="center" wrapText="1"/>
    </xf>
    <xf numFmtId="0" fontId="21" fillId="0" borderId="8" xfId="0" applyFont="1" applyBorder="1" applyAlignment="1">
      <alignment horizontal="center" vertical="center"/>
    </xf>
    <xf numFmtId="0" fontId="23" fillId="0" borderId="8" xfId="0" applyFont="1" applyBorder="1" applyAlignment="1">
      <alignment horizontal="left" vertical="center"/>
    </xf>
    <xf numFmtId="168" fontId="23" fillId="0" borderId="8" xfId="0" applyNumberFormat="1" applyFont="1" applyBorder="1" applyAlignment="1">
      <alignment horizontal="center" wrapText="1"/>
    </xf>
    <xf numFmtId="43" fontId="23" fillId="0" borderId="28" xfId="42" applyFont="1" applyBorder="1" applyAlignment="1" applyProtection="1">
      <alignment/>
      <protection locked="0"/>
    </xf>
    <xf numFmtId="168" fontId="23" fillId="0" borderId="18" xfId="0" applyNumberFormat="1" applyFont="1" applyBorder="1" applyAlignment="1">
      <alignment horizontal="right" wrapText="1"/>
    </xf>
    <xf numFmtId="168" fontId="23" fillId="0" borderId="18" xfId="0" applyNumberFormat="1" applyFont="1" applyBorder="1" applyAlignment="1">
      <alignment horizontal="right"/>
    </xf>
    <xf numFmtId="9" fontId="23" fillId="0" borderId="18" xfId="57" applyFont="1" applyBorder="1" applyAlignment="1">
      <alignment horizontal="center"/>
    </xf>
    <xf numFmtId="168" fontId="29" fillId="0" borderId="8" xfId="0" applyNumberFormat="1" applyFont="1" applyBorder="1" applyAlignment="1">
      <alignment horizontal="center"/>
    </xf>
    <xf numFmtId="0" fontId="29" fillId="0" borderId="8" xfId="0" applyFont="1" applyBorder="1" applyAlignment="1">
      <alignment/>
    </xf>
    <xf numFmtId="5" fontId="29" fillId="0" borderId="8" xfId="0" applyNumberFormat="1" applyFont="1" applyBorder="1" applyAlignment="1">
      <alignment horizontal="right"/>
    </xf>
    <xf numFmtId="9" fontId="29" fillId="0" borderId="8" xfId="57" applyNumberFormat="1" applyFont="1" applyBorder="1" applyAlignment="1">
      <alignment horizontal="right"/>
    </xf>
    <xf numFmtId="37" fontId="29" fillId="0" borderId="8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168" fontId="23" fillId="0" borderId="8" xfId="0" applyNumberFormat="1" applyFont="1" applyFill="1" applyBorder="1" applyAlignment="1">
      <alignment horizontal="right"/>
    </xf>
    <xf numFmtId="168" fontId="23" fillId="0" borderId="8" xfId="0" applyNumberFormat="1" applyFont="1" applyFill="1" applyBorder="1" applyAlignment="1">
      <alignment horizontal="left" wrapText="1"/>
    </xf>
    <xf numFmtId="5" fontId="23" fillId="0" borderId="8" xfId="0" applyNumberFormat="1" applyFont="1" applyBorder="1" applyAlignment="1">
      <alignment horizontal="right"/>
    </xf>
    <xf numFmtId="9" fontId="23" fillId="0" borderId="8" xfId="57" applyNumberFormat="1" applyFont="1" applyBorder="1" applyAlignment="1">
      <alignment horizontal="right"/>
    </xf>
    <xf numFmtId="168" fontId="23" fillId="0" borderId="8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left" vertical="center"/>
    </xf>
    <xf numFmtId="0" fontId="23" fillId="0" borderId="8" xfId="0" applyFont="1" applyBorder="1" applyAlignment="1">
      <alignment horizontal="center"/>
    </xf>
    <xf numFmtId="0" fontId="23" fillId="0" borderId="8" xfId="0" applyFont="1" applyBorder="1" applyAlignment="1">
      <alignment wrapText="1"/>
    </xf>
    <xf numFmtId="9" fontId="23" fillId="0" borderId="8" xfId="57" applyFont="1" applyBorder="1" applyAlignment="1">
      <alignment horizontal="right"/>
    </xf>
    <xf numFmtId="37" fontId="23" fillId="0" borderId="8" xfId="0" applyNumberFormat="1" applyFont="1" applyFill="1" applyBorder="1" applyAlignment="1">
      <alignment horizontal="right"/>
    </xf>
    <xf numFmtId="168" fontId="23" fillId="0" borderId="26" xfId="0" applyNumberFormat="1" applyFont="1" applyBorder="1" applyAlignment="1">
      <alignment horizontal="center"/>
    </xf>
    <xf numFmtId="168" fontId="23" fillId="0" borderId="16" xfId="0" applyNumberFormat="1" applyFont="1" applyBorder="1" applyAlignment="1">
      <alignment horizontal="left"/>
    </xf>
    <xf numFmtId="168" fontId="23" fillId="20" borderId="18" xfId="0" applyNumberFormat="1" applyFont="1" applyFill="1" applyBorder="1" applyAlignment="1">
      <alignment horizontal="center"/>
    </xf>
    <xf numFmtId="168" fontId="23" fillId="20" borderId="29" xfId="0" applyNumberFormat="1" applyFont="1" applyFill="1" applyBorder="1" applyAlignment="1">
      <alignment horizontal="left"/>
    </xf>
    <xf numFmtId="168" fontId="23" fillId="20" borderId="30" xfId="0" applyNumberFormat="1" applyFont="1" applyFill="1" applyBorder="1" applyAlignment="1">
      <alignment horizontal="center" wrapText="1"/>
    </xf>
    <xf numFmtId="168" fontId="23" fillId="20" borderId="31" xfId="0" applyNumberFormat="1" applyFont="1" applyFill="1" applyBorder="1" applyAlignment="1">
      <alignment horizontal="center" wrapText="1"/>
    </xf>
    <xf numFmtId="9" fontId="23" fillId="20" borderId="29" xfId="57" applyFont="1" applyFill="1" applyBorder="1" applyAlignment="1">
      <alignment horizontal="center" wrapText="1"/>
    </xf>
    <xf numFmtId="0" fontId="22" fillId="0" borderId="8" xfId="0" applyFont="1" applyBorder="1" applyAlignment="1">
      <alignment horizontal="center" vertical="center"/>
    </xf>
    <xf numFmtId="43" fontId="23" fillId="0" borderId="18" xfId="42" applyFont="1" applyBorder="1" applyAlignment="1" applyProtection="1">
      <alignment horizontal="left" wrapText="1"/>
      <protection locked="0"/>
    </xf>
    <xf numFmtId="0" fontId="23" fillId="0" borderId="8" xfId="0" applyFont="1" applyBorder="1" applyAlignment="1">
      <alignment horizontal="center" vertical="center"/>
    </xf>
    <xf numFmtId="37" fontId="25" fillId="0" borderId="7" xfId="0" applyNumberFormat="1" applyFont="1" applyBorder="1" applyAlignment="1">
      <alignment horizontal="right"/>
    </xf>
    <xf numFmtId="168" fontId="26" fillId="0" borderId="7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25" fillId="0" borderId="32" xfId="0" applyFont="1" applyFill="1" applyBorder="1" applyAlignment="1">
      <alignment horizontal="center"/>
    </xf>
    <xf numFmtId="5" fontId="24" fillId="0" borderId="7" xfId="0" applyNumberFormat="1" applyFont="1" applyFill="1" applyBorder="1" applyAlignment="1">
      <alignment horizontal="right"/>
    </xf>
    <xf numFmtId="169" fontId="24" fillId="0" borderId="7" xfId="0" applyNumberFormat="1" applyFont="1" applyFill="1" applyBorder="1" applyAlignment="1">
      <alignment horizontal="right"/>
    </xf>
    <xf numFmtId="43" fontId="24" fillId="0" borderId="7" xfId="0" applyNumberFormat="1" applyFont="1" applyFill="1" applyBorder="1" applyAlignment="1">
      <alignment horizontal="right"/>
    </xf>
    <xf numFmtId="5" fontId="25" fillId="0" borderId="7" xfId="0" applyNumberFormat="1" applyFont="1" applyFill="1" applyBorder="1" applyAlignment="1">
      <alignment/>
    </xf>
    <xf numFmtId="168" fontId="24" fillId="0" borderId="7" xfId="0" applyNumberFormat="1" applyFont="1" applyFill="1" applyBorder="1" applyAlignment="1">
      <alignment horizontal="right"/>
    </xf>
    <xf numFmtId="5" fontId="25" fillId="0" borderId="7" xfId="0" applyNumberFormat="1" applyFont="1" applyFill="1" applyBorder="1" applyAlignment="1">
      <alignment/>
    </xf>
    <xf numFmtId="0" fontId="25" fillId="0" borderId="24" xfId="0" applyFont="1" applyFill="1" applyBorder="1" applyAlignment="1">
      <alignment horizontal="left"/>
    </xf>
    <xf numFmtId="37" fontId="25" fillId="0" borderId="7" xfId="0" applyNumberFormat="1" applyFont="1" applyFill="1" applyBorder="1" applyAlignment="1">
      <alignment/>
    </xf>
    <xf numFmtId="0" fontId="0" fillId="0" borderId="7" xfId="0" applyFill="1" applyBorder="1" applyAlignment="1">
      <alignment/>
    </xf>
    <xf numFmtId="5" fontId="24" fillId="0" borderId="7" xfId="0" applyNumberFormat="1" applyFont="1" applyFill="1" applyBorder="1" applyAlignment="1">
      <alignment/>
    </xf>
    <xf numFmtId="169" fontId="24" fillId="0" borderId="7" xfId="0" applyNumberFormat="1" applyFont="1" applyFill="1" applyBorder="1" applyAlignment="1">
      <alignment/>
    </xf>
    <xf numFmtId="1" fontId="24" fillId="0" borderId="7" xfId="0" applyNumberFormat="1" applyFont="1" applyFill="1" applyBorder="1" applyAlignment="1">
      <alignment/>
    </xf>
    <xf numFmtId="42" fontId="25" fillId="0" borderId="7" xfId="0" applyNumberFormat="1" applyFont="1" applyFill="1" applyBorder="1" applyAlignment="1">
      <alignment/>
    </xf>
    <xf numFmtId="42" fontId="25" fillId="0" borderId="7" xfId="0" applyNumberFormat="1" applyFont="1" applyFill="1" applyBorder="1" applyAlignment="1">
      <alignment/>
    </xf>
    <xf numFmtId="5" fontId="25" fillId="0" borderId="7" xfId="0" applyNumberFormat="1" applyFont="1" applyFill="1" applyBorder="1" applyAlignment="1">
      <alignment horizontal="right"/>
    </xf>
    <xf numFmtId="42" fontId="25" fillId="0" borderId="7" xfId="0" applyNumberFormat="1" applyFont="1" applyFill="1" applyBorder="1" applyAlignment="1">
      <alignment horizontal="right"/>
    </xf>
    <xf numFmtId="1" fontId="24" fillId="0" borderId="7" xfId="0" applyNumberFormat="1" applyFont="1" applyFill="1" applyBorder="1" applyAlignment="1">
      <alignment horizontal="right"/>
    </xf>
    <xf numFmtId="184" fontId="24" fillId="0" borderId="7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184" fontId="24" fillId="0" borderId="7" xfId="0" applyNumberFormat="1" applyFont="1" applyFill="1" applyBorder="1" applyAlignment="1">
      <alignment/>
    </xf>
    <xf numFmtId="0" fontId="25" fillId="0" borderId="3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9" fontId="0" fillId="0" borderId="0" xfId="57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168" fontId="26" fillId="0" borderId="8" xfId="0" applyNumberFormat="1" applyFont="1" applyBorder="1" applyAlignment="1">
      <alignment/>
    </xf>
    <xf numFmtId="168" fontId="26" fillId="0" borderId="8" xfId="0" applyNumberFormat="1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168" fontId="25" fillId="0" borderId="8" xfId="0" applyNumberFormat="1" applyFont="1" applyBorder="1" applyAlignment="1">
      <alignment wrapText="1"/>
    </xf>
    <xf numFmtId="3" fontId="25" fillId="0" borderId="8" xfId="42" applyNumberFormat="1" applyFont="1" applyBorder="1" applyAlignment="1">
      <alignment horizontal="right"/>
    </xf>
    <xf numFmtId="1" fontId="25" fillId="0" borderId="8" xfId="0" applyNumberFormat="1" applyFont="1" applyBorder="1" applyAlignment="1">
      <alignment horizontal="right"/>
    </xf>
    <xf numFmtId="176" fontId="25" fillId="0" borderId="8" xfId="57" applyNumberFormat="1" applyFont="1" applyBorder="1" applyAlignment="1">
      <alignment horizontal="right"/>
    </xf>
    <xf numFmtId="5" fontId="0" fillId="0" borderId="0" xfId="0" applyNumberFormat="1" applyFont="1" applyBorder="1" applyAlignment="1">
      <alignment/>
    </xf>
    <xf numFmtId="3" fontId="24" fillId="0" borderId="8" xfId="42" applyNumberFormat="1" applyFont="1" applyBorder="1" applyAlignment="1">
      <alignment horizontal="right"/>
    </xf>
    <xf numFmtId="176" fontId="24" fillId="0" borderId="8" xfId="57" applyNumberFormat="1" applyFont="1" applyBorder="1" applyAlignment="1">
      <alignment horizontal="right"/>
    </xf>
    <xf numFmtId="1" fontId="24" fillId="0" borderId="8" xfId="0" applyNumberFormat="1" applyFont="1" applyBorder="1" applyAlignment="1">
      <alignment horizontal="right"/>
    </xf>
    <xf numFmtId="37" fontId="24" fillId="0" borderId="8" xfId="42" applyNumberFormat="1" applyFont="1" applyBorder="1" applyAlignment="1">
      <alignment horizontal="right"/>
    </xf>
    <xf numFmtId="168" fontId="24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68" fontId="2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9" fontId="24" fillId="0" borderId="8" xfId="42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0" fillId="0" borderId="0" xfId="0" applyFont="1" applyBorder="1" applyAlignment="1">
      <alignment/>
    </xf>
    <xf numFmtId="168" fontId="24" fillId="0" borderId="8" xfId="0" applyNumberFormat="1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168" fontId="24" fillId="0" borderId="8" xfId="0" applyNumberFormat="1" applyFont="1" applyBorder="1" applyAlignment="1">
      <alignment/>
    </xf>
    <xf numFmtId="168" fontId="26" fillId="0" borderId="8" xfId="0" applyNumberFormat="1" applyFont="1" applyBorder="1" applyAlignment="1">
      <alignment horizontal="center"/>
    </xf>
    <xf numFmtId="9" fontId="25" fillId="0" borderId="8" xfId="42" applyNumberFormat="1" applyFont="1" applyBorder="1" applyAlignment="1">
      <alignment horizontal="right"/>
    </xf>
    <xf numFmtId="3" fontId="25" fillId="0" borderId="0" xfId="42" applyNumberFormat="1" applyFont="1" applyBorder="1" applyAlignment="1">
      <alignment horizontal="right"/>
    </xf>
    <xf numFmtId="9" fontId="25" fillId="0" borderId="8" xfId="42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/>
    </xf>
    <xf numFmtId="3" fontId="24" fillId="0" borderId="8" xfId="0" applyNumberFormat="1" applyFont="1" applyBorder="1" applyAlignment="1">
      <alignment horizontal="right"/>
    </xf>
    <xf numFmtId="37" fontId="25" fillId="0" borderId="0" xfId="0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/>
    </xf>
    <xf numFmtId="3" fontId="25" fillId="0" borderId="8" xfId="42" applyNumberFormat="1" applyFont="1" applyBorder="1" applyAlignment="1">
      <alignment horizontal="right"/>
    </xf>
    <xf numFmtId="168" fontId="25" fillId="0" borderId="8" xfId="0" applyNumberFormat="1" applyFont="1" applyBorder="1" applyAlignment="1">
      <alignment/>
    </xf>
    <xf numFmtId="170" fontId="25" fillId="0" borderId="8" xfId="0" applyNumberFormat="1" applyFont="1" applyBorder="1" applyAlignment="1">
      <alignment horizontal="right"/>
    </xf>
    <xf numFmtId="170" fontId="25" fillId="0" borderId="8" xfId="42" applyNumberFormat="1" applyFont="1" applyBorder="1" applyAlignment="1">
      <alignment horizontal="right"/>
    </xf>
    <xf numFmtId="170" fontId="24" fillId="0" borderId="8" xfId="42" applyNumberFormat="1" applyFont="1" applyBorder="1" applyAlignment="1">
      <alignment horizontal="right"/>
    </xf>
    <xf numFmtId="3" fontId="24" fillId="0" borderId="8" xfId="0" applyNumberFormat="1" applyFont="1" applyBorder="1" applyAlignment="1">
      <alignment horizontal="right"/>
    </xf>
    <xf numFmtId="37" fontId="24" fillId="0" borderId="0" xfId="0" applyNumberFormat="1" applyFont="1" applyBorder="1" applyAlignment="1">
      <alignment horizontal="right"/>
    </xf>
    <xf numFmtId="0" fontId="30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 horizontal="left"/>
      <protection locked="0"/>
    </xf>
    <xf numFmtId="168" fontId="30" fillId="0" borderId="0" xfId="0" applyNumberFormat="1" applyFont="1" applyAlignment="1" applyProtection="1">
      <alignment horizontal="left"/>
      <protection locked="0"/>
    </xf>
    <xf numFmtId="0" fontId="30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8" xfId="0" applyFont="1" applyBorder="1" applyAlignment="1" applyProtection="1">
      <alignment horizontal="center"/>
      <protection locked="0"/>
    </xf>
    <xf numFmtId="0" fontId="24" fillId="0" borderId="8" xfId="0" applyFont="1" applyBorder="1" applyAlignment="1" applyProtection="1">
      <alignment horizontal="left"/>
      <protection locked="0"/>
    </xf>
    <xf numFmtId="0" fontId="30" fillId="0" borderId="34" xfId="0" applyFont="1" applyBorder="1" applyAlignment="1" applyProtection="1">
      <alignment/>
      <protection locked="0"/>
    </xf>
    <xf numFmtId="0" fontId="30" fillId="0" borderId="0" xfId="0" applyFont="1" applyAlignment="1" applyProtection="1">
      <alignment horizontal="center"/>
      <protection locked="0"/>
    </xf>
    <xf numFmtId="0" fontId="30" fillId="0" borderId="0" xfId="0" applyFont="1" applyBorder="1" applyAlignment="1" applyProtection="1">
      <alignment horizontal="center"/>
      <protection locked="0"/>
    </xf>
    <xf numFmtId="0" fontId="32" fillId="0" borderId="8" xfId="0" applyFont="1" applyBorder="1" applyAlignment="1" applyProtection="1">
      <alignment horizontal="center"/>
      <protection locked="0"/>
    </xf>
    <xf numFmtId="0" fontId="32" fillId="0" borderId="34" xfId="0" applyFont="1" applyBorder="1" applyAlignment="1" applyProtection="1">
      <alignment horizontal="center"/>
      <protection locked="0"/>
    </xf>
    <xf numFmtId="0" fontId="33" fillId="0" borderId="8" xfId="0" applyFont="1" applyBorder="1" applyAlignment="1" applyProtection="1">
      <alignment horizontal="center"/>
      <protection locked="0"/>
    </xf>
    <xf numFmtId="0" fontId="33" fillId="0" borderId="8" xfId="0" applyFont="1" applyBorder="1" applyAlignment="1" applyProtection="1">
      <alignment horizontal="left"/>
      <protection locked="0"/>
    </xf>
    <xf numFmtId="0" fontId="33" fillId="0" borderId="18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left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6" fillId="0" borderId="0" xfId="0" applyFont="1" applyBorder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right"/>
      <protection locked="0"/>
    </xf>
    <xf numFmtId="169" fontId="30" fillId="0" borderId="0" xfId="0" applyNumberFormat="1" applyFont="1" applyFill="1" applyBorder="1" applyAlignment="1" applyProtection="1">
      <alignment horizontal="center"/>
      <protection locked="0"/>
    </xf>
    <xf numFmtId="9" fontId="30" fillId="0" borderId="0" xfId="57" applyNumberFormat="1" applyFont="1" applyFill="1" applyBorder="1" applyAlignment="1" applyProtection="1">
      <alignment horizontal="center"/>
      <protection locked="0"/>
    </xf>
    <xf numFmtId="5" fontId="30" fillId="0" borderId="0" xfId="0" applyNumberFormat="1" applyFont="1" applyFill="1" applyBorder="1" applyAlignment="1" applyProtection="1">
      <alignment horizontal="right"/>
      <protection locked="0"/>
    </xf>
    <xf numFmtId="9" fontId="30" fillId="0" borderId="0" xfId="57" applyNumberFormat="1" applyFont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35" fillId="0" borderId="0" xfId="0" applyFont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left"/>
      <protection locked="0"/>
    </xf>
    <xf numFmtId="0" fontId="36" fillId="0" borderId="0" xfId="0" applyFont="1" applyFill="1" applyBorder="1" applyAlignment="1" applyProtection="1">
      <alignment horizontal="left"/>
      <protection locked="0"/>
    </xf>
    <xf numFmtId="0" fontId="36" fillId="0" borderId="0" xfId="0" applyFont="1" applyFill="1" applyBorder="1" applyAlignment="1" applyProtection="1" quotePrefix="1">
      <alignment horizontal="left"/>
      <protection locked="0"/>
    </xf>
    <xf numFmtId="0" fontId="30" fillId="0" borderId="0" xfId="0" applyFont="1" applyFill="1" applyBorder="1" applyAlignment="1" applyProtection="1">
      <alignment horizontal="left" wrapText="1"/>
      <protection locked="0"/>
    </xf>
    <xf numFmtId="5" fontId="30" fillId="0" borderId="0" xfId="0" applyNumberFormat="1" applyFont="1" applyFill="1" applyBorder="1" applyAlignment="1" applyProtection="1">
      <alignment/>
      <protection locked="0"/>
    </xf>
    <xf numFmtId="9" fontId="30" fillId="0" borderId="0" xfId="57" applyNumberFormat="1" applyFont="1" applyFill="1" applyBorder="1" applyAlignment="1" applyProtection="1">
      <alignment/>
      <protection locked="0"/>
    </xf>
    <xf numFmtId="5" fontId="31" fillId="0" borderId="0" xfId="0" applyNumberFormat="1" applyFont="1" applyFill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 applyProtection="1" quotePrefix="1">
      <alignment horizontal="left" wrapText="1"/>
      <protection locked="0"/>
    </xf>
    <xf numFmtId="10" fontId="30" fillId="0" borderId="0" xfId="57" applyNumberFormat="1" applyFont="1" applyFill="1" applyBorder="1" applyAlignment="1" applyProtection="1">
      <alignment horizontal="right"/>
      <protection locked="0"/>
    </xf>
    <xf numFmtId="10" fontId="30" fillId="0" borderId="0" xfId="57" applyNumberFormat="1" applyFont="1" applyFill="1" applyBorder="1" applyAlignment="1" applyProtection="1">
      <alignment/>
      <protection locked="0"/>
    </xf>
    <xf numFmtId="9" fontId="31" fillId="0" borderId="0" xfId="57" applyFont="1" applyFill="1" applyBorder="1" applyAlignment="1" applyProtection="1">
      <alignment horizontal="right"/>
      <protection locked="0"/>
    </xf>
    <xf numFmtId="37" fontId="30" fillId="0" borderId="0" xfId="0" applyNumberFormat="1" applyFont="1" applyFill="1" applyBorder="1" applyAlignment="1" applyProtection="1">
      <alignment/>
      <protection locked="0"/>
    </xf>
    <xf numFmtId="37" fontId="31" fillId="0" borderId="0" xfId="0" applyNumberFormat="1" applyFont="1" applyFill="1" applyBorder="1" applyAlignment="1" applyProtection="1">
      <alignment/>
      <protection locked="0"/>
    </xf>
    <xf numFmtId="9" fontId="30" fillId="0" borderId="0" xfId="57" applyFont="1" applyFill="1" applyBorder="1" applyAlignment="1" applyProtection="1">
      <alignment horizontal="right"/>
      <protection locked="0"/>
    </xf>
    <xf numFmtId="171" fontId="30" fillId="0" borderId="0" xfId="0" applyNumberFormat="1" applyFont="1" applyFill="1" applyBorder="1" applyAlignment="1" applyProtection="1">
      <alignment/>
      <protection locked="0"/>
    </xf>
    <xf numFmtId="172" fontId="30" fillId="0" borderId="0" xfId="0" applyNumberFormat="1" applyFont="1" applyFill="1" applyBorder="1" applyAlignment="1" applyProtection="1">
      <alignment/>
      <protection locked="0"/>
    </xf>
    <xf numFmtId="173" fontId="31" fillId="0" borderId="0" xfId="0" applyNumberFormat="1" applyFont="1" applyFill="1" applyBorder="1" applyAlignment="1" applyProtection="1">
      <alignment/>
      <protection locked="0"/>
    </xf>
    <xf numFmtId="37" fontId="30" fillId="0" borderId="0" xfId="0" applyNumberFormat="1" applyFont="1" applyFill="1" applyBorder="1" applyAlignment="1" applyProtection="1">
      <alignment horizontal="right"/>
      <protection locked="0"/>
    </xf>
    <xf numFmtId="174" fontId="30" fillId="0" borderId="0" xfId="0" applyNumberFormat="1" applyFont="1" applyFill="1" applyBorder="1" applyAlignment="1" applyProtection="1">
      <alignment/>
      <protection locked="0"/>
    </xf>
    <xf numFmtId="173" fontId="30" fillId="0" borderId="0" xfId="0" applyNumberFormat="1" applyFont="1" applyFill="1" applyBorder="1" applyAlignment="1" applyProtection="1">
      <alignment horizontal="right"/>
      <protection locked="0"/>
    </xf>
    <xf numFmtId="7" fontId="30" fillId="0" borderId="0" xfId="0" applyNumberFormat="1" applyFont="1" applyFill="1" applyBorder="1" applyAlignment="1" applyProtection="1">
      <alignment/>
      <protection locked="0"/>
    </xf>
    <xf numFmtId="175" fontId="30" fillId="0" borderId="0" xfId="42" applyNumberFormat="1" applyFont="1" applyFill="1" applyBorder="1" applyAlignment="1" applyProtection="1">
      <alignment/>
      <protection locked="0"/>
    </xf>
    <xf numFmtId="169" fontId="30" fillId="0" borderId="0" xfId="0" applyNumberFormat="1" applyFont="1" applyFill="1" applyBorder="1" applyAlignment="1" applyProtection="1">
      <alignment/>
      <protection locked="0"/>
    </xf>
    <xf numFmtId="169" fontId="31" fillId="0" borderId="0" xfId="0" applyNumberFormat="1" applyFont="1" applyFill="1" applyBorder="1" applyAlignment="1" applyProtection="1">
      <alignment/>
      <protection locked="0"/>
    </xf>
    <xf numFmtId="43" fontId="30" fillId="0" borderId="0" xfId="42" applyFont="1" applyFill="1" applyBorder="1" applyAlignment="1" applyProtection="1">
      <alignment horizontal="right"/>
      <protection locked="0"/>
    </xf>
    <xf numFmtId="169" fontId="30" fillId="0" borderId="0" xfId="0" applyNumberFormat="1" applyFont="1" applyFill="1" applyBorder="1" applyAlignment="1" applyProtection="1">
      <alignment horizontal="right"/>
      <protection locked="0"/>
    </xf>
    <xf numFmtId="9" fontId="31" fillId="0" borderId="0" xfId="57" applyFont="1" applyFill="1" applyBorder="1" applyAlignment="1" applyProtection="1">
      <alignment/>
      <protection locked="0"/>
    </xf>
    <xf numFmtId="0" fontId="30" fillId="0" borderId="28" xfId="0" applyFont="1" applyFill="1" applyBorder="1" applyAlignment="1" applyProtection="1">
      <alignment horizontal="center"/>
      <protection locked="0"/>
    </xf>
    <xf numFmtId="176" fontId="30" fillId="0" borderId="0" xfId="57" applyNumberFormat="1" applyFont="1" applyFill="1" applyBorder="1" applyAlignment="1" applyProtection="1">
      <alignment/>
      <protection locked="0"/>
    </xf>
    <xf numFmtId="176" fontId="31" fillId="0" borderId="0" xfId="57" applyNumberFormat="1" applyFont="1" applyFill="1" applyBorder="1" applyAlignment="1" applyProtection="1">
      <alignment/>
      <protection locked="0"/>
    </xf>
    <xf numFmtId="176" fontId="30" fillId="0" borderId="0" xfId="57" applyNumberFormat="1" applyFont="1" applyFill="1" applyBorder="1" applyAlignment="1" applyProtection="1">
      <alignment horizontal="right"/>
      <protection locked="0"/>
    </xf>
    <xf numFmtId="5" fontId="31" fillId="0" borderId="0" xfId="0" applyNumberFormat="1" applyFont="1" applyFill="1" applyBorder="1" applyAlignment="1" applyProtection="1">
      <alignment horizontal="right"/>
      <protection locked="0"/>
    </xf>
    <xf numFmtId="37" fontId="31" fillId="0" borderId="0" xfId="0" applyNumberFormat="1" applyFont="1" applyFill="1" applyBorder="1" applyAlignment="1" applyProtection="1">
      <alignment horizontal="right"/>
      <protection locked="0"/>
    </xf>
    <xf numFmtId="5" fontId="30" fillId="0" borderId="0" xfId="57" applyNumberFormat="1" applyFont="1" applyFill="1" applyBorder="1" applyAlignment="1" applyProtection="1">
      <alignment/>
      <protection locked="0"/>
    </xf>
    <xf numFmtId="5" fontId="31" fillId="0" borderId="0" xfId="57" applyNumberFormat="1" applyFont="1" applyFill="1" applyBorder="1" applyAlignment="1" applyProtection="1">
      <alignment/>
      <protection locked="0"/>
    </xf>
    <xf numFmtId="5" fontId="30" fillId="0" borderId="0" xfId="57" applyNumberFormat="1" applyFont="1" applyFill="1" applyBorder="1" applyAlignment="1" applyProtection="1">
      <alignment horizontal="right"/>
      <protection locked="0"/>
    </xf>
    <xf numFmtId="39" fontId="30" fillId="0" borderId="0" xfId="0" applyNumberFormat="1" applyFont="1" applyFill="1" applyBorder="1" applyAlignment="1" applyProtection="1">
      <alignment horizontal="right"/>
      <protection locked="0"/>
    </xf>
    <xf numFmtId="9" fontId="30" fillId="0" borderId="0" xfId="57" applyNumberFormat="1" applyFont="1" applyFill="1" applyBorder="1" applyAlignment="1" applyProtection="1">
      <alignment horizontal="right"/>
      <protection locked="0"/>
    </xf>
    <xf numFmtId="39" fontId="31" fillId="0" borderId="0" xfId="0" applyNumberFormat="1" applyFont="1" applyFill="1" applyBorder="1" applyAlignment="1" applyProtection="1">
      <alignment/>
      <protection locked="0"/>
    </xf>
    <xf numFmtId="0" fontId="36" fillId="0" borderId="0" xfId="0" applyFont="1" applyBorder="1" applyAlignment="1" applyProtection="1">
      <alignment horizontal="left"/>
      <protection locked="0"/>
    </xf>
    <xf numFmtId="6" fontId="30" fillId="0" borderId="0" xfId="44" applyNumberFormat="1" applyFont="1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5" fontId="30" fillId="0" borderId="0" xfId="44" applyNumberFormat="1" applyFont="1" applyBorder="1" applyAlignment="1" applyProtection="1">
      <alignment/>
      <protection locked="0"/>
    </xf>
    <xf numFmtId="9" fontId="30" fillId="0" borderId="0" xfId="57" applyNumberFormat="1" applyFont="1" applyBorder="1" applyAlignment="1" applyProtection="1">
      <alignment/>
      <protection locked="0"/>
    </xf>
    <xf numFmtId="5" fontId="37" fillId="0" borderId="0" xfId="44" applyNumberFormat="1" applyFont="1" applyBorder="1" applyAlignment="1" applyProtection="1">
      <alignment/>
      <protection locked="0"/>
    </xf>
    <xf numFmtId="6" fontId="30" fillId="0" borderId="0" xfId="44" applyNumberFormat="1" applyFont="1" applyBorder="1" applyAlignment="1" applyProtection="1">
      <alignment horizontal="right"/>
      <protection locked="0"/>
    </xf>
    <xf numFmtId="5" fontId="30" fillId="0" borderId="0" xfId="44" applyNumberFormat="1" applyFont="1" applyBorder="1" applyAlignment="1" applyProtection="1">
      <alignment horizontal="right"/>
      <protection locked="0"/>
    </xf>
    <xf numFmtId="10" fontId="30" fillId="0" borderId="0" xfId="57" applyNumberFormat="1" applyFont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left"/>
      <protection locked="0"/>
    </xf>
    <xf numFmtId="0" fontId="30" fillId="0" borderId="0" xfId="0" applyFont="1" applyFill="1" applyBorder="1" applyAlignment="1" applyProtection="1">
      <alignment/>
      <protection locked="0"/>
    </xf>
    <xf numFmtId="9" fontId="30" fillId="0" borderId="0" xfId="0" applyNumberFormat="1" applyFont="1" applyFill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7" fontId="30" fillId="0" borderId="0" xfId="0" applyNumberFormat="1" applyFont="1" applyFill="1" applyBorder="1" applyAlignment="1" applyProtection="1">
      <alignment horizontal="right"/>
      <protection locked="0"/>
    </xf>
    <xf numFmtId="169" fontId="31" fillId="0" borderId="0" xfId="0" applyNumberFormat="1" applyFont="1" applyFill="1" applyBorder="1" applyAlignment="1" applyProtection="1">
      <alignment horizontal="right"/>
      <protection locked="0"/>
    </xf>
    <xf numFmtId="7" fontId="31" fillId="0" borderId="0" xfId="0" applyNumberFormat="1" applyFont="1" applyFill="1" applyBorder="1" applyAlignment="1" applyProtection="1">
      <alignment/>
      <protection locked="0"/>
    </xf>
    <xf numFmtId="0" fontId="30" fillId="0" borderId="0" xfId="0" applyFont="1" applyFill="1" applyAlignment="1" applyProtection="1">
      <alignment horizontal="center"/>
      <protection locked="0"/>
    </xf>
    <xf numFmtId="9" fontId="30" fillId="0" borderId="0" xfId="57" applyFont="1" applyFill="1" applyBorder="1" applyAlignment="1" applyProtection="1">
      <alignment/>
      <protection locked="0"/>
    </xf>
    <xf numFmtId="177" fontId="31" fillId="0" borderId="0" xfId="0" applyNumberFormat="1" applyFont="1" applyFill="1" applyBorder="1" applyAlignment="1" applyProtection="1">
      <alignment/>
      <protection locked="0"/>
    </xf>
    <xf numFmtId="177" fontId="30" fillId="0" borderId="0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178" fontId="30" fillId="0" borderId="0" xfId="42" applyNumberFormat="1" applyFont="1" applyFill="1" applyBorder="1" applyAlignment="1" applyProtection="1">
      <alignment/>
      <protection locked="0"/>
    </xf>
    <xf numFmtId="178" fontId="31" fillId="0" borderId="0" xfId="42" applyNumberFormat="1" applyFont="1" applyFill="1" applyBorder="1" applyAlignment="1" applyProtection="1">
      <alignment/>
      <protection locked="0"/>
    </xf>
    <xf numFmtId="178" fontId="30" fillId="0" borderId="0" xfId="42" applyNumberFormat="1" applyFont="1" applyFill="1" applyBorder="1" applyAlignment="1" applyProtection="1">
      <alignment horizontal="right"/>
      <protection locked="0"/>
    </xf>
    <xf numFmtId="37" fontId="39" fillId="0" borderId="0" xfId="0" applyNumberFormat="1" applyFont="1" applyFill="1" applyBorder="1" applyAlignment="1" applyProtection="1">
      <alignment/>
      <protection locked="0"/>
    </xf>
    <xf numFmtId="7" fontId="30" fillId="0" borderId="0" xfId="0" applyNumberFormat="1" applyFont="1" applyFill="1" applyBorder="1" applyAlignment="1" applyProtection="1">
      <alignment horizontal="left"/>
      <protection locked="0"/>
    </xf>
    <xf numFmtId="5" fontId="30" fillId="0" borderId="0" xfId="44" applyNumberFormat="1" applyFont="1" applyFill="1" applyBorder="1" applyAlignment="1" applyProtection="1">
      <alignment/>
      <protection locked="0"/>
    </xf>
    <xf numFmtId="5" fontId="31" fillId="0" borderId="0" xfId="44" applyNumberFormat="1" applyFont="1" applyFill="1" applyBorder="1" applyAlignment="1" applyProtection="1">
      <alignment/>
      <protection locked="0"/>
    </xf>
    <xf numFmtId="5" fontId="30" fillId="0" borderId="0" xfId="44" applyNumberFormat="1" applyFont="1" applyFill="1" applyBorder="1" applyAlignment="1" applyProtection="1">
      <alignment horizontal="right"/>
      <protection locked="0"/>
    </xf>
    <xf numFmtId="39" fontId="31" fillId="0" borderId="0" xfId="0" applyNumberFormat="1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 horizontal="left"/>
      <protection locked="0"/>
    </xf>
    <xf numFmtId="5" fontId="30" fillId="0" borderId="0" xfId="0" applyNumberFormat="1" applyFont="1" applyBorder="1" applyAlignment="1" applyProtection="1">
      <alignment/>
      <protection locked="0"/>
    </xf>
    <xf numFmtId="5" fontId="31" fillId="0" borderId="0" xfId="0" applyNumberFormat="1" applyFont="1" applyBorder="1" applyAlignment="1" applyProtection="1">
      <alignment/>
      <protection locked="0"/>
    </xf>
    <xf numFmtId="5" fontId="30" fillId="0" borderId="0" xfId="0" applyNumberFormat="1" applyFont="1" applyBorder="1" applyAlignment="1" applyProtection="1">
      <alignment horizontal="right"/>
      <protection locked="0"/>
    </xf>
    <xf numFmtId="7" fontId="30" fillId="0" borderId="0" xfId="57" applyNumberFormat="1" applyFont="1" applyFill="1" applyBorder="1" applyAlignment="1" applyProtection="1">
      <alignment/>
      <protection locked="0"/>
    </xf>
    <xf numFmtId="43" fontId="31" fillId="0" borderId="0" xfId="42" applyFont="1" applyFill="1" applyBorder="1" applyAlignment="1" applyProtection="1">
      <alignment horizontal="right"/>
      <protection locked="0"/>
    </xf>
    <xf numFmtId="2" fontId="30" fillId="0" borderId="0" xfId="0" applyNumberFormat="1" applyFont="1" applyAlignment="1" applyProtection="1">
      <alignment horizontal="right"/>
      <protection locked="0"/>
    </xf>
    <xf numFmtId="5" fontId="40" fillId="0" borderId="0" xfId="44" applyNumberFormat="1" applyFont="1" applyBorder="1" applyAlignment="1" applyProtection="1">
      <alignment/>
      <protection locked="0"/>
    </xf>
    <xf numFmtId="0" fontId="30" fillId="0" borderId="0" xfId="0" applyFont="1" applyBorder="1" applyAlignment="1" applyProtection="1" quotePrefix="1">
      <alignment horizontal="left"/>
      <protection locked="0"/>
    </xf>
    <xf numFmtId="0" fontId="38" fillId="0" borderId="0" xfId="0" applyFont="1" applyAlignment="1" applyProtection="1">
      <alignment horizontal="center"/>
      <protection locked="0"/>
    </xf>
    <xf numFmtId="37" fontId="37" fillId="0" borderId="0" xfId="0" applyNumberFormat="1" applyFont="1" applyFill="1" applyBorder="1" applyAlignment="1" applyProtection="1">
      <alignment/>
      <protection locked="0"/>
    </xf>
    <xf numFmtId="172" fontId="30" fillId="0" borderId="0" xfId="42" applyNumberFormat="1" applyFont="1" applyFill="1" applyBorder="1" applyAlignment="1" applyProtection="1">
      <alignment/>
      <protection locked="0"/>
    </xf>
    <xf numFmtId="179" fontId="31" fillId="0" borderId="0" xfId="42" applyNumberFormat="1" applyFont="1" applyFill="1" applyBorder="1" applyAlignment="1" applyProtection="1">
      <alignment/>
      <protection locked="0"/>
    </xf>
    <xf numFmtId="179" fontId="30" fillId="0" borderId="0" xfId="42" applyNumberFormat="1" applyFont="1" applyFill="1" applyBorder="1" applyAlignment="1" applyProtection="1">
      <alignment horizontal="right"/>
      <protection locked="0"/>
    </xf>
    <xf numFmtId="178" fontId="30" fillId="0" borderId="0" xfId="57" applyNumberFormat="1" applyFont="1" applyFill="1" applyBorder="1" applyAlignment="1" applyProtection="1">
      <alignment horizontal="right"/>
      <protection locked="0"/>
    </xf>
    <xf numFmtId="178" fontId="37" fillId="0" borderId="0" xfId="42" applyNumberFormat="1" applyFont="1" applyBorder="1" applyAlignment="1" applyProtection="1">
      <alignment/>
      <protection locked="0"/>
    </xf>
    <xf numFmtId="0" fontId="34" fillId="0" borderId="0" xfId="0" applyFont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 applyProtection="1" quotePrefix="1">
      <alignment horizontal="left"/>
      <protection locked="0"/>
    </xf>
    <xf numFmtId="5" fontId="37" fillId="0" borderId="0" xfId="0" applyNumberFormat="1" applyFont="1" applyFill="1" applyBorder="1" applyAlignment="1" applyProtection="1">
      <alignment horizontal="right"/>
      <protection locked="0"/>
    </xf>
    <xf numFmtId="180" fontId="30" fillId="0" borderId="0" xfId="42" applyNumberFormat="1" applyFont="1" applyFill="1" applyBorder="1" applyAlignment="1" applyProtection="1">
      <alignment horizontal="right"/>
      <protection locked="0"/>
    </xf>
    <xf numFmtId="181" fontId="31" fillId="0" borderId="0" xfId="42" applyNumberFormat="1" applyFont="1" applyFill="1" applyBorder="1" applyAlignment="1" applyProtection="1">
      <alignment horizontal="right"/>
      <protection locked="0"/>
    </xf>
    <xf numFmtId="181" fontId="30" fillId="0" borderId="0" xfId="42" applyNumberFormat="1" applyFont="1" applyFill="1" applyBorder="1" applyAlignment="1" applyProtection="1">
      <alignment horizontal="right"/>
      <protection locked="0"/>
    </xf>
    <xf numFmtId="0" fontId="41" fillId="0" borderId="0" xfId="0" applyNumberFormat="1" applyFont="1" applyFill="1" applyBorder="1" applyAlignment="1" applyProtection="1">
      <alignment/>
      <protection/>
    </xf>
    <xf numFmtId="5" fontId="38" fillId="0" borderId="0" xfId="0" applyNumberFormat="1" applyFont="1" applyFill="1" applyBorder="1" applyAlignment="1" applyProtection="1">
      <alignment horizontal="right"/>
      <protection locked="0"/>
    </xf>
    <xf numFmtId="0" fontId="42" fillId="0" borderId="0" xfId="0" applyFont="1" applyBorder="1" applyAlignment="1" applyProtection="1">
      <alignment/>
      <protection locked="0"/>
    </xf>
    <xf numFmtId="5" fontId="30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Font="1" applyBorder="1" applyAlignment="1">
      <alignment vertical="top"/>
    </xf>
    <xf numFmtId="0" fontId="38" fillId="0" borderId="0" xfId="0" applyFont="1" applyBorder="1" applyAlignment="1" applyProtection="1">
      <alignment horizontal="left"/>
      <protection locked="0"/>
    </xf>
    <xf numFmtId="9" fontId="30" fillId="0" borderId="0" xfId="57" applyFont="1" applyFill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 horizontal="center"/>
      <protection locked="0"/>
    </xf>
    <xf numFmtId="168" fontId="30" fillId="0" borderId="0" xfId="0" applyNumberFormat="1" applyFont="1" applyBorder="1" applyAlignment="1" applyProtection="1">
      <alignment horizontal="left"/>
      <protection locked="0"/>
    </xf>
    <xf numFmtId="10" fontId="30" fillId="0" borderId="0" xfId="0" applyNumberFormat="1" applyFont="1" applyBorder="1" applyAlignment="1">
      <alignment horizontal="center"/>
    </xf>
    <xf numFmtId="10" fontId="30" fillId="0" borderId="0" xfId="0" applyNumberFormat="1" applyFont="1" applyFill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/>
      <protection locked="0"/>
    </xf>
    <xf numFmtId="0" fontId="42" fillId="0" borderId="0" xfId="0" applyFont="1" applyBorder="1" applyAlignment="1" applyProtection="1">
      <alignment horizontal="right"/>
      <protection locked="0"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left"/>
      <protection locked="0"/>
    </xf>
    <xf numFmtId="5" fontId="30" fillId="0" borderId="0" xfId="44" applyNumberFormat="1" applyFont="1" applyBorder="1" applyAlignment="1" applyProtection="1">
      <alignment horizontal="left"/>
      <protection locked="0"/>
    </xf>
    <xf numFmtId="37" fontId="30" fillId="0" borderId="0" xfId="44" applyNumberFormat="1" applyFont="1" applyBorder="1" applyAlignment="1" applyProtection="1">
      <alignment horizontal="left"/>
      <protection locked="0"/>
    </xf>
    <xf numFmtId="37" fontId="30" fillId="0" borderId="0" xfId="44" applyNumberFormat="1" applyFont="1" applyBorder="1" applyAlignment="1" applyProtection="1">
      <alignment/>
      <protection locked="0"/>
    </xf>
    <xf numFmtId="173" fontId="30" fillId="0" borderId="0" xfId="0" applyNumberFormat="1" applyFont="1" applyFill="1" applyBorder="1" applyAlignment="1" applyProtection="1">
      <alignment horizontal="left"/>
      <protection locked="0"/>
    </xf>
    <xf numFmtId="173" fontId="30" fillId="0" borderId="0" xfId="0" applyNumberFormat="1" applyFont="1" applyFill="1" applyBorder="1" applyAlignment="1" applyProtection="1">
      <alignment/>
      <protection locked="0"/>
    </xf>
    <xf numFmtId="177" fontId="30" fillId="0" borderId="0" xfId="0" applyNumberFormat="1" applyFont="1" applyFill="1" applyBorder="1" applyAlignment="1" applyProtection="1">
      <alignment/>
      <protection locked="0"/>
    </xf>
    <xf numFmtId="37" fontId="30" fillId="0" borderId="0" xfId="0" applyNumberFormat="1" applyFont="1" applyFill="1" applyBorder="1" applyAlignment="1" applyProtection="1">
      <alignment horizontal="left"/>
      <protection locked="0"/>
    </xf>
    <xf numFmtId="43" fontId="30" fillId="0" borderId="0" xfId="42" applyFont="1" applyFill="1" applyBorder="1" applyAlignment="1" applyProtection="1">
      <alignment horizontal="left"/>
      <protection locked="0"/>
    </xf>
    <xf numFmtId="43" fontId="30" fillId="0" borderId="0" xfId="42" applyFont="1" applyFill="1" applyBorder="1" applyAlignment="1" applyProtection="1">
      <alignment/>
      <protection locked="0"/>
    </xf>
    <xf numFmtId="169" fontId="30" fillId="0" borderId="0" xfId="0" applyNumberFormat="1" applyFont="1" applyFill="1" applyBorder="1" applyAlignment="1" applyProtection="1">
      <alignment horizontal="left"/>
      <protection locked="0"/>
    </xf>
    <xf numFmtId="168" fontId="30" fillId="0" borderId="0" xfId="42" applyNumberFormat="1" applyFont="1" applyBorder="1" applyAlignment="1" applyProtection="1">
      <alignment horizontal="left"/>
      <protection locked="0"/>
    </xf>
    <xf numFmtId="37" fontId="30" fillId="0" borderId="0" xfId="42" applyNumberFormat="1" applyFont="1" applyBorder="1" applyAlignment="1" applyProtection="1">
      <alignment/>
      <protection locked="0"/>
    </xf>
    <xf numFmtId="37" fontId="37" fillId="0" borderId="0" xfId="42" applyNumberFormat="1" applyFont="1" applyBorder="1" applyAlignment="1" applyProtection="1">
      <alignment/>
      <protection locked="0"/>
    </xf>
    <xf numFmtId="177" fontId="30" fillId="0" borderId="0" xfId="42" applyNumberFormat="1" applyFont="1" applyBorder="1" applyAlignment="1" applyProtection="1">
      <alignment/>
      <protection locked="0"/>
    </xf>
    <xf numFmtId="176" fontId="30" fillId="0" borderId="0" xfId="57" applyNumberFormat="1" applyFont="1" applyFill="1" applyBorder="1" applyAlignment="1" applyProtection="1">
      <alignment horizontal="left"/>
      <protection locked="0"/>
    </xf>
    <xf numFmtId="168" fontId="30" fillId="0" borderId="0" xfId="0" applyNumberFormat="1" applyFont="1" applyFill="1" applyBorder="1" applyAlignment="1" applyProtection="1">
      <alignment horizontal="left"/>
      <protection locked="0"/>
    </xf>
    <xf numFmtId="5" fontId="30" fillId="0" borderId="0" xfId="57" applyNumberFormat="1" applyFont="1" applyFill="1" applyBorder="1" applyAlignment="1" applyProtection="1">
      <alignment horizontal="left"/>
      <protection locked="0"/>
    </xf>
    <xf numFmtId="39" fontId="30" fillId="0" borderId="0" xfId="0" applyNumberFormat="1" applyFont="1" applyFill="1" applyBorder="1" applyAlignment="1" applyProtection="1">
      <alignment horizontal="left"/>
      <protection locked="0"/>
    </xf>
    <xf numFmtId="39" fontId="30" fillId="0" borderId="0" xfId="0" applyNumberFormat="1" applyFont="1" applyFill="1" applyBorder="1" applyAlignment="1" applyProtection="1">
      <alignment/>
      <protection locked="0"/>
    </xf>
    <xf numFmtId="9" fontId="30" fillId="0" borderId="0" xfId="57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 horizontal="centerContinuous"/>
      <protection locked="0"/>
    </xf>
    <xf numFmtId="0" fontId="24" fillId="0" borderId="0" xfId="0" applyFont="1" applyBorder="1" applyAlignment="1">
      <alignment horizontal="centerContinuous"/>
    </xf>
    <xf numFmtId="168" fontId="32" fillId="0" borderId="8" xfId="0" applyNumberFormat="1" applyFont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center"/>
      <protection locked="0"/>
    </xf>
    <xf numFmtId="0" fontId="26" fillId="0" borderId="18" xfId="0" applyFont="1" applyBorder="1" applyAlignment="1">
      <alignment horizontal="left"/>
    </xf>
    <xf numFmtId="0" fontId="24" fillId="0" borderId="18" xfId="0" applyFont="1" applyBorder="1" applyAlignment="1" applyProtection="1">
      <alignment horizontal="center" wrapText="1"/>
      <protection locked="0"/>
    </xf>
    <xf numFmtId="0" fontId="32" fillId="0" borderId="18" xfId="0" applyFont="1" applyBorder="1" applyAlignment="1" applyProtection="1">
      <alignment horizontal="center" wrapText="1"/>
      <protection locked="0"/>
    </xf>
    <xf numFmtId="0" fontId="33" fillId="0" borderId="18" xfId="0" applyFont="1" applyBorder="1" applyAlignment="1" applyProtection="1">
      <alignment horizontal="center"/>
      <protection locked="0"/>
    </xf>
    <xf numFmtId="0" fontId="33" fillId="0" borderId="18" xfId="0" applyFont="1" applyBorder="1" applyAlignment="1">
      <alignment horizontal="left"/>
    </xf>
    <xf numFmtId="0" fontId="32" fillId="0" borderId="18" xfId="0" applyFont="1" applyBorder="1" applyAlignment="1" applyProtection="1">
      <alignment horizontal="center"/>
      <protection locked="0"/>
    </xf>
    <xf numFmtId="0" fontId="0" fillId="0" borderId="8" xfId="0" applyFont="1" applyBorder="1" applyAlignment="1">
      <alignment/>
    </xf>
    <xf numFmtId="0" fontId="28" fillId="0" borderId="8" xfId="0" applyFont="1" applyBorder="1" applyAlignment="1">
      <alignment horizontal="center" vertical="top"/>
    </xf>
    <xf numFmtId="0" fontId="26" fillId="0" borderId="8" xfId="0" applyFont="1" applyBorder="1" applyAlignment="1">
      <alignment/>
    </xf>
    <xf numFmtId="0" fontId="30" fillId="0" borderId="8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32" fillId="0" borderId="8" xfId="0" applyFont="1" applyBorder="1" applyAlignment="1">
      <alignment horizontal="center" vertical="top"/>
    </xf>
    <xf numFmtId="0" fontId="33" fillId="0" borderId="8" xfId="0" applyFont="1" applyBorder="1" applyAlignment="1">
      <alignment vertical="top"/>
    </xf>
    <xf numFmtId="0" fontId="0" fillId="0" borderId="8" xfId="0" applyFont="1" applyBorder="1" applyAlignment="1" applyProtection="1">
      <alignment/>
      <protection locked="0"/>
    </xf>
    <xf numFmtId="0" fontId="0" fillId="0" borderId="8" xfId="0" applyFont="1" applyBorder="1" applyAlignment="1">
      <alignment vertical="top" wrapText="1"/>
    </xf>
    <xf numFmtId="0" fontId="0" fillId="0" borderId="8" xfId="0" applyFont="1" applyBorder="1" applyAlignment="1">
      <alignment horizontal="center" vertical="top"/>
    </xf>
    <xf numFmtId="6" fontId="0" fillId="0" borderId="8" xfId="0" applyNumberFormat="1" applyFont="1" applyBorder="1" applyAlignment="1">
      <alignment horizontal="right" vertical="top"/>
    </xf>
    <xf numFmtId="6" fontId="0" fillId="0" borderId="8" xfId="0" applyNumberFormat="1" applyFont="1" applyBorder="1" applyAlignment="1">
      <alignment vertical="top"/>
    </xf>
    <xf numFmtId="38" fontId="0" fillId="0" borderId="8" xfId="0" applyNumberFormat="1" applyFont="1" applyBorder="1" applyAlignment="1">
      <alignment horizontal="right" vertical="top"/>
    </xf>
    <xf numFmtId="0" fontId="32" fillId="0" borderId="8" xfId="0" applyFont="1" applyBorder="1" applyAlignment="1">
      <alignment vertical="top" wrapText="1"/>
    </xf>
    <xf numFmtId="6" fontId="32" fillId="0" borderId="8" xfId="0" applyNumberFormat="1" applyFont="1" applyBorder="1" applyAlignment="1">
      <alignment vertical="top"/>
    </xf>
    <xf numFmtId="38" fontId="0" fillId="0" borderId="8" xfId="0" applyNumberFormat="1" applyFont="1" applyBorder="1" applyAlignment="1">
      <alignment vertical="top"/>
    </xf>
    <xf numFmtId="0" fontId="30" fillId="0" borderId="8" xfId="0" applyFont="1" applyBorder="1" applyAlignment="1" applyProtection="1">
      <alignment horizontal="left"/>
      <protection locked="0"/>
    </xf>
    <xf numFmtId="0" fontId="30" fillId="0" borderId="8" xfId="0" applyFont="1" applyBorder="1" applyAlignment="1" applyProtection="1">
      <alignment/>
      <protection locked="0"/>
    </xf>
    <xf numFmtId="0" fontId="33" fillId="0" borderId="8" xfId="0" applyFont="1" applyBorder="1" applyAlignment="1" applyProtection="1">
      <alignment/>
      <protection locked="0"/>
    </xf>
    <xf numFmtId="0" fontId="33" fillId="0" borderId="8" xfId="0" applyFont="1" applyBorder="1" applyAlignment="1">
      <alignment/>
    </xf>
    <xf numFmtId="10" fontId="0" fillId="0" borderId="8" xfId="57" applyNumberFormat="1" applyFont="1" applyBorder="1" applyAlignment="1">
      <alignment vertical="top"/>
    </xf>
    <xf numFmtId="10" fontId="32" fillId="0" borderId="8" xfId="0" applyNumberFormat="1" applyFont="1" applyBorder="1" applyAlignment="1">
      <alignment vertical="top"/>
    </xf>
    <xf numFmtId="10" fontId="32" fillId="0" borderId="8" xfId="57" applyNumberFormat="1" applyFont="1" applyBorder="1" applyAlignment="1">
      <alignment vertical="top"/>
    </xf>
    <xf numFmtId="10" fontId="32" fillId="0" borderId="8" xfId="0" applyNumberFormat="1" applyFont="1" applyBorder="1" applyAlignment="1" applyProtection="1">
      <alignment horizontal="center"/>
      <protection locked="0"/>
    </xf>
    <xf numFmtId="0" fontId="32" fillId="0" borderId="8" xfId="0" applyFont="1" applyBorder="1" applyAlignment="1" applyProtection="1">
      <alignment/>
      <protection locked="0"/>
    </xf>
    <xf numFmtId="176" fontId="0" fillId="0" borderId="8" xfId="57" applyNumberFormat="1" applyFont="1" applyBorder="1" applyAlignment="1">
      <alignment vertical="top"/>
    </xf>
    <xf numFmtId="0" fontId="28" fillId="0" borderId="8" xfId="0" applyFont="1" applyBorder="1" applyAlignment="1" applyProtection="1">
      <alignment horizontal="center"/>
      <protection locked="0"/>
    </xf>
    <xf numFmtId="3" fontId="0" fillId="0" borderId="8" xfId="0" applyNumberFormat="1" applyFont="1" applyBorder="1" applyAlignment="1">
      <alignment horizontal="right" vertical="top"/>
    </xf>
    <xf numFmtId="178" fontId="0" fillId="0" borderId="8" xfId="42" applyNumberFormat="1" applyFont="1" applyBorder="1" applyAlignment="1">
      <alignment vertical="top"/>
    </xf>
    <xf numFmtId="3" fontId="32" fillId="0" borderId="8" xfId="0" applyNumberFormat="1" applyFont="1" applyBorder="1" applyAlignment="1">
      <alignment vertical="top"/>
    </xf>
    <xf numFmtId="178" fontId="32" fillId="0" borderId="8" xfId="42" applyNumberFormat="1" applyFont="1" applyBorder="1" applyAlignment="1">
      <alignment vertical="top"/>
    </xf>
    <xf numFmtId="3" fontId="0" fillId="0" borderId="8" xfId="0" applyNumberFormat="1" applyFont="1" applyBorder="1" applyAlignment="1">
      <alignment vertical="top"/>
    </xf>
    <xf numFmtId="3" fontId="0" fillId="0" borderId="8" xfId="0" applyNumberFormat="1" applyFont="1" applyFill="1" applyBorder="1" applyAlignment="1">
      <alignment vertical="top"/>
    </xf>
    <xf numFmtId="170" fontId="0" fillId="0" borderId="8" xfId="0" applyNumberFormat="1" applyFont="1" applyBorder="1" applyAlignment="1">
      <alignment vertical="top"/>
    </xf>
    <xf numFmtId="175" fontId="0" fillId="0" borderId="8" xfId="42" applyNumberFormat="1" applyFont="1" applyBorder="1" applyAlignment="1">
      <alignment vertical="top"/>
    </xf>
    <xf numFmtId="170" fontId="32" fillId="0" borderId="8" xfId="0" applyNumberFormat="1" applyFont="1" applyBorder="1" applyAlignment="1">
      <alignment vertical="top"/>
    </xf>
    <xf numFmtId="175" fontId="32" fillId="0" borderId="8" xfId="42" applyNumberFormat="1" applyFont="1" applyBorder="1" applyAlignment="1">
      <alignment vertical="top"/>
    </xf>
    <xf numFmtId="175" fontId="0" fillId="0" borderId="8" xfId="0" applyNumberFormat="1" applyFont="1" applyBorder="1" applyAlignment="1">
      <alignment vertical="top"/>
    </xf>
    <xf numFmtId="185" fontId="0" fillId="0" borderId="8" xfId="0" applyNumberFormat="1" applyFont="1" applyBorder="1" applyAlignment="1">
      <alignment horizontal="right" vertical="top"/>
    </xf>
    <xf numFmtId="172" fontId="0" fillId="0" borderId="8" xfId="42" applyNumberFormat="1" applyFont="1" applyBorder="1" applyAlignment="1">
      <alignment vertical="top"/>
    </xf>
    <xf numFmtId="185" fontId="32" fillId="0" borderId="8" xfId="0" applyNumberFormat="1" applyFont="1" applyBorder="1" applyAlignment="1">
      <alignment horizontal="right" vertical="top"/>
    </xf>
    <xf numFmtId="172" fontId="32" fillId="0" borderId="8" xfId="42" applyNumberFormat="1" applyFont="1" applyBorder="1" applyAlignment="1">
      <alignment vertical="top"/>
    </xf>
    <xf numFmtId="0" fontId="0" fillId="0" borderId="8" xfId="0" applyFont="1" applyBorder="1" applyAlignment="1">
      <alignment horizontal="right" vertical="top"/>
    </xf>
    <xf numFmtId="6" fontId="0" fillId="0" borderId="8" xfId="0" applyNumberFormat="1" applyFont="1" applyBorder="1" applyAlignment="1" applyProtection="1">
      <alignment/>
      <protection locked="0"/>
    </xf>
    <xf numFmtId="10" fontId="0" fillId="0" borderId="8" xfId="57" applyNumberFormat="1" applyFont="1" applyBorder="1" applyAlignment="1" applyProtection="1">
      <alignment/>
      <protection locked="0"/>
    </xf>
    <xf numFmtId="0" fontId="42" fillId="0" borderId="8" xfId="0" applyFont="1" applyFill="1" applyBorder="1" applyAlignment="1">
      <alignment vertical="top" wrapText="1"/>
    </xf>
    <xf numFmtId="6" fontId="0" fillId="0" borderId="8" xfId="0" applyNumberFormat="1" applyFont="1" applyFill="1" applyBorder="1" applyAlignment="1" applyProtection="1">
      <alignment/>
      <protection locked="0"/>
    </xf>
    <xf numFmtId="0" fontId="26" fillId="0" borderId="8" xfId="0" applyFont="1" applyBorder="1" applyAlignment="1">
      <alignment vertical="top"/>
    </xf>
    <xf numFmtId="0" fontId="0" fillId="0" borderId="8" xfId="0" applyFont="1" applyBorder="1" applyAlignment="1" applyProtection="1">
      <alignment horizontal="left"/>
      <protection locked="0"/>
    </xf>
    <xf numFmtId="0" fontId="32" fillId="0" borderId="8" xfId="0" applyFont="1" applyBorder="1" applyAlignment="1" applyProtection="1">
      <alignment horizontal="left"/>
      <protection locked="0"/>
    </xf>
    <xf numFmtId="174" fontId="0" fillId="0" borderId="8" xfId="42" applyNumberFormat="1" applyFont="1" applyBorder="1" applyAlignment="1" applyProtection="1">
      <alignment/>
      <protection locked="0"/>
    </xf>
    <xf numFmtId="174" fontId="0" fillId="0" borderId="8" xfId="0" applyNumberFormat="1" applyFont="1" applyBorder="1" applyAlignment="1" applyProtection="1">
      <alignment/>
      <protection locked="0"/>
    </xf>
    <xf numFmtId="174" fontId="32" fillId="0" borderId="8" xfId="42" applyNumberFormat="1" applyFont="1" applyBorder="1" applyAlignment="1" applyProtection="1">
      <alignment/>
      <protection locked="0"/>
    </xf>
    <xf numFmtId="174" fontId="32" fillId="0" borderId="8" xfId="0" applyNumberFormat="1" applyFont="1" applyBorder="1" applyAlignment="1" applyProtection="1">
      <alignment/>
      <protection locked="0"/>
    </xf>
    <xf numFmtId="186" fontId="0" fillId="0" borderId="8" xfId="0" applyNumberFormat="1" applyFont="1" applyBorder="1" applyAlignment="1" applyProtection="1">
      <alignment/>
      <protection locked="0"/>
    </xf>
    <xf numFmtId="186" fontId="32" fillId="0" borderId="8" xfId="0" applyNumberFormat="1" applyFont="1" applyBorder="1" applyAlignment="1" applyProtection="1">
      <alignment/>
      <protection locked="0"/>
    </xf>
    <xf numFmtId="187" fontId="32" fillId="0" borderId="8" xfId="0" applyNumberFormat="1" applyFont="1" applyBorder="1" applyAlignment="1" applyProtection="1">
      <alignment/>
      <protection locked="0"/>
    </xf>
    <xf numFmtId="8" fontId="0" fillId="0" borderId="8" xfId="0" applyNumberFormat="1" applyFont="1" applyBorder="1" applyAlignment="1" applyProtection="1">
      <alignment/>
      <protection locked="0"/>
    </xf>
    <xf numFmtId="8" fontId="32" fillId="0" borderId="8" xfId="0" applyNumberFormat="1" applyFont="1" applyBorder="1" applyAlignment="1" applyProtection="1">
      <alignment/>
      <protection locked="0"/>
    </xf>
    <xf numFmtId="8" fontId="0" fillId="0" borderId="8" xfId="0" applyNumberFormat="1" applyFont="1" applyBorder="1" applyAlignment="1" applyProtection="1">
      <alignment horizontal="right"/>
      <protection locked="0"/>
    </xf>
    <xf numFmtId="8" fontId="32" fillId="0" borderId="8" xfId="0" applyNumberFormat="1" applyFont="1" applyBorder="1" applyAlignment="1" applyProtection="1">
      <alignment horizontal="right"/>
      <protection locked="0"/>
    </xf>
    <xf numFmtId="6" fontId="32" fillId="0" borderId="8" xfId="0" applyNumberFormat="1" applyFont="1" applyBorder="1" applyAlignment="1" applyProtection="1">
      <alignment/>
      <protection locked="0"/>
    </xf>
    <xf numFmtId="6" fontId="44" fillId="0" borderId="8" xfId="0" applyNumberFormat="1" applyFont="1" applyBorder="1" applyAlignment="1" applyProtection="1">
      <alignment/>
      <protection locked="0"/>
    </xf>
    <xf numFmtId="188" fontId="0" fillId="0" borderId="8" xfId="42" applyNumberFormat="1" applyFont="1" applyBorder="1" applyAlignment="1" applyProtection="1">
      <alignment/>
      <protection locked="0"/>
    </xf>
    <xf numFmtId="189" fontId="0" fillId="0" borderId="8" xfId="0" applyNumberFormat="1" applyFont="1" applyBorder="1" applyAlignment="1" applyProtection="1">
      <alignment/>
      <protection locked="0"/>
    </xf>
    <xf numFmtId="6" fontId="0" fillId="0" borderId="23" xfId="0" applyNumberFormat="1" applyFont="1" applyBorder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0" fillId="0" borderId="8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vertical="top"/>
    </xf>
    <xf numFmtId="6" fontId="44" fillId="0" borderId="8" xfId="0" applyNumberFormat="1" applyFont="1" applyFill="1" applyBorder="1" applyAlignment="1" applyProtection="1">
      <alignment/>
      <protection locked="0"/>
    </xf>
    <xf numFmtId="0" fontId="24" fillId="0" borderId="8" xfId="0" applyFont="1" applyBorder="1" applyAlignment="1">
      <alignment vertical="top"/>
    </xf>
    <xf numFmtId="10" fontId="0" fillId="0" borderId="8" xfId="0" applyNumberFormat="1" applyFont="1" applyBorder="1" applyAlignment="1" applyProtection="1">
      <alignment/>
      <protection locked="0"/>
    </xf>
    <xf numFmtId="10" fontId="32" fillId="0" borderId="8" xfId="57" applyNumberFormat="1" applyFont="1" applyBorder="1" applyAlignment="1" applyProtection="1">
      <alignment/>
      <protection locked="0"/>
    </xf>
    <xf numFmtId="10" fontId="32" fillId="0" borderId="8" xfId="0" applyNumberFormat="1" applyFont="1" applyBorder="1" applyAlignment="1" applyProtection="1">
      <alignment/>
      <protection locked="0"/>
    </xf>
    <xf numFmtId="0" fontId="24" fillId="0" borderId="8" xfId="0" applyFont="1" applyBorder="1" applyAlignment="1">
      <alignment/>
    </xf>
    <xf numFmtId="6" fontId="0" fillId="0" borderId="8" xfId="0" applyNumberFormat="1" applyFont="1" applyFill="1" applyBorder="1" applyAlignment="1">
      <alignment horizontal="right" vertical="top"/>
    </xf>
    <xf numFmtId="6" fontId="0" fillId="0" borderId="8" xfId="0" applyNumberFormat="1" applyFont="1" applyFill="1" applyBorder="1" applyAlignment="1">
      <alignment vertical="top"/>
    </xf>
    <xf numFmtId="6" fontId="32" fillId="0" borderId="8" xfId="0" applyNumberFormat="1" applyFont="1" applyFill="1" applyBorder="1" applyAlignment="1">
      <alignment vertical="top"/>
    </xf>
    <xf numFmtId="6" fontId="32" fillId="0" borderId="8" xfId="0" applyNumberFormat="1" applyFont="1" applyBorder="1" applyAlignment="1">
      <alignment horizontal="right" vertical="top"/>
    </xf>
    <xf numFmtId="6" fontId="32" fillId="0" borderId="8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 applyProtection="1">
      <alignment horizontal="left"/>
      <protection locked="0"/>
    </xf>
    <xf numFmtId="6" fontId="0" fillId="0" borderId="0" xfId="0" applyNumberFormat="1" applyFont="1" applyAlignment="1" applyProtection="1">
      <alignment vertical="top"/>
      <protection locked="0"/>
    </xf>
    <xf numFmtId="6" fontId="30" fillId="0" borderId="0" xfId="0" applyNumberFormat="1" applyFont="1" applyAlignment="1" applyProtection="1">
      <alignment horizontal="center"/>
      <protection locked="0"/>
    </xf>
    <xf numFmtId="168" fontId="24" fillId="0" borderId="8" xfId="0" applyNumberFormat="1" applyFont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left"/>
      <protection locked="0"/>
    </xf>
    <xf numFmtId="6" fontId="0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24" fillId="0" borderId="18" xfId="0" applyFont="1" applyBorder="1" applyAlignment="1">
      <alignment horizontal="centerContinuous"/>
    </xf>
    <xf numFmtId="0" fontId="0" fillId="0" borderId="0" xfId="0" applyFont="1" applyAlignment="1">
      <alignment vertical="top"/>
    </xf>
    <xf numFmtId="6" fontId="0" fillId="0" borderId="0" xfId="0" applyNumberFormat="1" applyFont="1" applyAlignment="1">
      <alignment horizontal="right" vertical="top"/>
    </xf>
    <xf numFmtId="0" fontId="32" fillId="0" borderId="0" xfId="0" applyFont="1" applyAlignment="1">
      <alignment vertical="top"/>
    </xf>
    <xf numFmtId="3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right" vertical="top"/>
    </xf>
    <xf numFmtId="3" fontId="32" fillId="0" borderId="8" xfId="0" applyNumberFormat="1" applyFont="1" applyBorder="1" applyAlignment="1">
      <alignment horizontal="right" vertical="top"/>
    </xf>
    <xf numFmtId="10" fontId="0" fillId="0" borderId="8" xfId="0" applyNumberFormat="1" applyFont="1" applyBorder="1" applyAlignment="1">
      <alignment horizontal="right" vertical="top"/>
    </xf>
    <xf numFmtId="190" fontId="0" fillId="0" borderId="8" xfId="0" applyNumberFormat="1" applyFont="1" applyBorder="1" applyAlignment="1" applyProtection="1">
      <alignment/>
      <protection locked="0"/>
    </xf>
    <xf numFmtId="6" fontId="0" fillId="0" borderId="28" xfId="0" applyNumberFormat="1" applyFont="1" applyBorder="1" applyAlignment="1">
      <alignment horizontal="right" vertical="top"/>
    </xf>
    <xf numFmtId="6" fontId="0" fillId="0" borderId="28" xfId="0" applyNumberFormat="1" applyFont="1" applyBorder="1" applyAlignment="1">
      <alignment vertical="top"/>
    </xf>
    <xf numFmtId="6" fontId="32" fillId="0" borderId="28" xfId="0" applyNumberFormat="1" applyFont="1" applyBorder="1" applyAlignment="1">
      <alignment horizontal="right" vertical="top"/>
    </xf>
    <xf numFmtId="0" fontId="25" fillId="0" borderId="7" xfId="0" applyFont="1" applyBorder="1" applyAlignment="1">
      <alignment/>
    </xf>
    <xf numFmtId="37" fontId="24" fillId="0" borderId="7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7" xfId="0" applyFont="1" applyBorder="1" applyAlignment="1">
      <alignment/>
    </xf>
    <xf numFmtId="0" fontId="26" fillId="0" borderId="7" xfId="0" applyFont="1" applyBorder="1" applyAlignment="1">
      <alignment horizontal="center"/>
    </xf>
    <xf numFmtId="178" fontId="32" fillId="0" borderId="0" xfId="42" applyNumberFormat="1" applyFont="1" applyBorder="1" applyAlignment="1">
      <alignment horizontal="center"/>
    </xf>
    <xf numFmtId="43" fontId="25" fillId="0" borderId="7" xfId="42" applyFont="1" applyBorder="1" applyAlignment="1" applyProtection="1">
      <alignment horizontal="left"/>
      <protection locked="0"/>
    </xf>
    <xf numFmtId="5" fontId="0" fillId="0" borderId="0" xfId="44" applyNumberFormat="1" applyFont="1" applyBorder="1" applyAlignment="1" applyProtection="1">
      <alignment/>
      <protection locked="0"/>
    </xf>
    <xf numFmtId="37" fontId="0" fillId="0" borderId="0" xfId="44" applyNumberFormat="1" applyFont="1" applyBorder="1" applyAlignment="1" applyProtection="1">
      <alignment/>
      <protection locked="0"/>
    </xf>
    <xf numFmtId="37" fontId="0" fillId="0" borderId="0" xfId="0" applyNumberFormat="1" applyBorder="1" applyAlignment="1">
      <alignment horizontal="right"/>
    </xf>
    <xf numFmtId="0" fontId="25" fillId="0" borderId="0" xfId="0" applyFont="1" applyBorder="1" applyAlignment="1">
      <alignment horizontal="left" wrapText="1"/>
    </xf>
    <xf numFmtId="43" fontId="24" fillId="0" borderId="7" xfId="42" applyFont="1" applyFill="1" applyBorder="1" applyAlignment="1" applyProtection="1">
      <alignment wrapText="1"/>
      <protection locked="0"/>
    </xf>
    <xf numFmtId="43" fontId="25" fillId="0" borderId="7" xfId="42" applyFont="1" applyFill="1" applyBorder="1" applyAlignment="1" applyProtection="1">
      <alignment wrapText="1"/>
      <protection locked="0"/>
    </xf>
    <xf numFmtId="43" fontId="24" fillId="0" borderId="0" xfId="42" applyFont="1" applyFill="1" applyBorder="1" applyAlignment="1" applyProtection="1">
      <alignment wrapText="1"/>
      <protection locked="0"/>
    </xf>
    <xf numFmtId="43" fontId="24" fillId="0" borderId="7" xfId="42" applyFont="1" applyFill="1" applyBorder="1" applyAlignment="1" applyProtection="1">
      <alignment horizontal="left" wrapText="1"/>
      <protection locked="0"/>
    </xf>
    <xf numFmtId="0" fontId="25" fillId="0" borderId="7" xfId="0" applyFont="1" applyBorder="1" applyAlignment="1">
      <alignment/>
    </xf>
    <xf numFmtId="43" fontId="24" fillId="0" borderId="7" xfId="42" applyFont="1" applyBorder="1" applyAlignment="1" applyProtection="1">
      <alignment horizontal="left"/>
      <protection locked="0"/>
    </xf>
    <xf numFmtId="37" fontId="43" fillId="0" borderId="7" xfId="0" applyNumberFormat="1" applyFont="1" applyBorder="1" applyAlignment="1">
      <alignment horizontal="right"/>
    </xf>
    <xf numFmtId="9" fontId="43" fillId="0" borderId="7" xfId="0" applyNumberFormat="1" applyFont="1" applyBorder="1" applyAlignment="1">
      <alignment horizontal="right"/>
    </xf>
    <xf numFmtId="0" fontId="45" fillId="0" borderId="7" xfId="0" applyFont="1" applyBorder="1" applyAlignment="1">
      <alignment horizontal="center"/>
    </xf>
    <xf numFmtId="9" fontId="30" fillId="0" borderId="0" xfId="57" applyFont="1" applyBorder="1" applyAlignment="1">
      <alignment horizontal="center"/>
    </xf>
    <xf numFmtId="176" fontId="24" fillId="0" borderId="7" xfId="0" applyNumberFormat="1" applyFont="1" applyBorder="1" applyAlignment="1">
      <alignment horizontal="right"/>
    </xf>
    <xf numFmtId="5" fontId="0" fillId="0" borderId="0" xfId="0" applyNumberFormat="1" applyBorder="1" applyAlignment="1">
      <alignment/>
    </xf>
    <xf numFmtId="9" fontId="0" fillId="0" borderId="0" xfId="57" applyBorder="1" applyAlignment="1">
      <alignment/>
    </xf>
    <xf numFmtId="0" fontId="0" fillId="0" borderId="0" xfId="0" applyBorder="1" applyAlignment="1">
      <alignment horizontal="right"/>
    </xf>
    <xf numFmtId="10" fontId="24" fillId="0" borderId="7" xfId="0" applyNumberFormat="1" applyFont="1" applyBorder="1" applyAlignment="1">
      <alignment horizontal="right"/>
    </xf>
    <xf numFmtId="0" fontId="18" fillId="0" borderId="0" xfId="0" applyFont="1" applyAlignment="1">
      <alignment horizontal="center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 quotePrefix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left" wrapText="1"/>
    </xf>
    <xf numFmtId="0" fontId="46" fillId="0" borderId="0" xfId="0" applyFont="1" applyAlignment="1">
      <alignment/>
    </xf>
    <xf numFmtId="0" fontId="19" fillId="0" borderId="0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34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left" wrapText="1"/>
    </xf>
    <xf numFmtId="6" fontId="47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 horizontal="left"/>
    </xf>
    <xf numFmtId="0" fontId="33" fillId="0" borderId="0" xfId="0" applyFont="1" applyAlignment="1">
      <alignment horizontal="left"/>
    </xf>
    <xf numFmtId="3" fontId="47" fillId="0" borderId="0" xfId="0" applyNumberFormat="1" applyFont="1" applyBorder="1" applyAlignment="1">
      <alignment horizontal="right"/>
    </xf>
    <xf numFmtId="3" fontId="47" fillId="0" borderId="0" xfId="0" applyNumberFormat="1" applyFont="1" applyBorder="1" applyAlignment="1">
      <alignment horizontal="right" wrapText="1"/>
    </xf>
    <xf numFmtId="191" fontId="47" fillId="0" borderId="0" xfId="0" applyNumberFormat="1" applyFont="1" applyBorder="1" applyAlignment="1">
      <alignment horizontal="right" wrapText="1"/>
    </xf>
    <xf numFmtId="172" fontId="47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9" fontId="47" fillId="0" borderId="0" xfId="0" applyNumberFormat="1" applyFont="1" applyBorder="1" applyAlignment="1">
      <alignment horizontal="right" wrapText="1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 wrapText="1"/>
    </xf>
    <xf numFmtId="169" fontId="46" fillId="0" borderId="0" xfId="0" applyNumberFormat="1" applyFont="1" applyBorder="1" applyAlignment="1">
      <alignment horizontal="right" wrapText="1"/>
    </xf>
    <xf numFmtId="9" fontId="47" fillId="0" borderId="0" xfId="57" applyFont="1" applyBorder="1" applyAlignment="1">
      <alignment/>
    </xf>
    <xf numFmtId="6" fontId="46" fillId="0" borderId="0" xfId="0" applyNumberFormat="1" applyFont="1" applyBorder="1" applyAlignment="1">
      <alignment horizontal="right" wrapText="1"/>
    </xf>
    <xf numFmtId="9" fontId="46" fillId="0" borderId="0" xfId="57" applyFont="1" applyBorder="1" applyAlignment="1">
      <alignment/>
    </xf>
    <xf numFmtId="192" fontId="46" fillId="0" borderId="0" xfId="0" applyNumberFormat="1" applyFont="1" applyBorder="1" applyAlignment="1">
      <alignment horizontal="right" wrapText="1"/>
    </xf>
    <xf numFmtId="192" fontId="47" fillId="0" borderId="0" xfId="0" applyNumberFormat="1" applyFont="1" applyBorder="1" applyAlignment="1">
      <alignment horizontal="right" wrapText="1"/>
    </xf>
    <xf numFmtId="169" fontId="47" fillId="0" borderId="0" xfId="44" applyNumberFormat="1" applyFont="1" applyBorder="1" applyAlignment="1">
      <alignment horizontal="right" wrapText="1"/>
    </xf>
    <xf numFmtId="6" fontId="20" fillId="0" borderId="0" xfId="0" applyNumberFormat="1" applyFont="1" applyBorder="1" applyAlignment="1">
      <alignment horizontal="right" wrapText="1"/>
    </xf>
    <xf numFmtId="168" fontId="23" fillId="0" borderId="31" xfId="0" applyNumberFormat="1" applyFont="1" applyBorder="1" applyAlignment="1">
      <alignment horizontal="center" wrapText="1"/>
    </xf>
    <xf numFmtId="168" fontId="23" fillId="0" borderId="29" xfId="0" applyNumberFormat="1" applyFont="1" applyBorder="1" applyAlignment="1">
      <alignment horizontal="center" wrapText="1"/>
    </xf>
    <xf numFmtId="168" fontId="18" fillId="20" borderId="30" xfId="0" applyNumberFormat="1" applyFont="1" applyFill="1" applyBorder="1" applyAlignment="1">
      <alignment/>
    </xf>
    <xf numFmtId="168" fontId="18" fillId="20" borderId="31" xfId="0" applyNumberFormat="1" applyFont="1" applyFill="1" applyBorder="1" applyAlignment="1">
      <alignment/>
    </xf>
    <xf numFmtId="168" fontId="18" fillId="20" borderId="29" xfId="0" applyNumberFormat="1" applyFont="1" applyFill="1" applyBorder="1" applyAlignment="1">
      <alignment/>
    </xf>
    <xf numFmtId="168" fontId="18" fillId="0" borderId="34" xfId="0" applyNumberFormat="1" applyFont="1" applyBorder="1" applyAlignment="1">
      <alignment horizontal="center"/>
    </xf>
    <xf numFmtId="168" fontId="18" fillId="0" borderId="18" xfId="0" applyNumberFormat="1" applyFont="1" applyBorder="1" applyAlignment="1">
      <alignment horizontal="center"/>
    </xf>
    <xf numFmtId="168" fontId="19" fillId="0" borderId="34" xfId="0" applyNumberFormat="1" applyFont="1" applyBorder="1" applyAlignment="1">
      <alignment horizontal="left"/>
    </xf>
    <xf numFmtId="168" fontId="19" fillId="0" borderId="18" xfId="0" applyNumberFormat="1" applyFont="1" applyBorder="1" applyAlignment="1">
      <alignment horizontal="left"/>
    </xf>
    <xf numFmtId="5" fontId="20" fillId="0" borderId="35" xfId="0" applyNumberFormat="1" applyFont="1" applyBorder="1" applyAlignment="1">
      <alignment horizontal="center"/>
    </xf>
    <xf numFmtId="5" fontId="20" fillId="0" borderId="36" xfId="0" applyNumberFormat="1" applyFont="1" applyBorder="1" applyAlignment="1">
      <alignment horizontal="center"/>
    </xf>
    <xf numFmtId="5" fontId="20" fillId="0" borderId="37" xfId="0" applyNumberFormat="1" applyFont="1" applyBorder="1" applyAlignment="1">
      <alignment horizontal="center"/>
    </xf>
    <xf numFmtId="5" fontId="20" fillId="0" borderId="30" xfId="0" applyNumberFormat="1" applyFont="1" applyBorder="1" applyAlignment="1">
      <alignment horizontal="center"/>
    </xf>
    <xf numFmtId="5" fontId="20" fillId="0" borderId="31" xfId="0" applyNumberFormat="1" applyFont="1" applyBorder="1" applyAlignment="1">
      <alignment horizontal="center"/>
    </xf>
    <xf numFmtId="5" fontId="20" fillId="0" borderId="29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8" fontId="23" fillId="20" borderId="38" xfId="0" applyNumberFormat="1" applyFont="1" applyFill="1" applyBorder="1" applyAlignment="1">
      <alignment horizontal="center" wrapText="1"/>
    </xf>
    <xf numFmtId="168" fontId="23" fillId="20" borderId="39" xfId="0" applyNumberFormat="1" applyFont="1" applyFill="1" applyBorder="1" applyAlignment="1">
      <alignment horizontal="center" wrapText="1"/>
    </xf>
    <xf numFmtId="168" fontId="23" fillId="20" borderId="40" xfId="0" applyNumberFormat="1" applyFont="1" applyFill="1" applyBorder="1" applyAlignment="1">
      <alignment horizontal="center" wrapText="1"/>
    </xf>
    <xf numFmtId="0" fontId="21" fillId="0" borderId="23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2" fillId="0" borderId="23" xfId="0" applyFont="1" applyBorder="1" applyAlignment="1">
      <alignment/>
    </xf>
    <xf numFmtId="0" fontId="22" fillId="0" borderId="18" xfId="0" applyFont="1" applyBorder="1" applyAlignment="1">
      <alignment/>
    </xf>
    <xf numFmtId="168" fontId="23" fillId="0" borderId="28" xfId="0" applyNumberFormat="1" applyFont="1" applyBorder="1" applyAlignment="1">
      <alignment horizontal="center" wrapText="1"/>
    </xf>
    <xf numFmtId="168" fontId="23" fillId="0" borderId="0" xfId="0" applyNumberFormat="1" applyFont="1" applyBorder="1" applyAlignment="1">
      <alignment horizontal="center" wrapText="1"/>
    </xf>
    <xf numFmtId="168" fontId="23" fillId="0" borderId="41" xfId="0" applyNumberFormat="1" applyFont="1" applyBorder="1" applyAlignment="1">
      <alignment horizontal="center" wrapText="1"/>
    </xf>
    <xf numFmtId="168" fontId="23" fillId="0" borderId="30" xfId="0" applyNumberFormat="1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2" fillId="0" borderId="34" xfId="0" applyFont="1" applyBorder="1" applyAlignment="1">
      <alignment horizontal="left"/>
    </xf>
    <xf numFmtId="0" fontId="22" fillId="0" borderId="18" xfId="0" applyFont="1" applyBorder="1" applyAlignment="1">
      <alignment horizontal="left"/>
    </xf>
    <xf numFmtId="168" fontId="23" fillId="0" borderId="35" xfId="0" applyNumberFormat="1" applyFont="1" applyBorder="1" applyAlignment="1">
      <alignment horizontal="center" wrapText="1"/>
    </xf>
    <xf numFmtId="168" fontId="23" fillId="0" borderId="36" xfId="0" applyNumberFormat="1" applyFont="1" applyBorder="1" applyAlignment="1">
      <alignment horizontal="center" wrapText="1"/>
    </xf>
    <xf numFmtId="168" fontId="23" fillId="0" borderId="37" xfId="0" applyNumberFormat="1" applyFont="1" applyBorder="1" applyAlignment="1">
      <alignment horizontal="center" wrapText="1"/>
    </xf>
    <xf numFmtId="0" fontId="29" fillId="0" borderId="0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68" fontId="24" fillId="0" borderId="33" xfId="0" applyNumberFormat="1" applyFont="1" applyBorder="1" applyAlignment="1">
      <alignment/>
    </xf>
    <xf numFmtId="168" fontId="24" fillId="0" borderId="43" xfId="0" applyNumberFormat="1" applyFont="1" applyBorder="1" applyAlignment="1">
      <alignment/>
    </xf>
    <xf numFmtId="168" fontId="24" fillId="0" borderId="44" xfId="0" applyNumberFormat="1" applyFont="1" applyBorder="1" applyAlignment="1">
      <alignment/>
    </xf>
    <xf numFmtId="0" fontId="24" fillId="0" borderId="33" xfId="0" applyFont="1" applyBorder="1" applyAlignment="1" applyProtection="1">
      <alignment horizontal="center"/>
      <protection locked="0"/>
    </xf>
    <xf numFmtId="0" fontId="24" fillId="0" borderId="43" xfId="0" applyFont="1" applyBorder="1" applyAlignment="1" applyProtection="1">
      <alignment horizontal="center"/>
      <protection locked="0"/>
    </xf>
    <xf numFmtId="0" fontId="24" fillId="0" borderId="44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24" xfId="0" applyFont="1" applyBorder="1" applyAlignment="1" applyProtection="1">
      <alignment horizontal="center"/>
      <protection locked="0"/>
    </xf>
    <xf numFmtId="0" fontId="24" fillId="0" borderId="42" xfId="0" applyFont="1" applyBorder="1" applyAlignment="1" applyProtection="1">
      <alignment horizontal="center"/>
      <protection locked="0"/>
    </xf>
    <xf numFmtId="0" fontId="24" fillId="0" borderId="22" xfId="0" applyFont="1" applyBorder="1" applyAlignment="1" applyProtection="1">
      <alignment horizontal="center"/>
      <protection locked="0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24" xfId="0" applyFont="1" applyBorder="1" applyAlignment="1">
      <alignment horizontal="left" wrapText="1"/>
    </xf>
    <xf numFmtId="0" fontId="24" fillId="0" borderId="42" xfId="0" applyFont="1" applyBorder="1" applyAlignment="1">
      <alignment horizontal="left" wrapText="1"/>
    </xf>
    <xf numFmtId="0" fontId="24" fillId="0" borderId="22" xfId="0" applyFont="1" applyBorder="1" applyAlignment="1">
      <alignment horizontal="left" wrapText="1"/>
    </xf>
    <xf numFmtId="0" fontId="24" fillId="0" borderId="24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9.140625" defaultRowHeight="24" customHeight="1"/>
  <cols>
    <col min="1" max="1" width="5.7109375" style="1" customWidth="1"/>
    <col min="2" max="2" width="64.140625" style="1" customWidth="1"/>
    <col min="3" max="4" width="16.140625" style="1" bestFit="1" customWidth="1"/>
    <col min="5" max="5" width="16.28125" style="2" customWidth="1"/>
    <col min="6" max="6" width="16.140625" style="2" customWidth="1"/>
    <col min="7" max="7" width="11.57421875" style="1" customWidth="1"/>
    <col min="8" max="16384" width="9.140625" style="1" customWidth="1"/>
  </cols>
  <sheetData>
    <row r="1" spans="1:6" ht="24" customHeight="1">
      <c r="A1" s="3"/>
      <c r="B1" s="3" t="s">
        <v>115</v>
      </c>
      <c r="C1" s="3"/>
      <c r="D1" s="3"/>
      <c r="E1" s="4"/>
      <c r="F1" s="5"/>
    </row>
    <row r="2" spans="1:6" ht="24" customHeight="1">
      <c r="A2" s="3"/>
      <c r="B2" s="3" t="s">
        <v>116</v>
      </c>
      <c r="C2" s="3"/>
      <c r="D2" s="3"/>
      <c r="E2" s="4"/>
      <c r="F2" s="5"/>
    </row>
    <row r="3" spans="1:6" ht="24" customHeight="1">
      <c r="A3" s="3"/>
      <c r="B3" s="3" t="s">
        <v>117</v>
      </c>
      <c r="C3" s="3"/>
      <c r="D3" s="3"/>
      <c r="E3" s="4"/>
      <c r="F3" s="5"/>
    </row>
    <row r="4" spans="1:6" ht="24" customHeight="1">
      <c r="A4" s="3"/>
      <c r="B4" s="3" t="s">
        <v>118</v>
      </c>
      <c r="C4" s="4"/>
      <c r="D4" s="4"/>
      <c r="E4" s="4"/>
      <c r="F4" s="5"/>
    </row>
    <row r="5" spans="1:6" ht="15" customHeight="1">
      <c r="A5" s="3"/>
      <c r="B5" s="3"/>
      <c r="C5" s="3"/>
      <c r="D5" s="3"/>
      <c r="E5" s="4"/>
      <c r="F5" s="5"/>
    </row>
    <row r="6" spans="1:6" s="6" customFormat="1" ht="15.75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>
      <c r="A7" s="8"/>
      <c r="B7" s="9"/>
      <c r="C7" s="10" t="s">
        <v>119</v>
      </c>
      <c r="D7" s="10" t="s">
        <v>120</v>
      </c>
      <c r="E7" s="11" t="s">
        <v>121</v>
      </c>
      <c r="F7" s="11" t="s">
        <v>122</v>
      </c>
      <c r="H7" s="12"/>
    </row>
    <row r="8" spans="1:6" s="6" customFormat="1" ht="15.75" customHeight="1">
      <c r="A8" s="13" t="s">
        <v>123</v>
      </c>
      <c r="B8" s="13" t="s">
        <v>124</v>
      </c>
      <c r="C8" s="14" t="s">
        <v>125</v>
      </c>
      <c r="D8" s="14" t="s">
        <v>125</v>
      </c>
      <c r="E8" s="15" t="s">
        <v>126</v>
      </c>
      <c r="F8" s="15" t="s">
        <v>126</v>
      </c>
    </row>
    <row r="9" spans="1:6" s="6" customFormat="1" ht="15.75" customHeight="1">
      <c r="A9" s="13"/>
      <c r="B9" s="16"/>
      <c r="C9" s="13"/>
      <c r="D9" s="13"/>
      <c r="E9" s="11"/>
      <c r="F9" s="11"/>
    </row>
    <row r="10" spans="1:6" s="6" customFormat="1" ht="15.75" customHeight="1">
      <c r="A10" s="17" t="s">
        <v>127</v>
      </c>
      <c r="B10" s="16" t="s">
        <v>128</v>
      </c>
      <c r="C10" s="18"/>
      <c r="D10" s="18"/>
      <c r="E10" s="17"/>
      <c r="F10" s="17"/>
    </row>
    <row r="11" spans="1:6" s="6" customFormat="1" ht="15.75" customHeight="1">
      <c r="A11" s="17"/>
      <c r="B11" s="8"/>
      <c r="C11" s="17"/>
      <c r="D11" s="17"/>
      <c r="E11" s="19"/>
      <c r="F11" s="19"/>
    </row>
    <row r="12" spans="1:6" s="6" customFormat="1" ht="15.75" customHeight="1">
      <c r="A12" s="20" t="s">
        <v>129</v>
      </c>
      <c r="B12" s="16" t="s">
        <v>130</v>
      </c>
      <c r="C12" s="17"/>
      <c r="D12" s="17"/>
      <c r="E12" s="17"/>
      <c r="F12" s="17"/>
    </row>
    <row r="13" spans="1:6" ht="24" customHeight="1">
      <c r="A13" s="21">
        <v>1</v>
      </c>
      <c r="B13" s="22" t="s">
        <v>131</v>
      </c>
      <c r="C13" s="23">
        <v>6765949</v>
      </c>
      <c r="D13" s="23">
        <v>9668000</v>
      </c>
      <c r="E13" s="23">
        <f aca="true" t="shared" si="0" ref="E13:E22">D13-C13</f>
        <v>2902051</v>
      </c>
      <c r="F13" s="24">
        <f aca="true" t="shared" si="1" ref="F13:F22">IF(C13=0,0,E13/C13)</f>
        <v>0.4289200228970097</v>
      </c>
    </row>
    <row r="14" spans="1:6" ht="24" customHeight="1">
      <c r="A14" s="21">
        <v>2</v>
      </c>
      <c r="B14" s="22" t="s">
        <v>132</v>
      </c>
      <c r="C14" s="23">
        <v>165786</v>
      </c>
      <c r="D14" s="23">
        <v>166000</v>
      </c>
      <c r="E14" s="23">
        <f t="shared" si="0"/>
        <v>214</v>
      </c>
      <c r="F14" s="24">
        <f t="shared" si="1"/>
        <v>0.0012908206965606263</v>
      </c>
    </row>
    <row r="15" spans="1:6" ht="29.25" customHeight="1">
      <c r="A15" s="21">
        <v>3</v>
      </c>
      <c r="B15" s="22" t="s">
        <v>133</v>
      </c>
      <c r="C15" s="23">
        <v>48238736</v>
      </c>
      <c r="D15" s="23">
        <v>50590000</v>
      </c>
      <c r="E15" s="23">
        <f t="shared" si="0"/>
        <v>2351264</v>
      </c>
      <c r="F15" s="24">
        <f t="shared" si="1"/>
        <v>0.04874223901720808</v>
      </c>
    </row>
    <row r="16" spans="1:6" ht="24" customHeight="1">
      <c r="A16" s="21">
        <v>4</v>
      </c>
      <c r="B16" s="22" t="s">
        <v>134</v>
      </c>
      <c r="C16" s="23">
        <v>1465067</v>
      </c>
      <c r="D16" s="23">
        <v>2254000</v>
      </c>
      <c r="E16" s="23">
        <f t="shared" si="0"/>
        <v>788933</v>
      </c>
      <c r="F16" s="24">
        <f t="shared" si="1"/>
        <v>0.5384961916417474</v>
      </c>
    </row>
    <row r="17" spans="1:6" ht="24" customHeight="1">
      <c r="A17" s="21">
        <v>5</v>
      </c>
      <c r="B17" s="22" t="s">
        <v>135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6" ht="24" customHeight="1">
      <c r="A18" s="21">
        <v>6</v>
      </c>
      <c r="B18" s="22" t="s">
        <v>136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6" ht="24" customHeight="1">
      <c r="A19" s="21">
        <v>7</v>
      </c>
      <c r="B19" s="22" t="s">
        <v>137</v>
      </c>
      <c r="C19" s="23">
        <v>5273018</v>
      </c>
      <c r="D19" s="23">
        <v>5144000</v>
      </c>
      <c r="E19" s="23">
        <f t="shared" si="0"/>
        <v>-129018</v>
      </c>
      <c r="F19" s="24">
        <f t="shared" si="1"/>
        <v>-0.024467581942637026</v>
      </c>
    </row>
    <row r="20" spans="1:6" ht="24" customHeight="1">
      <c r="A20" s="21">
        <v>8</v>
      </c>
      <c r="B20" s="22" t="s">
        <v>138</v>
      </c>
      <c r="C20" s="23">
        <v>2525075</v>
      </c>
      <c r="D20" s="23">
        <v>3690000</v>
      </c>
      <c r="E20" s="23">
        <f t="shared" si="0"/>
        <v>1164925</v>
      </c>
      <c r="F20" s="24">
        <f t="shared" si="1"/>
        <v>0.4613427323940873</v>
      </c>
    </row>
    <row r="21" spans="1:6" ht="24" customHeight="1">
      <c r="A21" s="21">
        <v>9</v>
      </c>
      <c r="B21" s="22" t="s">
        <v>139</v>
      </c>
      <c r="C21" s="23">
        <v>2260060</v>
      </c>
      <c r="D21" s="23">
        <v>1243000</v>
      </c>
      <c r="E21" s="23">
        <f t="shared" si="0"/>
        <v>-1017060</v>
      </c>
      <c r="F21" s="24">
        <f t="shared" si="1"/>
        <v>-0.4500146013822642</v>
      </c>
    </row>
    <row r="22" spans="1:6" ht="24" customHeight="1">
      <c r="A22" s="25"/>
      <c r="B22" s="26" t="s">
        <v>140</v>
      </c>
      <c r="C22" s="27">
        <f>SUM(C13:C21)</f>
        <v>66693691</v>
      </c>
      <c r="D22" s="27">
        <f>SUM(D13:D21)</f>
        <v>72755000</v>
      </c>
      <c r="E22" s="27">
        <f t="shared" si="0"/>
        <v>6061309</v>
      </c>
      <c r="F22" s="28">
        <f t="shared" si="1"/>
        <v>0.09088279429609017</v>
      </c>
    </row>
    <row r="23" spans="1:6" ht="15" customHeight="1">
      <c r="A23" s="21"/>
      <c r="B23" s="5"/>
      <c r="C23" s="23"/>
      <c r="D23" s="23"/>
      <c r="E23" s="23"/>
      <c r="F23" s="24"/>
    </row>
    <row r="24" spans="1:6" ht="24" customHeight="1">
      <c r="A24" s="29" t="s">
        <v>141</v>
      </c>
      <c r="B24" s="30" t="s">
        <v>142</v>
      </c>
      <c r="C24" s="31"/>
      <c r="D24" s="31"/>
      <c r="E24" s="31"/>
      <c r="F24" s="5"/>
    </row>
    <row r="25" spans="1:11" ht="24" customHeight="1">
      <c r="A25" s="21">
        <v>1</v>
      </c>
      <c r="B25" s="22" t="s">
        <v>143</v>
      </c>
      <c r="C25" s="23">
        <v>0</v>
      </c>
      <c r="D25" s="23">
        <v>0</v>
      </c>
      <c r="E25" s="23">
        <f>D25-C25</f>
        <v>0</v>
      </c>
      <c r="F25" s="24">
        <f>IF(C25=0,0,E25/C25)</f>
        <v>0</v>
      </c>
      <c r="H25" s="32"/>
      <c r="I25" s="33"/>
      <c r="J25" s="33"/>
      <c r="K25" s="34"/>
    </row>
    <row r="26" spans="1:11" ht="24" customHeight="1">
      <c r="A26" s="21">
        <v>2</v>
      </c>
      <c r="B26" s="22" t="s">
        <v>144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6" ht="24" customHeight="1">
      <c r="A27" s="21">
        <v>3</v>
      </c>
      <c r="B27" s="22" t="s">
        <v>145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6" ht="24" customHeight="1">
      <c r="A28" s="21">
        <v>4</v>
      </c>
      <c r="B28" s="22" t="s">
        <v>146</v>
      </c>
      <c r="C28" s="23">
        <v>25576206</v>
      </c>
      <c r="D28" s="23">
        <v>26439000</v>
      </c>
      <c r="E28" s="23">
        <f>D28-C28</f>
        <v>862794</v>
      </c>
      <c r="F28" s="24">
        <f>IF(C28=0,0,E28/C28)</f>
        <v>0.033734245024457495</v>
      </c>
    </row>
    <row r="29" spans="1:6" ht="24" customHeight="1">
      <c r="A29" s="25"/>
      <c r="B29" s="26" t="s">
        <v>147</v>
      </c>
      <c r="C29" s="27">
        <f>SUM(C25:C28)</f>
        <v>25576206</v>
      </c>
      <c r="D29" s="27">
        <f>SUM(D25:D28)</f>
        <v>26439000</v>
      </c>
      <c r="E29" s="27">
        <f>D29-C29</f>
        <v>862794</v>
      </c>
      <c r="F29" s="28">
        <f>IF(C29=0,0,E29/C29)</f>
        <v>0.033734245024457495</v>
      </c>
    </row>
    <row r="30" spans="1:6" ht="15" customHeight="1">
      <c r="A30" s="21"/>
      <c r="B30" s="5"/>
      <c r="C30" s="23"/>
      <c r="D30" s="23"/>
      <c r="E30" s="23"/>
      <c r="F30" s="24"/>
    </row>
    <row r="31" spans="1:6" ht="15" customHeight="1">
      <c r="A31" s="21">
        <v>5</v>
      </c>
      <c r="B31" s="22" t="s">
        <v>148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6" ht="24" customHeight="1">
      <c r="A32" s="21">
        <v>6</v>
      </c>
      <c r="B32" s="22" t="s">
        <v>149</v>
      </c>
      <c r="C32" s="23">
        <v>36001675</v>
      </c>
      <c r="D32" s="23">
        <v>34115000</v>
      </c>
      <c r="E32" s="23">
        <f>D32-C32</f>
        <v>-1886675</v>
      </c>
      <c r="F32" s="24">
        <f>IF(C32=0,0,E32/C32)</f>
        <v>-0.052405200591361376</v>
      </c>
    </row>
    <row r="33" spans="1:6" ht="24" customHeight="1">
      <c r="A33" s="21">
        <v>7</v>
      </c>
      <c r="B33" s="22" t="s">
        <v>150</v>
      </c>
      <c r="C33" s="23">
        <v>5484092</v>
      </c>
      <c r="D33" s="23">
        <v>2273000</v>
      </c>
      <c r="E33" s="23">
        <f>D33-C33</f>
        <v>-3211092</v>
      </c>
      <c r="F33" s="24">
        <f>IF(C33=0,0,E33/C33)</f>
        <v>-0.5855284703465952</v>
      </c>
    </row>
    <row r="34" spans="1:6" ht="15" customHeight="1">
      <c r="A34" s="21"/>
      <c r="B34" s="5"/>
      <c r="C34" s="23"/>
      <c r="D34" s="23"/>
      <c r="E34" s="23"/>
      <c r="F34" s="24"/>
    </row>
    <row r="35" spans="1:6" ht="24" customHeight="1">
      <c r="A35" s="29" t="s">
        <v>151</v>
      </c>
      <c r="B35" s="30" t="s">
        <v>152</v>
      </c>
      <c r="C35" s="23"/>
      <c r="D35" s="23"/>
      <c r="E35" s="23"/>
      <c r="F35" s="24"/>
    </row>
    <row r="36" spans="1:6" ht="24" customHeight="1">
      <c r="A36" s="21">
        <v>1</v>
      </c>
      <c r="B36" s="22" t="s">
        <v>153</v>
      </c>
      <c r="C36" s="23">
        <v>440762227</v>
      </c>
      <c r="D36" s="23">
        <v>458928000</v>
      </c>
      <c r="E36" s="23">
        <f>D36-C36</f>
        <v>18165773</v>
      </c>
      <c r="F36" s="24">
        <f>IF(C36=0,0,E36/C36)</f>
        <v>0.041214450529582246</v>
      </c>
    </row>
    <row r="37" spans="1:6" ht="24" customHeight="1">
      <c r="A37" s="21">
        <v>2</v>
      </c>
      <c r="B37" s="22" t="s">
        <v>154</v>
      </c>
      <c r="C37" s="23">
        <v>236037724</v>
      </c>
      <c r="D37" s="23">
        <v>262993000</v>
      </c>
      <c r="E37" s="23">
        <f>D37-C37</f>
        <v>26955276</v>
      </c>
      <c r="F37" s="24">
        <f>IF(C37=0,0,E37/C37)</f>
        <v>0.11419901676394745</v>
      </c>
    </row>
    <row r="38" spans="1:6" ht="24" customHeight="1">
      <c r="A38" s="25"/>
      <c r="B38" s="26" t="s">
        <v>155</v>
      </c>
      <c r="C38" s="27">
        <f>C36-C37</f>
        <v>204724503</v>
      </c>
      <c r="D38" s="27">
        <f>D36-D37</f>
        <v>195935000</v>
      </c>
      <c r="E38" s="27">
        <f>D38-C38</f>
        <v>-8789503</v>
      </c>
      <c r="F38" s="28">
        <f>IF(C38=0,0,E38/C38)</f>
        <v>-0.04293332195804622</v>
      </c>
    </row>
    <row r="39" spans="1:6" ht="15" customHeight="1">
      <c r="A39" s="21"/>
      <c r="B39" s="5"/>
      <c r="C39" s="23"/>
      <c r="D39" s="23"/>
      <c r="E39" s="23"/>
      <c r="F39" s="24"/>
    </row>
    <row r="40" spans="1:6" ht="24" customHeight="1">
      <c r="A40" s="21">
        <v>3</v>
      </c>
      <c r="B40" s="22" t="s">
        <v>156</v>
      </c>
      <c r="C40" s="23">
        <v>29565121</v>
      </c>
      <c r="D40" s="23">
        <v>14792000</v>
      </c>
      <c r="E40" s="23">
        <f>D40-C40</f>
        <v>-14773121</v>
      </c>
      <c r="F40" s="24">
        <f>IF(C40=0,0,E40/C40)</f>
        <v>-0.4996807217531767</v>
      </c>
    </row>
    <row r="41" spans="1:6" ht="24" customHeight="1">
      <c r="A41" s="25"/>
      <c r="B41" s="26" t="s">
        <v>157</v>
      </c>
      <c r="C41" s="27">
        <f>+C38+C40</f>
        <v>234289624</v>
      </c>
      <c r="D41" s="27">
        <f>+D38+D40</f>
        <v>210727000</v>
      </c>
      <c r="E41" s="27">
        <f>D41-C41</f>
        <v>-23562624</v>
      </c>
      <c r="F41" s="28">
        <f>IF(C41=0,0,E41/C41)</f>
        <v>-0.10057049730892052</v>
      </c>
    </row>
    <row r="42" spans="1:6" ht="24" customHeight="1">
      <c r="A42" s="21"/>
      <c r="B42" s="22"/>
      <c r="C42" s="23"/>
      <c r="D42" s="23"/>
      <c r="E42" s="23"/>
      <c r="F42" s="24"/>
    </row>
    <row r="43" spans="1:6" ht="24" customHeight="1">
      <c r="A43" s="25"/>
      <c r="B43" s="26" t="s">
        <v>158</v>
      </c>
      <c r="C43" s="27">
        <f>C22+C29+C31+C32+C33+C41</f>
        <v>368045288</v>
      </c>
      <c r="D43" s="27">
        <f>D22+D29+D31+D32+D33+D41</f>
        <v>346309000</v>
      </c>
      <c r="E43" s="27">
        <f>D43-C43</f>
        <v>-21736288</v>
      </c>
      <c r="F43" s="28">
        <f>IF(C43=0,0,E43/C43)</f>
        <v>-0.059058731924316876</v>
      </c>
    </row>
    <row r="44" spans="1:6" ht="15.75" customHeight="1">
      <c r="A44" s="35"/>
      <c r="B44" s="3"/>
      <c r="C44" s="36"/>
      <c r="D44" s="36"/>
      <c r="E44" s="37"/>
      <c r="F44" s="5"/>
    </row>
    <row r="45" spans="1:8" s="6" customFormat="1" ht="15.75" customHeight="1">
      <c r="A45" s="13"/>
      <c r="B45" s="16"/>
      <c r="C45" s="38"/>
      <c r="D45" s="38"/>
      <c r="E45" s="38"/>
      <c r="F45" s="13"/>
      <c r="H45" s="12"/>
    </row>
    <row r="46" spans="1:6" s="6" customFormat="1" ht="15.75" customHeight="1">
      <c r="A46" s="17" t="s">
        <v>159</v>
      </c>
      <c r="B46" s="16" t="s">
        <v>160</v>
      </c>
      <c r="C46" s="39"/>
      <c r="D46" s="39"/>
      <c r="E46" s="40"/>
      <c r="F46" s="17"/>
    </row>
    <row r="47" spans="1:6" ht="16.5" customHeight="1">
      <c r="A47" s="17"/>
      <c r="B47" s="8"/>
      <c r="C47" s="39"/>
      <c r="D47" s="39"/>
      <c r="E47" s="40"/>
      <c r="F47" s="17"/>
    </row>
    <row r="48" spans="1:6" ht="15.75" customHeight="1">
      <c r="A48" s="29" t="s">
        <v>129</v>
      </c>
      <c r="B48" s="41" t="s">
        <v>161</v>
      </c>
      <c r="C48" s="23"/>
      <c r="D48" s="23"/>
      <c r="E48" s="23"/>
      <c r="F48" s="24"/>
    </row>
    <row r="49" spans="1:6" ht="24" customHeight="1">
      <c r="A49" s="21">
        <v>1</v>
      </c>
      <c r="B49" s="22" t="s">
        <v>162</v>
      </c>
      <c r="C49" s="23">
        <v>20272866</v>
      </c>
      <c r="D49" s="23">
        <v>24296000</v>
      </c>
      <c r="E49" s="23">
        <f aca="true" t="shared" si="2" ref="E49:E56">D49-C49</f>
        <v>4023134</v>
      </c>
      <c r="F49" s="24">
        <f aca="true" t="shared" si="3" ref="F49:F56">IF(C49=0,0,E49/C49)</f>
        <v>0.19844919805616038</v>
      </c>
    </row>
    <row r="50" spans="1:6" ht="24" customHeight="1">
      <c r="A50" s="21">
        <f aca="true" t="shared" si="4" ref="A50:A55">1+A49</f>
        <v>2</v>
      </c>
      <c r="B50" s="22" t="s">
        <v>163</v>
      </c>
      <c r="C50" s="23">
        <v>7981226</v>
      </c>
      <c r="D50" s="23">
        <v>9118000</v>
      </c>
      <c r="E50" s="23">
        <f t="shared" si="2"/>
        <v>1136774</v>
      </c>
      <c r="F50" s="24">
        <f t="shared" si="3"/>
        <v>0.1424309999491306</v>
      </c>
    </row>
    <row r="51" spans="1:6" ht="24" customHeight="1">
      <c r="A51" s="21">
        <f t="shared" si="4"/>
        <v>3</v>
      </c>
      <c r="B51" s="22" t="s">
        <v>164</v>
      </c>
      <c r="C51" s="23">
        <v>2758231</v>
      </c>
      <c r="D51" s="23">
        <v>1320000</v>
      </c>
      <c r="E51" s="23">
        <f t="shared" si="2"/>
        <v>-1438231</v>
      </c>
      <c r="F51" s="24">
        <f t="shared" si="3"/>
        <v>-0.5214323963438885</v>
      </c>
    </row>
    <row r="52" spans="1:6" ht="24" customHeight="1">
      <c r="A52" s="21">
        <f t="shared" si="4"/>
        <v>4</v>
      </c>
      <c r="B52" s="22" t="s">
        <v>165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>
      <c r="A53" s="21">
        <f t="shared" si="4"/>
        <v>5</v>
      </c>
      <c r="B53" s="22" t="s">
        <v>166</v>
      </c>
      <c r="C53" s="23">
        <v>8570645</v>
      </c>
      <c r="D53" s="23">
        <v>6003000</v>
      </c>
      <c r="E53" s="23">
        <f t="shared" si="2"/>
        <v>-2567645</v>
      </c>
      <c r="F53" s="24">
        <f t="shared" si="3"/>
        <v>-0.2995859704841351</v>
      </c>
    </row>
    <row r="54" spans="1:6" ht="24" customHeight="1">
      <c r="A54" s="21">
        <f t="shared" si="4"/>
        <v>6</v>
      </c>
      <c r="B54" s="22" t="s">
        <v>167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>
      <c r="A55" s="21">
        <f t="shared" si="4"/>
        <v>7</v>
      </c>
      <c r="B55" s="22" t="s">
        <v>168</v>
      </c>
      <c r="C55" s="23">
        <v>18236463</v>
      </c>
      <c r="D55" s="23">
        <v>20364000</v>
      </c>
      <c r="E55" s="23">
        <f t="shared" si="2"/>
        <v>2127537</v>
      </c>
      <c r="F55" s="24">
        <f t="shared" si="3"/>
        <v>0.11666390571461144</v>
      </c>
    </row>
    <row r="56" spans="1:6" ht="24" customHeight="1">
      <c r="A56" s="25"/>
      <c r="B56" s="26" t="s">
        <v>169</v>
      </c>
      <c r="C56" s="27">
        <f>SUM(C49:C55)</f>
        <v>57819431</v>
      </c>
      <c r="D56" s="27">
        <f>SUM(D49:D55)</f>
        <v>61101000</v>
      </c>
      <c r="E56" s="27">
        <f t="shared" si="2"/>
        <v>3281569</v>
      </c>
      <c r="F56" s="28">
        <f t="shared" si="3"/>
        <v>0.05675547031931186</v>
      </c>
    </row>
    <row r="57" spans="1:6" ht="24" customHeight="1">
      <c r="A57" s="21"/>
      <c r="B57" s="26"/>
      <c r="C57" s="42"/>
      <c r="D57" s="42"/>
      <c r="E57" s="42"/>
      <c r="F57" s="28"/>
    </row>
    <row r="58" spans="1:6" ht="15.75" customHeight="1">
      <c r="A58" s="29" t="s">
        <v>141</v>
      </c>
      <c r="B58" s="41" t="s">
        <v>170</v>
      </c>
      <c r="C58" s="23"/>
      <c r="D58" s="23"/>
      <c r="E58" s="23"/>
      <c r="F58" s="24"/>
    </row>
    <row r="59" spans="1:6" ht="24" customHeight="1">
      <c r="A59" s="21">
        <v>1</v>
      </c>
      <c r="B59" s="22" t="s">
        <v>171</v>
      </c>
      <c r="C59" s="23">
        <v>0</v>
      </c>
      <c r="D59" s="23">
        <v>0</v>
      </c>
      <c r="E59" s="23">
        <f>D59-C59</f>
        <v>0</v>
      </c>
      <c r="F59" s="24">
        <f>IF(C59=0,0,E59/C59)</f>
        <v>0</v>
      </c>
    </row>
    <row r="60" spans="1:6" ht="24" customHeight="1">
      <c r="A60" s="21">
        <v>2</v>
      </c>
      <c r="B60" s="22" t="s">
        <v>172</v>
      </c>
      <c r="C60" s="23">
        <v>111003223</v>
      </c>
      <c r="D60" s="23">
        <v>110395000</v>
      </c>
      <c r="E60" s="23">
        <f>D60-C60</f>
        <v>-608223</v>
      </c>
      <c r="F60" s="24">
        <f>IF(C60=0,0,E60/C60)</f>
        <v>-0.00547932738853898</v>
      </c>
    </row>
    <row r="61" spans="1:6" ht="24" customHeight="1">
      <c r="A61" s="25"/>
      <c r="B61" s="26" t="s">
        <v>173</v>
      </c>
      <c r="C61" s="27">
        <f>SUM(C59:C60)</f>
        <v>111003223</v>
      </c>
      <c r="D61" s="27">
        <f>SUM(D59:D60)</f>
        <v>110395000</v>
      </c>
      <c r="E61" s="27">
        <f>D61-C61</f>
        <v>-608223</v>
      </c>
      <c r="F61" s="28">
        <f>IF(C61=0,0,E61/C61)</f>
        <v>-0.00547932738853898</v>
      </c>
    </row>
    <row r="62" spans="1:6" ht="15" customHeight="1">
      <c r="A62" s="21"/>
      <c r="B62" s="5"/>
      <c r="C62" s="23"/>
      <c r="D62" s="23"/>
      <c r="E62" s="23"/>
      <c r="F62" s="24"/>
    </row>
    <row r="63" spans="1:6" ht="24" customHeight="1">
      <c r="A63" s="21">
        <v>3</v>
      </c>
      <c r="B63" s="22" t="s">
        <v>174</v>
      </c>
      <c r="C63" s="23">
        <v>24149415</v>
      </c>
      <c r="D63" s="23">
        <v>63748000</v>
      </c>
      <c r="E63" s="23">
        <f>D63-C63</f>
        <v>39598585</v>
      </c>
      <c r="F63" s="24">
        <f>IF(C63=0,0,E63/C63)</f>
        <v>1.6397326808951687</v>
      </c>
    </row>
    <row r="64" spans="1:6" ht="24" customHeight="1">
      <c r="A64" s="21">
        <v>4</v>
      </c>
      <c r="B64" s="22" t="s">
        <v>175</v>
      </c>
      <c r="C64" s="23">
        <v>33886061</v>
      </c>
      <c r="D64" s="23">
        <v>40252000</v>
      </c>
      <c r="E64" s="23">
        <f>D64-C64</f>
        <v>6365939</v>
      </c>
      <c r="F64" s="24">
        <f>IF(C64=0,0,E64/C64)</f>
        <v>0.1878630567300224</v>
      </c>
    </row>
    <row r="65" spans="1:6" ht="24" customHeight="1">
      <c r="A65" s="25"/>
      <c r="B65" s="26" t="s">
        <v>176</v>
      </c>
      <c r="C65" s="27">
        <f>SUM(C61:C64)</f>
        <v>169038699</v>
      </c>
      <c r="D65" s="27">
        <f>SUM(D61:D64)</f>
        <v>214395000</v>
      </c>
      <c r="E65" s="27">
        <f>D65-C65</f>
        <v>45356301</v>
      </c>
      <c r="F65" s="28">
        <f>IF(C65=0,0,E65/C65)</f>
        <v>0.26831903740574814</v>
      </c>
    </row>
    <row r="66" spans="2:6" ht="24" customHeight="1">
      <c r="B66" s="5"/>
      <c r="C66" s="23"/>
      <c r="D66" s="23"/>
      <c r="E66" s="23"/>
      <c r="F66" s="24"/>
    </row>
    <row r="67" spans="1:6" s="43" customFormat="1" ht="15" customHeight="1">
      <c r="A67" s="44">
        <v>5</v>
      </c>
      <c r="B67" s="45" t="s">
        <v>177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2:6" ht="15" customHeight="1">
      <c r="B68" s="5"/>
      <c r="C68" s="23"/>
      <c r="D68" s="23"/>
      <c r="E68" s="23"/>
      <c r="F68" s="24"/>
    </row>
    <row r="69" spans="1:6" ht="15.75" customHeight="1">
      <c r="A69" s="29" t="s">
        <v>151</v>
      </c>
      <c r="B69" s="41" t="s">
        <v>178</v>
      </c>
      <c r="C69" s="23"/>
      <c r="D69" s="23"/>
      <c r="E69" s="23"/>
      <c r="F69" s="24"/>
    </row>
    <row r="70" spans="1:6" ht="24" customHeight="1">
      <c r="A70" s="21">
        <v>1</v>
      </c>
      <c r="B70" s="22" t="s">
        <v>179</v>
      </c>
      <c r="C70" s="23">
        <v>111130289</v>
      </c>
      <c r="D70" s="23">
        <v>42615000</v>
      </c>
      <c r="E70" s="23">
        <f>D70-C70</f>
        <v>-68515289</v>
      </c>
      <c r="F70" s="24">
        <f>IF(C70=0,0,E70/C70)</f>
        <v>-0.6165311871005753</v>
      </c>
    </row>
    <row r="71" spans="1:6" ht="24" customHeight="1">
      <c r="A71" s="21">
        <v>2</v>
      </c>
      <c r="B71" s="22" t="s">
        <v>180</v>
      </c>
      <c r="C71" s="23">
        <v>23159010</v>
      </c>
      <c r="D71" s="23">
        <v>20215000</v>
      </c>
      <c r="E71" s="23">
        <f>D71-C71</f>
        <v>-2944010</v>
      </c>
      <c r="F71" s="24">
        <f>IF(C71=0,0,E71/C71)</f>
        <v>-0.12712158248560712</v>
      </c>
    </row>
    <row r="72" spans="1:6" ht="24" customHeight="1">
      <c r="A72" s="21">
        <v>3</v>
      </c>
      <c r="B72" s="22" t="s">
        <v>181</v>
      </c>
      <c r="C72" s="23">
        <v>6897859</v>
      </c>
      <c r="D72" s="23">
        <v>7983000</v>
      </c>
      <c r="E72" s="23">
        <f>D72-C72</f>
        <v>1085141</v>
      </c>
      <c r="F72" s="24">
        <f>IF(C72=0,0,E72/C72)</f>
        <v>0.15731562503669616</v>
      </c>
    </row>
    <row r="73" spans="1:6" ht="24" customHeight="1">
      <c r="A73" s="21"/>
      <c r="B73" s="26" t="s">
        <v>182</v>
      </c>
      <c r="C73" s="27">
        <f>SUM(C70:C72)</f>
        <v>141187158</v>
      </c>
      <c r="D73" s="27">
        <f>SUM(D70:D72)</f>
        <v>70813000</v>
      </c>
      <c r="E73" s="27">
        <f>D73-C73</f>
        <v>-70374158</v>
      </c>
      <c r="F73" s="28">
        <f>IF(C73=0,0,E73/C73)</f>
        <v>-0.4984458855670145</v>
      </c>
    </row>
    <row r="74" spans="2:6" ht="24" customHeight="1">
      <c r="B74" s="26"/>
      <c r="C74" s="23"/>
      <c r="D74" s="23"/>
      <c r="E74" s="23"/>
      <c r="F74" s="24"/>
    </row>
    <row r="75" spans="1:6" ht="15.75" customHeight="1">
      <c r="A75" s="21"/>
      <c r="B75" s="26" t="s">
        <v>183</v>
      </c>
      <c r="C75" s="27">
        <f>C56+C65+C67+C73</f>
        <v>368045288</v>
      </c>
      <c r="D75" s="27">
        <f>D56+D65+D67+D73</f>
        <v>346309000</v>
      </c>
      <c r="E75" s="27">
        <f>D75-C75</f>
        <v>-21736288</v>
      </c>
      <c r="F75" s="28">
        <f>IF(C75=0,0,E75/C75)</f>
        <v>-0.059058731924316876</v>
      </c>
    </row>
    <row r="76" spans="2:6" ht="24" customHeight="1">
      <c r="B76" s="26"/>
      <c r="C76" s="42"/>
      <c r="D76" s="42"/>
      <c r="E76" s="42"/>
      <c r="F76" s="28"/>
    </row>
    <row r="77" spans="1:6" ht="24" customHeight="1">
      <c r="A77" s="29"/>
      <c r="B77" s="47"/>
      <c r="C77" s="27"/>
      <c r="D77" s="27"/>
      <c r="E77" s="27"/>
      <c r="F77" s="28"/>
    </row>
    <row r="78" spans="1:6" ht="24" customHeight="1">
      <c r="A78" s="21"/>
      <c r="B78" s="48"/>
      <c r="C78" s="49"/>
      <c r="D78" s="49"/>
      <c r="E78" s="49"/>
      <c r="F78" s="28"/>
    </row>
    <row r="79" spans="1:6" ht="47.25" customHeight="1">
      <c r="A79" s="21"/>
      <c r="B79" s="50"/>
      <c r="C79" s="51"/>
      <c r="D79" s="51"/>
      <c r="E79" s="52"/>
      <c r="F79" s="28"/>
    </row>
    <row r="80" spans="1:6" ht="24" customHeight="1">
      <c r="A80" s="21"/>
      <c r="B80" s="26"/>
      <c r="C80" s="27"/>
      <c r="D80" s="27"/>
      <c r="E80" s="53"/>
      <c r="F80" s="28"/>
    </row>
    <row r="81" spans="1:6" ht="24" customHeight="1">
      <c r="A81" s="21"/>
      <c r="B81" s="26"/>
      <c r="C81" s="27"/>
      <c r="D81" s="27"/>
      <c r="E81" s="53"/>
      <c r="F81" s="28"/>
    </row>
    <row r="82" spans="1:6" ht="24" customHeight="1">
      <c r="A82" s="21"/>
      <c r="B82" s="21"/>
      <c r="C82" s="54"/>
      <c r="D82" s="5"/>
      <c r="E82" s="5"/>
      <c r="F82" s="5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spans="7:8" ht="12.75" customHeight="1">
      <c r="G100" s="6"/>
      <c r="H100" s="12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spans="7:8" ht="12.75" customHeight="1">
      <c r="G118" s="6"/>
      <c r="H118" s="12"/>
    </row>
    <row r="119" ht="12.75" customHeight="1"/>
    <row r="120" ht="12.75" customHeight="1"/>
    <row r="121" ht="12.75" customHeight="1"/>
    <row r="122" ht="12.75" customHeight="1"/>
    <row r="123" ht="14.25" customHeight="1"/>
    <row r="124" ht="15.75" customHeight="1"/>
    <row r="125" ht="9.75" customHeight="1"/>
    <row r="126" ht="15.75" customHeight="1"/>
    <row r="127" ht="12.75" customHeight="1"/>
    <row r="128" spans="7:8" ht="12.75" customHeight="1">
      <c r="G128" s="6"/>
      <c r="H128" s="12"/>
    </row>
    <row r="129" ht="12.75" customHeight="1"/>
    <row r="130" ht="12.75" customHeight="1"/>
    <row r="131" ht="12.75" customHeight="1"/>
    <row r="132" ht="12.75" customHeight="1"/>
    <row r="133" ht="12.75" customHeight="1"/>
  </sheetData>
  <sheetProtection/>
  <printOptions gridLines="1"/>
  <pageMargins left="0.25" right="0.25" top="0.5" bottom="0.5" header="0.25" footer="0.25"/>
  <pageSetup fitToHeight="2" horizontalDpi="1200" verticalDpi="1200" orientation="portrait" paperSize="9" scale="74" r:id="rId1"/>
  <headerFooter alignWithMargins="0">
    <oddHeader>&amp;LOFFICE OF HEALTH CARE ACCESS&amp;CTWELVE MONTHS ACTUAL FILING&amp;RSTAMFORD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80"/>
  <sheetViews>
    <sheetView zoomScale="70" zoomScaleNormal="70" zoomScaleSheetLayoutView="75" zoomScalePageLayoutView="0" workbookViewId="0" topLeftCell="A1">
      <selection activeCell="A1" sqref="A1:E1"/>
    </sheetView>
  </sheetViews>
  <sheetFormatPr defaultColWidth="9.140625" defaultRowHeight="24" customHeight="1"/>
  <cols>
    <col min="1" max="1" width="5.7109375" style="55" customWidth="1"/>
    <col min="2" max="2" width="66.421875" style="55" customWidth="1"/>
    <col min="3" max="3" width="20.42187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 customWidth="1"/>
  </cols>
  <sheetData>
    <row r="1" spans="1:5" ht="24" customHeight="1">
      <c r="A1" s="695" t="s">
        <v>594</v>
      </c>
      <c r="B1" s="696"/>
      <c r="C1" s="696"/>
      <c r="D1" s="696"/>
      <c r="E1" s="697"/>
    </row>
    <row r="2" spans="1:5" ht="24" customHeight="1">
      <c r="A2" s="695" t="s">
        <v>116</v>
      </c>
      <c r="B2" s="696"/>
      <c r="C2" s="696"/>
      <c r="D2" s="696"/>
      <c r="E2" s="697"/>
    </row>
    <row r="3" spans="1:5" ht="24" customHeight="1">
      <c r="A3" s="695" t="s">
        <v>117</v>
      </c>
      <c r="B3" s="696"/>
      <c r="C3" s="696"/>
      <c r="D3" s="696"/>
      <c r="E3" s="697"/>
    </row>
    <row r="4" spans="1:5" ht="24" customHeight="1">
      <c r="A4" s="695" t="s">
        <v>597</v>
      </c>
      <c r="B4" s="696"/>
      <c r="C4" s="696"/>
      <c r="D4" s="696"/>
      <c r="E4" s="697"/>
    </row>
    <row r="5" spans="1:6" ht="24" customHeight="1">
      <c r="A5" s="695"/>
      <c r="B5" s="696"/>
      <c r="C5" s="696"/>
      <c r="D5" s="696"/>
      <c r="E5" s="697"/>
      <c r="F5" s="57"/>
    </row>
    <row r="6" spans="1:6" ht="24" customHeight="1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>
      <c r="A7" s="60"/>
      <c r="B7" s="58"/>
      <c r="C7" s="59" t="s">
        <v>125</v>
      </c>
      <c r="D7" s="59" t="s">
        <v>125</v>
      </c>
      <c r="E7" s="59" t="s">
        <v>125</v>
      </c>
      <c r="F7" s="59"/>
    </row>
    <row r="8" spans="1:6" ht="24" customHeight="1">
      <c r="A8" s="61" t="s">
        <v>123</v>
      </c>
      <c r="B8" s="62" t="s">
        <v>124</v>
      </c>
      <c r="C8" s="264" t="s">
        <v>422</v>
      </c>
      <c r="D8" s="264" t="s">
        <v>119</v>
      </c>
      <c r="E8" s="264" t="s">
        <v>120</v>
      </c>
      <c r="F8" s="63"/>
    </row>
    <row r="9" spans="2:6" ht="24" customHeight="1">
      <c r="B9" s="62"/>
      <c r="C9" s="67"/>
      <c r="D9" s="67"/>
      <c r="E9" s="69"/>
      <c r="F9" s="69"/>
    </row>
    <row r="10" spans="1:6" ht="24" customHeight="1">
      <c r="A10" s="123" t="s">
        <v>129</v>
      </c>
      <c r="B10" s="187" t="s">
        <v>598</v>
      </c>
      <c r="C10" s="27"/>
      <c r="D10" s="27"/>
      <c r="E10" s="53"/>
      <c r="F10" s="28"/>
    </row>
    <row r="11" spans="1:6" ht="24" customHeight="1">
      <c r="A11" s="44">
        <v>1</v>
      </c>
      <c r="B11" s="48" t="s">
        <v>599</v>
      </c>
      <c r="C11" s="51">
        <v>324740645</v>
      </c>
      <c r="D11" s="51">
        <v>381968990</v>
      </c>
      <c r="E11" s="51">
        <v>415589837</v>
      </c>
      <c r="F11" s="28"/>
    </row>
    <row r="12" spans="1:6" ht="24" customHeight="1">
      <c r="A12" s="44">
        <v>2</v>
      </c>
      <c r="B12" s="48" t="s">
        <v>191</v>
      </c>
      <c r="C12" s="49">
        <v>52514611</v>
      </c>
      <c r="D12" s="49">
        <v>52150010</v>
      </c>
      <c r="E12" s="49">
        <v>66911271</v>
      </c>
      <c r="F12" s="28"/>
    </row>
    <row r="13" spans="1:6" s="56" customFormat="1" ht="24" customHeight="1">
      <c r="A13" s="44">
        <v>3</v>
      </c>
      <c r="B13" s="48" t="s">
        <v>193</v>
      </c>
      <c r="C13" s="51">
        <f>+C11+C12</f>
        <v>377255256</v>
      </c>
      <c r="D13" s="51">
        <f>+D11+D12</f>
        <v>434119000</v>
      </c>
      <c r="E13" s="51">
        <f>+E11+E12</f>
        <v>482501108</v>
      </c>
      <c r="F13" s="70"/>
    </row>
    <row r="14" spans="1:6" s="56" customFormat="1" ht="24" customHeight="1">
      <c r="A14" s="44">
        <v>4</v>
      </c>
      <c r="B14" s="48" t="s">
        <v>204</v>
      </c>
      <c r="C14" s="49">
        <v>365159000</v>
      </c>
      <c r="D14" s="49">
        <v>415064049</v>
      </c>
      <c r="E14" s="49">
        <v>457532316</v>
      </c>
      <c r="F14" s="70"/>
    </row>
    <row r="15" spans="1:6" s="56" customFormat="1" ht="24" customHeight="1">
      <c r="A15" s="44">
        <v>5</v>
      </c>
      <c r="B15" s="48" t="s">
        <v>205</v>
      </c>
      <c r="C15" s="51">
        <f>+C13-C14</f>
        <v>12096256</v>
      </c>
      <c r="D15" s="51">
        <f>+D13-D14</f>
        <v>19054951</v>
      </c>
      <c r="E15" s="51">
        <f>+E13-E14</f>
        <v>24968792</v>
      </c>
      <c r="F15" s="70"/>
    </row>
    <row r="16" spans="1:6" s="56" customFormat="1" ht="24" customHeight="1">
      <c r="A16" s="44">
        <v>6</v>
      </c>
      <c r="B16" s="48" t="s">
        <v>210</v>
      </c>
      <c r="C16" s="49">
        <v>12492744</v>
      </c>
      <c r="D16" s="49">
        <v>-15537951</v>
      </c>
      <c r="E16" s="49">
        <v>-3299305</v>
      </c>
      <c r="F16" s="70"/>
    </row>
    <row r="17" spans="1:6" s="56" customFormat="1" ht="24" customHeight="1">
      <c r="A17" s="44">
        <v>7</v>
      </c>
      <c r="B17" s="45" t="s">
        <v>425</v>
      </c>
      <c r="C17" s="51">
        <f>C15+C16</f>
        <v>24589000</v>
      </c>
      <c r="D17" s="51">
        <f>D15+D16</f>
        <v>3517000</v>
      </c>
      <c r="E17" s="51">
        <f>E15+E16</f>
        <v>21669487</v>
      </c>
      <c r="F17" s="70"/>
    </row>
    <row r="18" spans="1:6" ht="24" customHeight="1">
      <c r="A18" s="44"/>
      <c r="B18" s="45"/>
      <c r="C18" s="167"/>
      <c r="D18" s="167"/>
      <c r="E18" s="168"/>
      <c r="F18" s="28"/>
    </row>
    <row r="19" spans="1:14" ht="24" customHeight="1">
      <c r="A19" s="123" t="s">
        <v>141</v>
      </c>
      <c r="B19" s="30" t="s">
        <v>600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>
      <c r="A20" s="266">
        <v>1</v>
      </c>
      <c r="B20" s="45" t="s">
        <v>601</v>
      </c>
      <c r="C20" s="169">
        <f>IF(+C27=0,0,+C24/+C27)</f>
        <v>0.031036095117871036</v>
      </c>
      <c r="D20" s="169">
        <f>IF(+D27=0,0,+D24/+D27)</f>
        <v>0.04552272742763373</v>
      </c>
      <c r="E20" s="169">
        <f>IF(+E27=0,0,+E24/+E27)</f>
        <v>0.05210496255165384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>
      <c r="A21" s="266">
        <v>2</v>
      </c>
      <c r="B21" s="45" t="s">
        <v>602</v>
      </c>
      <c r="C21" s="169">
        <f>IF(+C27=0,0,+C26/+C27)</f>
        <v>0.03205338834323717</v>
      </c>
      <c r="D21" s="169">
        <f>IF(+D27=0,0,+D26/+D27)</f>
        <v>-0.037120531464863334</v>
      </c>
      <c r="E21" s="169">
        <f>IF(+E27=0,0,+E26/+E27)</f>
        <v>-0.006885001223586798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>
      <c r="A22" s="266">
        <v>3</v>
      </c>
      <c r="B22" s="45" t="s">
        <v>603</v>
      </c>
      <c r="C22" s="169">
        <f>IF(+C27=0,0,+C28/+C27)</f>
        <v>0.06308948346110821</v>
      </c>
      <c r="D22" s="169">
        <f>IF(+D27=0,0,+D28/+D27)</f>
        <v>0.008402195962770403</v>
      </c>
      <c r="E22" s="169">
        <f>IF(+E27=0,0,+E28/+E27)</f>
        <v>0.04521996132806704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>
      <c r="A24" s="202">
        <v>4</v>
      </c>
      <c r="B24" s="48" t="s">
        <v>205</v>
      </c>
      <c r="C24" s="51">
        <f>+C15</f>
        <v>12096256</v>
      </c>
      <c r="D24" s="51">
        <f>+D15</f>
        <v>19054951</v>
      </c>
      <c r="E24" s="51">
        <f>+E15</f>
        <v>24968792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>
      <c r="A25" s="202">
        <v>5</v>
      </c>
      <c r="B25" s="48" t="s">
        <v>193</v>
      </c>
      <c r="C25" s="51">
        <f>+C13</f>
        <v>377255256</v>
      </c>
      <c r="D25" s="51">
        <f>+D13</f>
        <v>434119000</v>
      </c>
      <c r="E25" s="51">
        <f>+E13</f>
        <v>482501108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>
      <c r="A26" s="202">
        <v>6</v>
      </c>
      <c r="B26" s="48" t="s">
        <v>210</v>
      </c>
      <c r="C26" s="51">
        <f>+C16</f>
        <v>12492744</v>
      </c>
      <c r="D26" s="51">
        <f>+D16</f>
        <v>-15537951</v>
      </c>
      <c r="E26" s="51">
        <f>+E16</f>
        <v>-3299305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>
      <c r="A27" s="202">
        <v>7</v>
      </c>
      <c r="B27" s="48" t="s">
        <v>430</v>
      </c>
      <c r="C27" s="51">
        <f>SUM(C25:C26)</f>
        <v>389748000</v>
      </c>
      <c r="D27" s="51">
        <f>SUM(D25:D26)</f>
        <v>418581049</v>
      </c>
      <c r="E27" s="51">
        <f>SUM(E25:E26)</f>
        <v>479201803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>
      <c r="A28" s="202">
        <v>8</v>
      </c>
      <c r="B28" s="45" t="s">
        <v>425</v>
      </c>
      <c r="C28" s="51">
        <f>+C17</f>
        <v>24589000</v>
      </c>
      <c r="D28" s="51">
        <f>+D17</f>
        <v>3517000</v>
      </c>
      <c r="E28" s="51">
        <f>+E17</f>
        <v>21669487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>
      <c r="A30" s="11" t="s">
        <v>151</v>
      </c>
      <c r="B30" s="41" t="s">
        <v>604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>
      <c r="A31" s="44">
        <v>1</v>
      </c>
      <c r="B31" s="48" t="s">
        <v>605</v>
      </c>
      <c r="C31" s="51">
        <v>165949000</v>
      </c>
      <c r="D31" s="51">
        <v>161263000</v>
      </c>
      <c r="E31" s="52">
        <v>137780000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>
      <c r="A32" s="25">
        <v>2</v>
      </c>
      <c r="B32" s="48" t="s">
        <v>606</v>
      </c>
      <c r="C32" s="51">
        <v>201084000</v>
      </c>
      <c r="D32" s="51">
        <v>193728000</v>
      </c>
      <c r="E32" s="51">
        <v>168386000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>
      <c r="A33" s="25">
        <v>3</v>
      </c>
      <c r="B33" s="45" t="s">
        <v>607</v>
      </c>
      <c r="C33" s="51">
        <v>201084000</v>
      </c>
      <c r="D33" s="51">
        <f>+D32-C32</f>
        <v>-7356000</v>
      </c>
      <c r="E33" s="51">
        <f>+E32-D32</f>
        <v>-25342000</v>
      </c>
      <c r="F33" s="28"/>
      <c r="H33" s="265"/>
      <c r="I33" s="265"/>
      <c r="J33" s="265"/>
      <c r="K33" s="265"/>
      <c r="L33" s="265"/>
      <c r="M33" s="265"/>
      <c r="N33" s="265"/>
    </row>
    <row r="34" spans="1:6" ht="24" customHeight="1">
      <c r="A34" s="25">
        <v>4</v>
      </c>
      <c r="B34" s="45" t="s">
        <v>608</v>
      </c>
      <c r="C34" s="171">
        <v>0</v>
      </c>
      <c r="D34" s="171">
        <f>IF(C32=0,0,+D33/C32)</f>
        <v>-0.036581727039446205</v>
      </c>
      <c r="E34" s="171">
        <f>IF(D32=0,0,+E33/D32)</f>
        <v>-0.1308122728774364</v>
      </c>
      <c r="F34" s="28"/>
    </row>
    <row r="35" spans="5:6" ht="24" customHeight="1">
      <c r="E35" s="55"/>
      <c r="F35" s="28"/>
    </row>
    <row r="36" spans="1:6" ht="15.75" customHeight="1">
      <c r="A36" s="20" t="s">
        <v>436</v>
      </c>
      <c r="B36" s="16" t="s">
        <v>458</v>
      </c>
      <c r="C36" s="267"/>
      <c r="D36" s="267"/>
      <c r="E36" s="268"/>
      <c r="F36" s="28"/>
    </row>
    <row r="37" spans="1:6" ht="24" customHeight="1">
      <c r="A37" s="20"/>
      <c r="B37" s="16"/>
      <c r="C37" s="267"/>
      <c r="D37" s="267"/>
      <c r="E37" s="268"/>
      <c r="F37" s="28"/>
    </row>
    <row r="38" spans="1:6" ht="24" customHeight="1">
      <c r="A38" s="20">
        <v>1</v>
      </c>
      <c r="B38" s="187" t="s">
        <v>459</v>
      </c>
      <c r="C38" s="269">
        <f>IF(+C40=0,0,+C39/+C40)</f>
        <v>1.6107463191741411</v>
      </c>
      <c r="D38" s="269">
        <f>IF(+D40=0,0,+D39/+D40)</f>
        <v>1.281243909908405</v>
      </c>
      <c r="E38" s="269">
        <f>IF(+E40=0,0,+E39/+E40)</f>
        <v>1.333887325786822</v>
      </c>
      <c r="F38" s="28"/>
    </row>
    <row r="39" spans="1:6" ht="24" customHeight="1">
      <c r="A39" s="17">
        <v>2</v>
      </c>
      <c r="B39" s="45" t="s">
        <v>140</v>
      </c>
      <c r="C39" s="270">
        <v>95179000</v>
      </c>
      <c r="D39" s="270">
        <v>92042000</v>
      </c>
      <c r="E39" s="270">
        <v>101929000</v>
      </c>
      <c r="F39" s="28"/>
    </row>
    <row r="40" spans="1:5" ht="24" customHeight="1">
      <c r="A40" s="17">
        <v>3</v>
      </c>
      <c r="B40" s="45" t="s">
        <v>169</v>
      </c>
      <c r="C40" s="270">
        <v>59090000</v>
      </c>
      <c r="D40" s="270">
        <v>71838000</v>
      </c>
      <c r="E40" s="270">
        <v>76415000</v>
      </c>
    </row>
    <row r="41" spans="1:5" ht="24" customHeight="1">
      <c r="A41" s="17"/>
      <c r="B41" s="8"/>
      <c r="C41" s="267"/>
      <c r="D41" s="267"/>
      <c r="E41" s="268"/>
    </row>
    <row r="42" spans="1:5" ht="24" customHeight="1">
      <c r="A42" s="20">
        <v>4</v>
      </c>
      <c r="B42" s="187" t="s">
        <v>460</v>
      </c>
      <c r="C42" s="271">
        <f>IF((C48/365)=0,0,+C45/(C48/365))</f>
        <v>37.58463002315099</v>
      </c>
      <c r="D42" s="271">
        <f>IF((D48/365)=0,0,+D45/(D48/365))</f>
        <v>23.54657060472613</v>
      </c>
      <c r="E42" s="271">
        <f>IF((E48/365)=0,0,+E45/(E48/365))</f>
        <v>28.782412789479693</v>
      </c>
    </row>
    <row r="43" spans="1:5" ht="24" customHeight="1">
      <c r="A43" s="17">
        <v>5</v>
      </c>
      <c r="B43" s="188" t="s">
        <v>131</v>
      </c>
      <c r="C43" s="272">
        <v>34818000</v>
      </c>
      <c r="D43" s="272">
        <v>15009000</v>
      </c>
      <c r="E43" s="272">
        <v>33269000</v>
      </c>
    </row>
    <row r="44" spans="1:5" ht="24" customHeight="1">
      <c r="A44" s="17">
        <v>6</v>
      </c>
      <c r="B44" s="273" t="s">
        <v>132</v>
      </c>
      <c r="C44" s="274">
        <v>165000</v>
      </c>
      <c r="D44" s="274">
        <v>10121000</v>
      </c>
      <c r="E44" s="274">
        <v>166000</v>
      </c>
    </row>
    <row r="45" spans="1:5" ht="24" customHeight="1">
      <c r="A45" s="17">
        <v>7</v>
      </c>
      <c r="B45" s="45" t="s">
        <v>461</v>
      </c>
      <c r="C45" s="270">
        <f>+C43+C44</f>
        <v>34983000</v>
      </c>
      <c r="D45" s="270">
        <f>+D43+D44</f>
        <v>25130000</v>
      </c>
      <c r="E45" s="270">
        <f>+E43+E44</f>
        <v>33435000</v>
      </c>
    </row>
    <row r="46" spans="1:5" ht="24" customHeight="1">
      <c r="A46" s="17">
        <v>8</v>
      </c>
      <c r="B46" s="45" t="s">
        <v>439</v>
      </c>
      <c r="C46" s="270">
        <f>+C14</f>
        <v>365159000</v>
      </c>
      <c r="D46" s="270">
        <f>+D14</f>
        <v>415064049</v>
      </c>
      <c r="E46" s="270">
        <f>+E14</f>
        <v>457532316</v>
      </c>
    </row>
    <row r="47" spans="1:5" ht="24" customHeight="1">
      <c r="A47" s="17">
        <v>9</v>
      </c>
      <c r="B47" s="45" t="s">
        <v>462</v>
      </c>
      <c r="C47" s="270">
        <v>25424513</v>
      </c>
      <c r="D47" s="270">
        <v>25519000</v>
      </c>
      <c r="E47" s="270">
        <v>33531205</v>
      </c>
    </row>
    <row r="48" spans="1:5" ht="24" customHeight="1">
      <c r="A48" s="17">
        <v>10</v>
      </c>
      <c r="B48" s="45" t="s">
        <v>463</v>
      </c>
      <c r="C48" s="270">
        <f>+C46-C47</f>
        <v>339734487</v>
      </c>
      <c r="D48" s="270">
        <f>+D46-D47</f>
        <v>389545049</v>
      </c>
      <c r="E48" s="270">
        <f>+E46-E47</f>
        <v>424001111</v>
      </c>
    </row>
    <row r="49" spans="1:5" ht="24" customHeight="1">
      <c r="A49" s="275"/>
      <c r="B49" s="8"/>
      <c r="C49" s="276"/>
      <c r="D49" s="276"/>
      <c r="E49" s="277"/>
    </row>
    <row r="50" spans="1:5" ht="24" customHeight="1">
      <c r="A50" s="20">
        <v>11</v>
      </c>
      <c r="B50" s="187" t="s">
        <v>464</v>
      </c>
      <c r="C50" s="278">
        <f>IF((C55/365)=0,0,+C54/(C55/365))</f>
        <v>45.92107649475168</v>
      </c>
      <c r="D50" s="278">
        <f>IF((D55/365)=0,0,+D54/(D55/365))</f>
        <v>45.94691050705451</v>
      </c>
      <c r="E50" s="278">
        <f>IF((E55/365)=0,0,+E54/(E55/365))</f>
        <v>37.95530736234053</v>
      </c>
    </row>
    <row r="51" spans="1:5" ht="24" customHeight="1">
      <c r="A51" s="17">
        <v>12</v>
      </c>
      <c r="B51" s="188" t="s">
        <v>465</v>
      </c>
      <c r="C51" s="279">
        <v>43117000</v>
      </c>
      <c r="D51" s="279">
        <v>50841000</v>
      </c>
      <c r="E51" s="279">
        <v>51211000</v>
      </c>
    </row>
    <row r="52" spans="1:5" ht="24" customHeight="1">
      <c r="A52" s="17">
        <v>13</v>
      </c>
      <c r="B52" s="188" t="s">
        <v>136</v>
      </c>
      <c r="C52" s="270">
        <v>0</v>
      </c>
      <c r="D52" s="270">
        <v>0</v>
      </c>
      <c r="E52" s="270">
        <v>0</v>
      </c>
    </row>
    <row r="53" spans="1:5" ht="24" customHeight="1">
      <c r="A53" s="17">
        <v>14</v>
      </c>
      <c r="B53" s="188" t="s">
        <v>164</v>
      </c>
      <c r="C53" s="270">
        <v>2261000</v>
      </c>
      <c r="D53" s="270">
        <v>2758000</v>
      </c>
      <c r="E53" s="270">
        <v>7995000</v>
      </c>
    </row>
    <row r="54" spans="1:5" ht="32.25" customHeight="1">
      <c r="A54" s="17">
        <v>15</v>
      </c>
      <c r="B54" s="45" t="s">
        <v>466</v>
      </c>
      <c r="C54" s="280">
        <f>+C51+C52-C53</f>
        <v>40856000</v>
      </c>
      <c r="D54" s="280">
        <f>+D51+D52-D53</f>
        <v>48083000</v>
      </c>
      <c r="E54" s="280">
        <f>+E51+E52-E53</f>
        <v>43216000</v>
      </c>
    </row>
    <row r="55" spans="1:5" ht="24" customHeight="1">
      <c r="A55" s="17">
        <v>16</v>
      </c>
      <c r="B55" s="45" t="s">
        <v>190</v>
      </c>
      <c r="C55" s="270">
        <f>+C11</f>
        <v>324740645</v>
      </c>
      <c r="D55" s="270">
        <f>+D11</f>
        <v>381968990</v>
      </c>
      <c r="E55" s="270">
        <f>+E11</f>
        <v>415589837</v>
      </c>
    </row>
    <row r="56" spans="1:5" ht="24" customHeight="1">
      <c r="A56" s="275"/>
      <c r="B56" s="45"/>
      <c r="C56" s="281"/>
      <c r="D56" s="282"/>
      <c r="E56" s="282"/>
    </row>
    <row r="57" spans="1:5" ht="24" customHeight="1">
      <c r="A57" s="20">
        <v>17</v>
      </c>
      <c r="B57" s="187" t="s">
        <v>467</v>
      </c>
      <c r="C57" s="283">
        <f>IF((C61/365)=0,0,+C58/(C61/365))</f>
        <v>63.48442923900157</v>
      </c>
      <c r="D57" s="283">
        <f>IF((D61/365)=0,0,+D58/(D61/365))</f>
        <v>67.3115216515048</v>
      </c>
      <c r="E57" s="283">
        <f>IF((E61/365)=0,0,+E58/(E61/365))</f>
        <v>65.78160829394619</v>
      </c>
    </row>
    <row r="58" spans="1:5" ht="24" customHeight="1">
      <c r="A58" s="17">
        <v>18</v>
      </c>
      <c r="B58" s="45" t="s">
        <v>169</v>
      </c>
      <c r="C58" s="281">
        <f>+C40</f>
        <v>59090000</v>
      </c>
      <c r="D58" s="281">
        <f>+D40</f>
        <v>71838000</v>
      </c>
      <c r="E58" s="281">
        <f>+E40</f>
        <v>76415000</v>
      </c>
    </row>
    <row r="59" spans="1:5" ht="24" customHeight="1">
      <c r="A59" s="17">
        <v>19</v>
      </c>
      <c r="B59" s="45" t="s">
        <v>439</v>
      </c>
      <c r="C59" s="281">
        <f aca="true" t="shared" si="0" ref="C59:E60">+C46</f>
        <v>365159000</v>
      </c>
      <c r="D59" s="281">
        <f t="shared" si="0"/>
        <v>415064049</v>
      </c>
      <c r="E59" s="281">
        <f t="shared" si="0"/>
        <v>457532316</v>
      </c>
    </row>
    <row r="60" spans="1:5" ht="24" customHeight="1">
      <c r="A60" s="17">
        <v>20</v>
      </c>
      <c r="B60" s="45" t="s">
        <v>462</v>
      </c>
      <c r="C60" s="176">
        <f t="shared" si="0"/>
        <v>25424513</v>
      </c>
      <c r="D60" s="176">
        <f t="shared" si="0"/>
        <v>25519000</v>
      </c>
      <c r="E60" s="176">
        <f t="shared" si="0"/>
        <v>33531205</v>
      </c>
    </row>
    <row r="61" spans="1:5" ht="24" customHeight="1">
      <c r="A61" s="17">
        <v>21</v>
      </c>
      <c r="B61" s="45" t="s">
        <v>468</v>
      </c>
      <c r="C61" s="281">
        <f>+C59-C60</f>
        <v>339734487</v>
      </c>
      <c r="D61" s="281">
        <f>+D59-D60</f>
        <v>389545049</v>
      </c>
      <c r="E61" s="281">
        <f>+E59-E60</f>
        <v>424001111</v>
      </c>
    </row>
    <row r="62" spans="1:5" ht="24" customHeight="1">
      <c r="A62" s="275"/>
      <c r="B62" s="45"/>
      <c r="C62" s="281"/>
      <c r="D62" s="281"/>
      <c r="E62" s="268"/>
    </row>
    <row r="63" spans="1:5" ht="24" customHeight="1">
      <c r="A63" s="20" t="s">
        <v>457</v>
      </c>
      <c r="B63" s="16" t="s">
        <v>470</v>
      </c>
      <c r="C63" s="281"/>
      <c r="D63" s="281"/>
      <c r="E63" s="268"/>
    </row>
    <row r="64" spans="1:5" ht="24" customHeight="1">
      <c r="A64" s="20"/>
      <c r="B64" s="16"/>
      <c r="C64" s="281"/>
      <c r="D64" s="281"/>
      <c r="E64" s="268"/>
    </row>
    <row r="65" spans="1:5" ht="24" customHeight="1">
      <c r="A65" s="20">
        <v>1</v>
      </c>
      <c r="B65" s="187" t="s">
        <v>471</v>
      </c>
      <c r="C65" s="284">
        <f>IF(C67=0,0,(C66/C67)*100)</f>
        <v>37.91548190999118</v>
      </c>
      <c r="D65" s="284">
        <f>IF(D67=0,0,(D66/D67)*100)</f>
        <v>35.00553827917625</v>
      </c>
      <c r="E65" s="284">
        <f>IF(E67=0,0,(E66/E67)*100)</f>
        <v>29.661036355405397</v>
      </c>
    </row>
    <row r="66" spans="1:5" ht="24" customHeight="1">
      <c r="A66" s="17">
        <v>2</v>
      </c>
      <c r="B66" s="45" t="s">
        <v>182</v>
      </c>
      <c r="C66" s="281">
        <f>+C32</f>
        <v>201084000</v>
      </c>
      <c r="D66" s="281">
        <f>+D32</f>
        <v>193728000</v>
      </c>
      <c r="E66" s="281">
        <f>+E32</f>
        <v>168386000</v>
      </c>
    </row>
    <row r="67" spans="1:5" ht="24" customHeight="1">
      <c r="A67" s="17">
        <v>3</v>
      </c>
      <c r="B67" s="45" t="s">
        <v>158</v>
      </c>
      <c r="C67" s="281">
        <v>530348000</v>
      </c>
      <c r="D67" s="281">
        <v>553421000</v>
      </c>
      <c r="E67" s="281">
        <v>567701000</v>
      </c>
    </row>
    <row r="68" spans="1:5" ht="24" customHeight="1">
      <c r="A68" s="275"/>
      <c r="B68" s="187"/>
      <c r="C68" s="283"/>
      <c r="D68" s="283"/>
      <c r="E68" s="268"/>
    </row>
    <row r="69" spans="1:5" ht="24" customHeight="1">
      <c r="A69" s="20">
        <v>4</v>
      </c>
      <c r="B69" s="187" t="s">
        <v>472</v>
      </c>
      <c r="C69" s="284">
        <f>IF(C75=0,0,(C72/C75)*100)</f>
        <v>28.421290318914373</v>
      </c>
      <c r="D69" s="284">
        <f>IF(D75=0,0,(D72/D75)*100)</f>
        <v>14.200685678513613</v>
      </c>
      <c r="E69" s="284">
        <f>IF(E75=0,0,(E72/E75)*100)</f>
        <v>26.54619653557242</v>
      </c>
    </row>
    <row r="70" spans="1:5" ht="24" customHeight="1">
      <c r="A70" s="17">
        <v>5</v>
      </c>
      <c r="B70" s="45" t="s">
        <v>473</v>
      </c>
      <c r="C70" s="281">
        <f>+C28</f>
        <v>24589000</v>
      </c>
      <c r="D70" s="281">
        <f>+D28</f>
        <v>3517000</v>
      </c>
      <c r="E70" s="281">
        <f>+E28</f>
        <v>21669487</v>
      </c>
    </row>
    <row r="71" spans="1:5" ht="24" customHeight="1">
      <c r="A71" s="17">
        <v>6</v>
      </c>
      <c r="B71" s="45" t="s">
        <v>462</v>
      </c>
      <c r="C71" s="176">
        <f>+C47</f>
        <v>25424513</v>
      </c>
      <c r="D71" s="176">
        <f>+D47</f>
        <v>25519000</v>
      </c>
      <c r="E71" s="176">
        <f>+E47</f>
        <v>33531205</v>
      </c>
    </row>
    <row r="72" spans="1:5" ht="24" customHeight="1">
      <c r="A72" s="17">
        <v>7</v>
      </c>
      <c r="B72" s="45" t="s">
        <v>474</v>
      </c>
      <c r="C72" s="281">
        <f>+C70+C71</f>
        <v>50013513</v>
      </c>
      <c r="D72" s="281">
        <f>+D70+D71</f>
        <v>29036000</v>
      </c>
      <c r="E72" s="281">
        <f>+E70+E71</f>
        <v>55200692</v>
      </c>
    </row>
    <row r="73" spans="1:5" ht="24" customHeight="1">
      <c r="A73" s="17">
        <v>8</v>
      </c>
      <c r="B73" s="45" t="s">
        <v>169</v>
      </c>
      <c r="C73" s="270">
        <f>+C40</f>
        <v>59090000</v>
      </c>
      <c r="D73" s="270">
        <f>+D40</f>
        <v>71838000</v>
      </c>
      <c r="E73" s="270">
        <f>+E40</f>
        <v>76415000</v>
      </c>
    </row>
    <row r="74" spans="1:5" ht="24" customHeight="1">
      <c r="A74" s="17">
        <v>9</v>
      </c>
      <c r="B74" s="45" t="s">
        <v>173</v>
      </c>
      <c r="C74" s="281">
        <v>116882000</v>
      </c>
      <c r="D74" s="281">
        <v>132631000</v>
      </c>
      <c r="E74" s="281">
        <v>131527000</v>
      </c>
    </row>
    <row r="75" spans="1:5" ht="24" customHeight="1">
      <c r="A75" s="17">
        <v>10</v>
      </c>
      <c r="B75" s="285" t="s">
        <v>475</v>
      </c>
      <c r="C75" s="270">
        <f>+C73+C74</f>
        <v>175972000</v>
      </c>
      <c r="D75" s="270">
        <f>+D73+D74</f>
        <v>204469000</v>
      </c>
      <c r="E75" s="270">
        <f>+E73+E74</f>
        <v>207942000</v>
      </c>
    </row>
    <row r="76" spans="1:5" ht="24" customHeight="1">
      <c r="A76" s="275"/>
      <c r="B76" s="187"/>
      <c r="C76" s="278"/>
      <c r="D76" s="278"/>
      <c r="E76" s="277"/>
    </row>
    <row r="77" spans="1:5" ht="24" customHeight="1">
      <c r="A77" s="20">
        <v>11</v>
      </c>
      <c r="B77" s="187" t="s">
        <v>476</v>
      </c>
      <c r="C77" s="286">
        <f>IF(C80=0,0,(C78/C80)*100)</f>
        <v>36.75927614902223</v>
      </c>
      <c r="D77" s="286">
        <f>IF(D80=0,0,(D78/D80)*100)</f>
        <v>40.639602401036896</v>
      </c>
      <c r="E77" s="286">
        <f>IF(E80=0,0,(E78/E80)*100)</f>
        <v>43.855051298209816</v>
      </c>
    </row>
    <row r="78" spans="1:5" ht="24" customHeight="1">
      <c r="A78" s="17">
        <v>12</v>
      </c>
      <c r="B78" s="45" t="s">
        <v>173</v>
      </c>
      <c r="C78" s="270">
        <f>+C74</f>
        <v>116882000</v>
      </c>
      <c r="D78" s="270">
        <f>+D74</f>
        <v>132631000</v>
      </c>
      <c r="E78" s="270">
        <f>+E74</f>
        <v>131527000</v>
      </c>
    </row>
    <row r="79" spans="1:5" ht="24" customHeight="1">
      <c r="A79" s="17">
        <v>13</v>
      </c>
      <c r="B79" s="45" t="s">
        <v>182</v>
      </c>
      <c r="C79" s="270">
        <f>+C32</f>
        <v>201084000</v>
      </c>
      <c r="D79" s="270">
        <f>+D32</f>
        <v>193728000</v>
      </c>
      <c r="E79" s="270">
        <f>+E32</f>
        <v>168386000</v>
      </c>
    </row>
    <row r="80" spans="1:5" ht="24" customHeight="1">
      <c r="A80" s="17">
        <v>14</v>
      </c>
      <c r="B80" s="45" t="s">
        <v>477</v>
      </c>
      <c r="C80" s="270">
        <f>+C78+C79</f>
        <v>317966000</v>
      </c>
      <c r="D80" s="270">
        <f>+D78+D79</f>
        <v>326359000</v>
      </c>
      <c r="E80" s="270">
        <f>+E78+E79</f>
        <v>299913000</v>
      </c>
    </row>
  </sheetData>
  <sheetProtection/>
  <mergeCells count="5">
    <mergeCell ref="A5:E5"/>
    <mergeCell ref="A1:E1"/>
    <mergeCell ref="A2:E2"/>
    <mergeCell ref="A3:E3"/>
    <mergeCell ref="A4:E4"/>
  </mergeCells>
  <printOptions gridLines="1"/>
  <pageMargins left="0.5" right="0.5" top="0.5" bottom="0.5" header="0.25" footer="0.25"/>
  <pageSetup horizontalDpi="1200" verticalDpi="1200" orientation="portrait" scale="74" r:id="rId1"/>
  <headerFooter alignWithMargins="0">
    <oddHeader>&amp;L&amp;8OFFICE OF HEALTH CARE ACCESS&amp;C&amp;8TWELVE MONTHS ACTUAL FILING&amp;R&amp;8STAMFORD HEALTH SYSTEM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47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5.8515625" style="55" customWidth="1"/>
    <col min="2" max="2" width="51.8515625" style="55" customWidth="1"/>
    <col min="3" max="7" width="21.00390625" style="55" customWidth="1"/>
    <col min="8" max="8" width="14.00390625" style="55" bestFit="1" customWidth="1"/>
    <col min="9" max="9" width="15.140625" style="55" customWidth="1"/>
    <col min="10" max="16384" width="9.140625" style="55" customWidth="1"/>
  </cols>
  <sheetData>
    <row r="1" spans="1:9" ht="15.75" customHeight="1">
      <c r="A1" s="287"/>
      <c r="B1" s="126"/>
      <c r="C1" s="126"/>
      <c r="D1" s="288" t="s">
        <v>115</v>
      </c>
      <c r="E1" s="126"/>
      <c r="F1" s="126"/>
      <c r="G1" s="126"/>
      <c r="H1" s="125"/>
      <c r="I1" s="125"/>
    </row>
    <row r="2" spans="1:9" ht="15.75" customHeight="1">
      <c r="A2" s="287"/>
      <c r="B2" s="126"/>
      <c r="C2" s="126"/>
      <c r="D2" s="288" t="s">
        <v>116</v>
      </c>
      <c r="E2" s="126"/>
      <c r="F2" s="126"/>
      <c r="G2" s="126"/>
      <c r="H2" s="125"/>
      <c r="I2" s="125"/>
    </row>
    <row r="3" spans="1:9" ht="15.75" customHeight="1">
      <c r="A3" s="287"/>
      <c r="B3" s="126"/>
      <c r="C3" s="126"/>
      <c r="D3" s="288" t="s">
        <v>117</v>
      </c>
      <c r="E3" s="126"/>
      <c r="F3" s="126"/>
      <c r="G3" s="126"/>
      <c r="H3" s="125"/>
      <c r="I3" s="125"/>
    </row>
    <row r="4" spans="1:9" ht="15.75" customHeight="1">
      <c r="A4" s="287"/>
      <c r="B4" s="126"/>
      <c r="C4" s="126"/>
      <c r="D4" s="288" t="s">
        <v>609</v>
      </c>
      <c r="E4" s="126"/>
      <c r="F4" s="126"/>
      <c r="G4" s="126"/>
      <c r="H4" s="125"/>
      <c r="I4" s="125"/>
    </row>
    <row r="5" spans="1:9" ht="15.75" customHeight="1">
      <c r="A5" s="287"/>
      <c r="B5" s="126"/>
      <c r="C5" s="126"/>
      <c r="D5" s="126"/>
      <c r="E5" s="126"/>
      <c r="F5" s="126"/>
      <c r="G5" s="126"/>
      <c r="H5" s="125"/>
      <c r="I5" s="125"/>
    </row>
    <row r="6" spans="1:9" ht="15.75" customHeight="1">
      <c r="A6" s="126">
        <v>-1</v>
      </c>
      <c r="B6" s="126">
        <v>-2</v>
      </c>
      <c r="C6" s="126">
        <v>-3</v>
      </c>
      <c r="D6" s="126">
        <v>-4</v>
      </c>
      <c r="E6" s="126">
        <v>-5</v>
      </c>
      <c r="F6" s="126">
        <v>-6</v>
      </c>
      <c r="G6" s="126">
        <v>-7</v>
      </c>
      <c r="H6" s="125"/>
      <c r="I6" s="125"/>
    </row>
    <row r="7" spans="1:9" ht="15.75" customHeight="1">
      <c r="A7" s="287"/>
      <c r="B7" s="126"/>
      <c r="C7" s="126"/>
      <c r="D7" s="126"/>
      <c r="E7" s="126"/>
      <c r="F7" s="126" t="s">
        <v>610</v>
      </c>
      <c r="G7" s="126" t="s">
        <v>610</v>
      </c>
      <c r="H7" s="125"/>
      <c r="I7" s="289"/>
    </row>
    <row r="8" spans="1:9" ht="15.75" customHeight="1">
      <c r="A8" s="287"/>
      <c r="B8" s="126"/>
      <c r="C8" s="126" t="s">
        <v>611</v>
      </c>
      <c r="D8" s="126" t="s">
        <v>612</v>
      </c>
      <c r="E8" s="126" t="s">
        <v>613</v>
      </c>
      <c r="F8" s="126" t="s">
        <v>614</v>
      </c>
      <c r="G8" s="126" t="s">
        <v>615</v>
      </c>
      <c r="H8" s="125"/>
      <c r="I8" s="289"/>
    </row>
    <row r="9" spans="1:9" ht="15.75" customHeight="1">
      <c r="A9" s="290" t="s">
        <v>123</v>
      </c>
      <c r="B9" s="291" t="s">
        <v>124</v>
      </c>
      <c r="C9" s="292" t="s">
        <v>616</v>
      </c>
      <c r="D9" s="292" t="s">
        <v>617</v>
      </c>
      <c r="E9" s="292" t="s">
        <v>618</v>
      </c>
      <c r="F9" s="292" t="s">
        <v>617</v>
      </c>
      <c r="G9" s="292" t="s">
        <v>618</v>
      </c>
      <c r="H9" s="125"/>
      <c r="I9" s="56"/>
    </row>
    <row r="10" spans="1:9" ht="15.75" customHeight="1">
      <c r="A10" s="293" t="s">
        <v>619</v>
      </c>
      <c r="B10" s="126"/>
      <c r="C10" s="126"/>
      <c r="D10" s="126"/>
      <c r="E10" s="126"/>
      <c r="F10" s="126"/>
      <c r="G10" s="126"/>
      <c r="H10" s="125"/>
      <c r="I10" s="56"/>
    </row>
    <row r="11" spans="1:9" ht="15" customHeight="1">
      <c r="A11" s="294">
        <v>1</v>
      </c>
      <c r="B11" s="295" t="s">
        <v>620</v>
      </c>
      <c r="C11" s="296">
        <v>43076</v>
      </c>
      <c r="D11" s="297">
        <v>183</v>
      </c>
      <c r="E11" s="297">
        <v>186</v>
      </c>
      <c r="F11" s="298">
        <f>IF(D11=0,0,$C11/(D11*365))</f>
        <v>0.6448985702522644</v>
      </c>
      <c r="G11" s="298">
        <f>IF(E11=0,0,$C11/(E11*365))</f>
        <v>0.6344969804094859</v>
      </c>
      <c r="H11" s="125"/>
      <c r="I11" s="299"/>
    </row>
    <row r="12" spans="1:9" ht="15" customHeight="1" thickBot="1">
      <c r="A12" s="294"/>
      <c r="B12" s="141"/>
      <c r="C12" s="296"/>
      <c r="D12" s="89"/>
      <c r="F12" s="298"/>
      <c r="G12" s="298"/>
      <c r="H12" s="125"/>
      <c r="I12" s="299"/>
    </row>
    <row r="13" spans="1:9" ht="15" customHeight="1">
      <c r="A13" s="294">
        <v>2</v>
      </c>
      <c r="B13" s="295" t="s">
        <v>621</v>
      </c>
      <c r="C13" s="296">
        <v>1938</v>
      </c>
      <c r="D13" s="297">
        <v>16</v>
      </c>
      <c r="E13" s="297">
        <v>16</v>
      </c>
      <c r="F13" s="298">
        <f>IF(D13=0,0,$C13/(D13*365))</f>
        <v>0.33184931506849313</v>
      </c>
      <c r="G13" s="298">
        <f>IF(E13=0,0,$C13/(E13*365))</f>
        <v>0.33184931506849313</v>
      </c>
      <c r="H13" s="125"/>
      <c r="I13" s="299"/>
    </row>
    <row r="14" spans="1:9" ht="15" customHeight="1">
      <c r="A14" s="294"/>
      <c r="B14" s="141"/>
      <c r="C14" s="296"/>
      <c r="F14" s="298"/>
      <c r="G14" s="298"/>
      <c r="H14" s="125"/>
      <c r="I14" s="299"/>
    </row>
    <row r="15" spans="1:9" ht="15" customHeight="1">
      <c r="A15" s="294">
        <v>3</v>
      </c>
      <c r="B15" s="295" t="s">
        <v>622</v>
      </c>
      <c r="C15" s="296">
        <v>0</v>
      </c>
      <c r="D15" s="297">
        <v>0</v>
      </c>
      <c r="E15" s="297">
        <v>0</v>
      </c>
      <c r="F15" s="298">
        <f aca="true" t="shared" si="0" ref="F15:G17">IF(D15=0,0,$C15/(D15*365))</f>
        <v>0</v>
      </c>
      <c r="G15" s="298">
        <f t="shared" si="0"/>
        <v>0</v>
      </c>
      <c r="H15" s="125"/>
      <c r="I15" s="299"/>
    </row>
    <row r="16" spans="1:9" ht="15" customHeight="1">
      <c r="A16" s="294">
        <v>4</v>
      </c>
      <c r="B16" s="295" t="s">
        <v>623</v>
      </c>
      <c r="C16" s="296">
        <v>5892</v>
      </c>
      <c r="D16" s="297">
        <v>20</v>
      </c>
      <c r="E16" s="297">
        <v>25</v>
      </c>
      <c r="F16" s="298">
        <f t="shared" si="0"/>
        <v>0.8071232876712329</v>
      </c>
      <c r="G16" s="298">
        <f t="shared" si="0"/>
        <v>0.6456986301369863</v>
      </c>
      <c r="H16" s="125"/>
      <c r="I16" s="299"/>
    </row>
    <row r="17" spans="1:9" ht="15.75" customHeight="1">
      <c r="A17" s="293"/>
      <c r="B17" s="135" t="s">
        <v>624</v>
      </c>
      <c r="C17" s="300">
        <f>SUM(C15:C16)</f>
        <v>5892</v>
      </c>
      <c r="D17" s="300">
        <f>SUM(D15:D16)</f>
        <v>20</v>
      </c>
      <c r="E17" s="300">
        <f>SUM(E15:E16)</f>
        <v>25</v>
      </c>
      <c r="F17" s="301">
        <f t="shared" si="0"/>
        <v>0.8071232876712329</v>
      </c>
      <c r="G17" s="301">
        <f t="shared" si="0"/>
        <v>0.6456986301369863</v>
      </c>
      <c r="H17" s="125"/>
      <c r="I17" s="299"/>
    </row>
    <row r="18" spans="1:9" ht="15.75" customHeight="1">
      <c r="A18" s="293"/>
      <c r="B18" s="153"/>
      <c r="C18" s="296"/>
      <c r="D18" s="297"/>
      <c r="E18" s="297"/>
      <c r="F18" s="298"/>
      <c r="G18" s="298"/>
      <c r="H18" s="125"/>
      <c r="I18" s="299"/>
    </row>
    <row r="19" spans="1:9" ht="15" customHeight="1">
      <c r="A19" s="294">
        <v>5</v>
      </c>
      <c r="B19" s="295" t="s">
        <v>625</v>
      </c>
      <c r="C19" s="296">
        <v>5105</v>
      </c>
      <c r="D19" s="297">
        <v>16</v>
      </c>
      <c r="E19" s="297">
        <v>17</v>
      </c>
      <c r="F19" s="298">
        <f>IF(D19=0,0,$C19/(D19*365))</f>
        <v>0.8741438356164384</v>
      </c>
      <c r="G19" s="298">
        <f>IF(E19=0,0,$C19/(E19*365))</f>
        <v>0.8227236099919419</v>
      </c>
      <c r="H19" s="125"/>
      <c r="I19" s="299"/>
    </row>
    <row r="20" spans="1:9" ht="15" customHeight="1">
      <c r="A20" s="294"/>
      <c r="B20" s="141"/>
      <c r="F20" s="298"/>
      <c r="G20" s="298"/>
      <c r="H20" s="125"/>
      <c r="I20" s="299"/>
    </row>
    <row r="21" spans="1:9" ht="15" customHeight="1">
      <c r="A21" s="294">
        <v>6</v>
      </c>
      <c r="B21" s="295" t="s">
        <v>626</v>
      </c>
      <c r="C21" s="296">
        <v>9346</v>
      </c>
      <c r="D21" s="297">
        <v>32</v>
      </c>
      <c r="E21" s="297">
        <v>32</v>
      </c>
      <c r="F21" s="298">
        <f>IF(D21=0,0,$C21/(D21*365))</f>
        <v>0.8001712328767123</v>
      </c>
      <c r="G21" s="298">
        <f>IF(E21=0,0,$C21/(E21*365))</f>
        <v>0.8001712328767123</v>
      </c>
      <c r="H21" s="125"/>
      <c r="I21" s="299"/>
    </row>
    <row r="22" spans="1:9" ht="15" customHeight="1">
      <c r="A22" s="294"/>
      <c r="B22" s="141"/>
      <c r="F22" s="298"/>
      <c r="G22" s="298"/>
      <c r="H22" s="125"/>
      <c r="I22" s="299"/>
    </row>
    <row r="23" spans="1:9" ht="15" customHeight="1">
      <c r="A23" s="294">
        <v>7</v>
      </c>
      <c r="B23" s="295" t="s">
        <v>627</v>
      </c>
      <c r="C23" s="296">
        <v>7743</v>
      </c>
      <c r="D23" s="297">
        <v>25</v>
      </c>
      <c r="E23" s="297">
        <v>25</v>
      </c>
      <c r="F23" s="298">
        <f>IF(D23=0,0,$C23/(D23*365))</f>
        <v>0.8485479452054795</v>
      </c>
      <c r="G23" s="298">
        <f>IF(E23=0,0,$C23/(E23*365))</f>
        <v>0.8485479452054795</v>
      </c>
      <c r="H23" s="125"/>
      <c r="I23" s="299"/>
    </row>
    <row r="24" spans="1:9" ht="15" customHeight="1">
      <c r="A24" s="294"/>
      <c r="B24" s="141"/>
      <c r="F24" s="298"/>
      <c r="G24" s="298"/>
      <c r="H24" s="125"/>
      <c r="I24" s="299"/>
    </row>
    <row r="25" spans="1:9" ht="15" customHeight="1">
      <c r="A25" s="294">
        <v>8</v>
      </c>
      <c r="B25" s="295" t="s">
        <v>410</v>
      </c>
      <c r="C25" s="296">
        <v>1117</v>
      </c>
      <c r="D25" s="297">
        <v>16</v>
      </c>
      <c r="E25" s="297">
        <v>16</v>
      </c>
      <c r="F25" s="298">
        <f>IF(D25=0,0,$C25/(D25*365))</f>
        <v>0.19126712328767123</v>
      </c>
      <c r="G25" s="298">
        <f>IF(E25=0,0,$C25/(E25*365))</f>
        <v>0.19126712328767123</v>
      </c>
      <c r="H25" s="125"/>
      <c r="I25" s="299"/>
    </row>
    <row r="26" spans="1:9" ht="15" customHeight="1">
      <c r="A26" s="294"/>
      <c r="B26" s="141"/>
      <c r="F26" s="298"/>
      <c r="G26" s="298"/>
      <c r="H26" s="125"/>
      <c r="I26" s="299"/>
    </row>
    <row r="27" spans="1:9" ht="15" customHeight="1">
      <c r="A27" s="294">
        <v>9</v>
      </c>
      <c r="B27" s="295" t="s">
        <v>628</v>
      </c>
      <c r="C27" s="296">
        <v>1055</v>
      </c>
      <c r="D27" s="297">
        <v>13</v>
      </c>
      <c r="E27" s="297">
        <v>13</v>
      </c>
      <c r="F27" s="298">
        <f>IF(D27=0,0,$C27/(D27*365))</f>
        <v>0.22233930453108536</v>
      </c>
      <c r="G27" s="298">
        <f>IF(E27=0,0,$C27/(E27*365))</f>
        <v>0.22233930453108536</v>
      </c>
      <c r="H27" s="125"/>
      <c r="I27" s="299"/>
    </row>
    <row r="28" spans="1:9" ht="15" customHeight="1">
      <c r="A28" s="294"/>
      <c r="B28" s="141"/>
      <c r="F28" s="298"/>
      <c r="G28" s="298"/>
      <c r="H28" s="125"/>
      <c r="I28" s="299"/>
    </row>
    <row r="29" spans="1:9" ht="15" customHeight="1">
      <c r="A29" s="294">
        <v>10</v>
      </c>
      <c r="B29" s="295" t="s">
        <v>629</v>
      </c>
      <c r="C29" s="296">
        <v>0</v>
      </c>
      <c r="D29" s="297">
        <v>0</v>
      </c>
      <c r="E29" s="297">
        <v>0</v>
      </c>
      <c r="F29" s="298">
        <f>IF(D29=0,0,$C29/(D29*365))</f>
        <v>0</v>
      </c>
      <c r="G29" s="298">
        <f>IF(E29=0,0,$C29/(E29*365))</f>
        <v>0</v>
      </c>
      <c r="H29" s="125"/>
      <c r="I29" s="299"/>
    </row>
    <row r="30" spans="1:9" ht="15.75" customHeight="1">
      <c r="A30" s="293"/>
      <c r="B30" s="153"/>
      <c r="C30" s="296"/>
      <c r="D30" s="297"/>
      <c r="E30" s="297"/>
      <c r="F30" s="298"/>
      <c r="G30" s="298"/>
      <c r="H30" s="125"/>
      <c r="I30" s="299"/>
    </row>
    <row r="31" spans="1:9" ht="15.75" customHeight="1">
      <c r="A31" s="293"/>
      <c r="B31" s="135" t="s">
        <v>630</v>
      </c>
      <c r="C31" s="300">
        <f>SUM(C10:C29)-C17-C23</f>
        <v>67529</v>
      </c>
      <c r="D31" s="300">
        <f>SUM(D10:D29)-D17-D23</f>
        <v>296</v>
      </c>
      <c r="E31" s="300">
        <f>SUM(E10:E29)-E17-E23</f>
        <v>305</v>
      </c>
      <c r="F31" s="301">
        <f>IF(D31=0,0,$C31/(D31*365))</f>
        <v>0.6250370233246946</v>
      </c>
      <c r="G31" s="301">
        <f>IF(E31=0,0,$C31/(E31*365))</f>
        <v>0.6065933078823266</v>
      </c>
      <c r="H31" s="125"/>
      <c r="I31" s="299"/>
    </row>
    <row r="32" spans="1:9" ht="15.75" customHeight="1">
      <c r="A32" s="293"/>
      <c r="B32" s="153"/>
      <c r="C32" s="296"/>
      <c r="D32" s="296"/>
      <c r="E32" s="296"/>
      <c r="F32" s="298"/>
      <c r="G32" s="298"/>
      <c r="H32" s="125"/>
      <c r="I32" s="299"/>
    </row>
    <row r="33" spans="1:9" ht="15.75" customHeight="1">
      <c r="A33" s="293"/>
      <c r="B33" s="135" t="s">
        <v>631</v>
      </c>
      <c r="C33" s="300">
        <f>SUM(C10:C29)-C17</f>
        <v>75272</v>
      </c>
      <c r="D33" s="300">
        <f>SUM(D10:D29)-D17</f>
        <v>321</v>
      </c>
      <c r="E33" s="300">
        <f>SUM(E10:E29)-E17</f>
        <v>330</v>
      </c>
      <c r="F33" s="301">
        <f>IF(D33=0,0,$C33/(D33*365))</f>
        <v>0.6424444159945376</v>
      </c>
      <c r="G33" s="301">
        <f>IF(E33=0,0,$C33/(E33*365))</f>
        <v>0.624923204649232</v>
      </c>
      <c r="H33" s="125"/>
      <c r="I33" s="299"/>
    </row>
    <row r="34" spans="1:9" ht="15.75" customHeight="1">
      <c r="A34" s="293"/>
      <c r="B34" s="126"/>
      <c r="C34" s="300"/>
      <c r="D34" s="302"/>
      <c r="E34" s="302"/>
      <c r="F34" s="301"/>
      <c r="G34" s="301"/>
      <c r="H34" s="125"/>
      <c r="I34" s="299"/>
    </row>
    <row r="35" spans="1:9" ht="15.75" customHeight="1">
      <c r="A35" s="293"/>
      <c r="B35" s="126"/>
      <c r="C35" s="300"/>
      <c r="D35" s="302"/>
      <c r="E35" s="302"/>
      <c r="F35" s="301"/>
      <c r="G35" s="301"/>
      <c r="H35" s="125"/>
      <c r="I35" s="299"/>
    </row>
    <row r="36" spans="1:9" ht="15.75" customHeight="1">
      <c r="A36" s="293"/>
      <c r="B36" s="135" t="s">
        <v>632</v>
      </c>
      <c r="C36" s="300">
        <f>+C33</f>
        <v>75272</v>
      </c>
      <c r="D36" s="300">
        <f>+D33</f>
        <v>321</v>
      </c>
      <c r="E36" s="300">
        <f>+E33</f>
        <v>330</v>
      </c>
      <c r="F36" s="301">
        <f>+F33</f>
        <v>0.6424444159945376</v>
      </c>
      <c r="G36" s="301">
        <f>+G33</f>
        <v>0.624923204649232</v>
      </c>
      <c r="H36" s="125"/>
      <c r="I36" s="299"/>
    </row>
    <row r="37" spans="1:9" ht="15.75" customHeight="1">
      <c r="A37" s="293"/>
      <c r="B37" s="135" t="s">
        <v>633</v>
      </c>
      <c r="C37" s="300">
        <v>76971</v>
      </c>
      <c r="D37" s="302">
        <v>319</v>
      </c>
      <c r="E37" s="302">
        <v>330</v>
      </c>
      <c r="F37" s="301">
        <f>IF(D37=0,0,$C37/(D37*365))</f>
        <v>0.6610641130244342</v>
      </c>
      <c r="G37" s="301">
        <f>IF(E37=0,0,$C37/(E37*365))</f>
        <v>0.6390286425902865</v>
      </c>
      <c r="H37" s="125"/>
      <c r="I37" s="299"/>
    </row>
    <row r="38" spans="1:9" ht="15.75" customHeight="1">
      <c r="A38" s="293"/>
      <c r="B38" s="135" t="s">
        <v>634</v>
      </c>
      <c r="C38" s="300">
        <f>+C36-C37</f>
        <v>-1699</v>
      </c>
      <c r="D38" s="300">
        <f>+D36-D37</f>
        <v>2</v>
      </c>
      <c r="E38" s="300">
        <f>+E36-E37</f>
        <v>0</v>
      </c>
      <c r="F38" s="301">
        <f>+F36-F37</f>
        <v>-0.01861969702989663</v>
      </c>
      <c r="G38" s="301">
        <f>+G36-G37</f>
        <v>-0.014105437941054455</v>
      </c>
      <c r="H38" s="125"/>
      <c r="I38" s="299"/>
    </row>
    <row r="39" spans="1:9" ht="15.75" customHeight="1">
      <c r="A39" s="293"/>
      <c r="B39" s="153"/>
      <c r="C39" s="303"/>
      <c r="D39" s="303"/>
      <c r="E39" s="303"/>
      <c r="F39" s="301"/>
      <c r="G39" s="301"/>
      <c r="H39" s="125"/>
      <c r="I39" s="299"/>
    </row>
    <row r="40" spans="1:9" ht="15.75" customHeight="1">
      <c r="A40" s="293"/>
      <c r="B40" s="135" t="s">
        <v>635</v>
      </c>
      <c r="C40" s="148">
        <f>IF(C37=0,0,C38/C37)</f>
        <v>-0.022073248366267815</v>
      </c>
      <c r="D40" s="148">
        <f>IF(D37=0,0,D38/D37)</f>
        <v>0.006269592476489028</v>
      </c>
      <c r="E40" s="148">
        <f>IF(E37=0,0,E38/E37)</f>
        <v>0</v>
      </c>
      <c r="F40" s="148">
        <f>IF(F37=0,0,F38/F37)</f>
        <v>-0.028166249934079252</v>
      </c>
      <c r="G40" s="148">
        <f>IF(G37=0,0,G38/G37)</f>
        <v>-0.022073248366267933</v>
      </c>
      <c r="H40" s="202"/>
      <c r="I40" s="299"/>
    </row>
    <row r="41" spans="1:9" ht="15.75" customHeight="1">
      <c r="A41" s="200"/>
      <c r="B41" s="200"/>
      <c r="C41" s="200"/>
      <c r="D41" s="200"/>
      <c r="E41" s="200"/>
      <c r="F41" s="200"/>
      <c r="G41" s="200"/>
      <c r="H41" s="125"/>
      <c r="I41" s="299"/>
    </row>
    <row r="42" spans="1:9" ht="15.75" customHeight="1">
      <c r="A42" s="60"/>
      <c r="B42" s="295" t="s">
        <v>636</v>
      </c>
      <c r="C42" s="295">
        <v>330</v>
      </c>
      <c r="D42" s="60"/>
      <c r="E42" s="60"/>
      <c r="F42" s="60"/>
      <c r="G42" s="60"/>
      <c r="H42" s="8"/>
      <c r="I42" s="21"/>
    </row>
    <row r="43" spans="1:9" ht="15.75" customHeight="1">
      <c r="A43" s="60"/>
      <c r="B43" s="60"/>
      <c r="C43" s="60"/>
      <c r="D43" s="60"/>
      <c r="E43" s="60"/>
      <c r="F43" s="60"/>
      <c r="G43" s="60"/>
      <c r="H43" s="8"/>
      <c r="I43" s="21"/>
    </row>
    <row r="44" spans="1:9" ht="15.75" customHeight="1">
      <c r="A44" s="304" t="s">
        <v>637</v>
      </c>
      <c r="B44" s="305"/>
      <c r="C44" s="125"/>
      <c r="D44" s="125"/>
      <c r="E44" s="125"/>
      <c r="F44" s="125"/>
      <c r="G44" s="125"/>
      <c r="H44" s="125"/>
      <c r="I44" s="299"/>
    </row>
    <row r="45" spans="1:9" ht="15.75" customHeight="1">
      <c r="A45" s="304" t="s">
        <v>619</v>
      </c>
      <c r="B45" s="305"/>
      <c r="C45" s="125"/>
      <c r="D45" s="125"/>
      <c r="E45" s="125"/>
      <c r="F45" s="125"/>
      <c r="G45" s="125"/>
      <c r="H45" s="125"/>
      <c r="I45" s="299"/>
    </row>
    <row r="46" spans="1:7" ht="15.75" customHeight="1">
      <c r="A46" s="306"/>
      <c r="B46" s="305"/>
      <c r="C46" s="305"/>
      <c r="D46" s="305"/>
      <c r="E46" s="305"/>
      <c r="F46" s="305"/>
      <c r="G46" s="305"/>
    </row>
    <row r="47" spans="2:3" ht="15" customHeight="1">
      <c r="B47" s="26"/>
      <c r="C47" s="48"/>
    </row>
  </sheetData>
  <sheetProtection/>
  <printOptions gridLines="1" horizontalCentered="1"/>
  <pageMargins left="0.5" right="0.5" top="0.5" bottom="0.5" header="0.25" footer="0.25"/>
  <pageSetup horizontalDpi="1200" verticalDpi="1200" orientation="landscape" paperSize="9" scale="76"/>
  <headerFooter alignWithMargins="0">
    <oddHeader>&amp;LOFFICE OF HEALTH CARE ACCESS&amp;CTWELVE MONTHS ACTUAL FILING&amp;RSTAMFORD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111"/>
  <sheetViews>
    <sheetView zoomScaleSheetLayoutView="90" zoomScalePageLayoutView="0" workbookViewId="0" topLeftCell="A1">
      <selection activeCell="A1" sqref="A1:F1"/>
    </sheetView>
  </sheetViews>
  <sheetFormatPr defaultColWidth="9.140625" defaultRowHeight="12.75"/>
  <cols>
    <col min="1" max="1" width="6.8515625" style="308" customWidth="1"/>
    <col min="2" max="2" width="52.7109375" style="307" customWidth="1"/>
    <col min="3" max="4" width="20.7109375" style="307" customWidth="1"/>
    <col min="5" max="5" width="19.00390625" style="307" customWidth="1"/>
    <col min="6" max="8" width="18.57421875" style="307" customWidth="1"/>
    <col min="9" max="9" width="17.57421875" style="307" customWidth="1"/>
    <col min="10" max="11" width="22.00390625" style="307" bestFit="1" customWidth="1"/>
    <col min="12" max="12" width="14.00390625" style="307" bestFit="1" customWidth="1"/>
    <col min="13" max="13" width="15.140625" style="307" customWidth="1"/>
    <col min="14" max="16384" width="9.140625" style="307" customWidth="1"/>
  </cols>
  <sheetData>
    <row r="1" spans="1:6" ht="15.75" customHeight="1">
      <c r="A1" s="698" t="s">
        <v>115</v>
      </c>
      <c r="B1" s="698"/>
      <c r="C1" s="698"/>
      <c r="D1" s="698"/>
      <c r="E1" s="698"/>
      <c r="F1" s="698"/>
    </row>
    <row r="2" spans="1:6" ht="15.75" customHeight="1">
      <c r="A2" s="698" t="s">
        <v>116</v>
      </c>
      <c r="B2" s="698"/>
      <c r="C2" s="698"/>
      <c r="D2" s="698"/>
      <c r="E2" s="698"/>
      <c r="F2" s="698"/>
    </row>
    <row r="3" spans="1:6" ht="15.75" customHeight="1">
      <c r="A3" s="698" t="s">
        <v>117</v>
      </c>
      <c r="B3" s="698"/>
      <c r="C3" s="698"/>
      <c r="D3" s="698"/>
      <c r="E3" s="698"/>
      <c r="F3" s="698"/>
    </row>
    <row r="4" spans="1:6" ht="15.75" customHeight="1">
      <c r="A4" s="698" t="s">
        <v>638</v>
      </c>
      <c r="B4" s="698"/>
      <c r="C4" s="698"/>
      <c r="D4" s="698"/>
      <c r="E4" s="698"/>
      <c r="F4" s="698"/>
    </row>
    <row r="5" spans="1:13" ht="15.75" customHeight="1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>
      <c r="A8" s="313"/>
      <c r="B8" s="314"/>
      <c r="C8" s="312" t="s">
        <v>125</v>
      </c>
      <c r="D8" s="312" t="s">
        <v>125</v>
      </c>
      <c r="E8" s="126" t="s">
        <v>121</v>
      </c>
      <c r="F8" s="126" t="s">
        <v>122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>
      <c r="A9" s="290" t="s">
        <v>123</v>
      </c>
      <c r="B9" s="291" t="s">
        <v>124</v>
      </c>
      <c r="C9" s="292" t="s">
        <v>119</v>
      </c>
      <c r="D9" s="292" t="s">
        <v>120</v>
      </c>
      <c r="E9" s="315" t="s">
        <v>126</v>
      </c>
      <c r="F9" s="315" t="s">
        <v>126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>
      <c r="A11" s="293" t="s">
        <v>129</v>
      </c>
      <c r="B11" s="291" t="s">
        <v>639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>
      <c r="A12" s="294">
        <v>1</v>
      </c>
      <c r="B12" s="295" t="s">
        <v>640</v>
      </c>
      <c r="C12" s="296">
        <v>10963</v>
      </c>
      <c r="D12" s="296">
        <v>10730</v>
      </c>
      <c r="E12" s="296">
        <f>+D12-C12</f>
        <v>-233</v>
      </c>
      <c r="F12" s="316">
        <f>IF(C12=0,0,+E12/C12)</f>
        <v>-0.02125330657666697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>
      <c r="A13" s="294">
        <v>2</v>
      </c>
      <c r="B13" s="295" t="s">
        <v>641</v>
      </c>
      <c r="C13" s="296">
        <v>24243</v>
      </c>
      <c r="D13" s="296">
        <v>26552</v>
      </c>
      <c r="E13" s="296">
        <f>+D13-C13</f>
        <v>2309</v>
      </c>
      <c r="F13" s="316">
        <f>IF(C13=0,0,+E13/C13)</f>
        <v>0.09524398795528606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>
      <c r="A14" s="294">
        <v>3</v>
      </c>
      <c r="B14" s="295" t="s">
        <v>642</v>
      </c>
      <c r="C14" s="296">
        <v>0</v>
      </c>
      <c r="D14" s="296">
        <v>0</v>
      </c>
      <c r="E14" s="296">
        <f>+D14-C14</f>
        <v>0</v>
      </c>
      <c r="F14" s="316">
        <f>IF(C14=0,0,+E14/C14)</f>
        <v>0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>
      <c r="A15" s="294">
        <v>4</v>
      </c>
      <c r="B15" s="295" t="s">
        <v>643</v>
      </c>
      <c r="C15" s="296">
        <v>0</v>
      </c>
      <c r="D15" s="296">
        <v>0</v>
      </c>
      <c r="E15" s="296">
        <f>+D15-C15</f>
        <v>0</v>
      </c>
      <c r="F15" s="316">
        <f>IF(C15=0,0,+E15/C15)</f>
        <v>0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>
      <c r="A16" s="293"/>
      <c r="B16" s="135" t="s">
        <v>644</v>
      </c>
      <c r="C16" s="300">
        <f>SUM(C12:C15)</f>
        <v>35206</v>
      </c>
      <c r="D16" s="300">
        <f>SUM(D12:D15)</f>
        <v>37282</v>
      </c>
      <c r="E16" s="300">
        <f>+D16-C16</f>
        <v>2076</v>
      </c>
      <c r="F16" s="309">
        <f>IF(C16=0,0,+E16/C16)</f>
        <v>0.058967221496335855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>
      <c r="A18" s="293" t="s">
        <v>141</v>
      </c>
      <c r="B18" s="291" t="s">
        <v>645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>
      <c r="A19" s="294">
        <v>1</v>
      </c>
      <c r="B19" s="295" t="s">
        <v>640</v>
      </c>
      <c r="C19" s="296">
        <v>3614</v>
      </c>
      <c r="D19" s="296">
        <v>3038</v>
      </c>
      <c r="E19" s="296">
        <f>+D19-C19</f>
        <v>-576</v>
      </c>
      <c r="F19" s="316">
        <f>IF(C19=0,0,+E19/C19)</f>
        <v>-0.15938018815716656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>
      <c r="A20" s="294">
        <v>2</v>
      </c>
      <c r="B20" s="295" t="s">
        <v>641</v>
      </c>
      <c r="C20" s="296">
        <v>9494</v>
      </c>
      <c r="D20" s="296">
        <v>10511</v>
      </c>
      <c r="E20" s="296">
        <f>+D20-C20</f>
        <v>1017</v>
      </c>
      <c r="F20" s="316">
        <f>IF(C20=0,0,+E20/C20)</f>
        <v>0.10712028649673477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>
      <c r="A21" s="294">
        <v>3</v>
      </c>
      <c r="B21" s="295" t="s">
        <v>642</v>
      </c>
      <c r="C21" s="296">
        <v>0</v>
      </c>
      <c r="D21" s="296">
        <v>0</v>
      </c>
      <c r="E21" s="296">
        <f>+D21-C21</f>
        <v>0</v>
      </c>
      <c r="F21" s="316">
        <f>IF(C21=0,0,+E21/C21)</f>
        <v>0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>
      <c r="A22" s="294">
        <v>4</v>
      </c>
      <c r="B22" s="295" t="s">
        <v>643</v>
      </c>
      <c r="C22" s="296">
        <v>0</v>
      </c>
      <c r="D22" s="296">
        <v>0</v>
      </c>
      <c r="E22" s="296">
        <f>+D22-C22</f>
        <v>0</v>
      </c>
      <c r="F22" s="316">
        <f>IF(C22=0,0,+E22/C22)</f>
        <v>0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>
      <c r="A23" s="293"/>
      <c r="B23" s="135" t="s">
        <v>646</v>
      </c>
      <c r="C23" s="300">
        <f>SUM(C19:C22)</f>
        <v>13108</v>
      </c>
      <c r="D23" s="300">
        <f>SUM(D19:D22)</f>
        <v>13549</v>
      </c>
      <c r="E23" s="300">
        <f>+D23-C23</f>
        <v>441</v>
      </c>
      <c r="F23" s="309">
        <f>IF(C23=0,0,+E23/C23)</f>
        <v>0.033643576441867565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>
      <c r="A25" s="293" t="s">
        <v>151</v>
      </c>
      <c r="B25" s="291" t="s">
        <v>647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>
      <c r="A26" s="294">
        <v>1</v>
      </c>
      <c r="B26" s="295" t="s">
        <v>640</v>
      </c>
      <c r="C26" s="296">
        <v>0</v>
      </c>
      <c r="D26" s="296">
        <v>0</v>
      </c>
      <c r="E26" s="296">
        <f>+D26-C26</f>
        <v>0</v>
      </c>
      <c r="F26" s="316">
        <f>IF(C26=0,0,+E26/C26)</f>
        <v>0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>
      <c r="A27" s="294">
        <v>2</v>
      </c>
      <c r="B27" s="295" t="s">
        <v>641</v>
      </c>
      <c r="C27" s="296">
        <v>0</v>
      </c>
      <c r="D27" s="296">
        <v>0</v>
      </c>
      <c r="E27" s="296">
        <f>+D27-C27</f>
        <v>0</v>
      </c>
      <c r="F27" s="316">
        <f>IF(C27=0,0,+E27/C27)</f>
        <v>0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>
      <c r="A28" s="294">
        <v>3</v>
      </c>
      <c r="B28" s="295" t="s">
        <v>642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>
      <c r="A29" s="294">
        <v>4</v>
      </c>
      <c r="B29" s="295" t="s">
        <v>643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>
      <c r="A30" s="293"/>
      <c r="B30" s="135" t="s">
        <v>648</v>
      </c>
      <c r="C30" s="300">
        <f>SUM(C26:C29)</f>
        <v>0</v>
      </c>
      <c r="D30" s="300">
        <f>SUM(D26:D29)</f>
        <v>0</v>
      </c>
      <c r="E30" s="300">
        <f>+D30-C30</f>
        <v>0</v>
      </c>
      <c r="F30" s="309">
        <f>IF(C30=0,0,+E30/C30)</f>
        <v>0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>
      <c r="A32" s="293" t="s">
        <v>436</v>
      </c>
      <c r="B32" s="291" t="s">
        <v>649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>
      <c r="A33" s="294">
        <v>1</v>
      </c>
      <c r="B33" s="295" t="s">
        <v>640</v>
      </c>
      <c r="C33" s="296">
        <v>0</v>
      </c>
      <c r="D33" s="296">
        <v>0</v>
      </c>
      <c r="E33" s="296">
        <f>+D33-C33</f>
        <v>0</v>
      </c>
      <c r="F33" s="316">
        <f>IF(C33=0,0,+E33/C33)</f>
        <v>0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>
      <c r="A34" s="294">
        <v>2</v>
      </c>
      <c r="B34" s="295" t="s">
        <v>641</v>
      </c>
      <c r="C34" s="296">
        <v>0</v>
      </c>
      <c r="D34" s="296">
        <v>0</v>
      </c>
      <c r="E34" s="296">
        <f>+D34-C34</f>
        <v>0</v>
      </c>
      <c r="F34" s="316">
        <f>IF(C34=0,0,+E34/C34)</f>
        <v>0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>
      <c r="A35" s="294">
        <v>3</v>
      </c>
      <c r="B35" s="295" t="s">
        <v>642</v>
      </c>
      <c r="C35" s="296">
        <v>0</v>
      </c>
      <c r="D35" s="296">
        <v>0</v>
      </c>
      <c r="E35" s="296">
        <f>+D35-C35</f>
        <v>0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>
      <c r="A36" s="294">
        <v>4</v>
      </c>
      <c r="B36" s="295" t="s">
        <v>643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>
      <c r="A37" s="293"/>
      <c r="B37" s="135" t="s">
        <v>650</v>
      </c>
      <c r="C37" s="300">
        <f>SUM(C33:C36)</f>
        <v>0</v>
      </c>
      <c r="D37" s="300">
        <f>SUM(D33:D36)</f>
        <v>0</v>
      </c>
      <c r="E37" s="300">
        <f>+D37-C37</f>
        <v>0</v>
      </c>
      <c r="F37" s="309">
        <f>IF(C37=0,0,+E37/C37)</f>
        <v>0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>
      <c r="A39" s="293"/>
      <c r="B39" s="135" t="s">
        <v>651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>
      <c r="A40" s="293"/>
      <c r="B40" s="135" t="s">
        <v>652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>
      <c r="A42" s="293" t="s">
        <v>457</v>
      </c>
      <c r="B42" s="291" t="s">
        <v>653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>
      <c r="A43" s="294">
        <v>1</v>
      </c>
      <c r="B43" s="295" t="s">
        <v>654</v>
      </c>
      <c r="C43" s="296">
        <v>0</v>
      </c>
      <c r="D43" s="296">
        <v>0</v>
      </c>
      <c r="E43" s="296">
        <f>+D43-C43</f>
        <v>0</v>
      </c>
      <c r="F43" s="316">
        <f>IF(C43=0,0,+E43/C43)</f>
        <v>0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>
      <c r="A44" s="294">
        <v>2</v>
      </c>
      <c r="B44" s="295" t="s">
        <v>655</v>
      </c>
      <c r="C44" s="296">
        <v>0</v>
      </c>
      <c r="D44" s="296">
        <v>0</v>
      </c>
      <c r="E44" s="296">
        <f>+D44-C44</f>
        <v>0</v>
      </c>
      <c r="F44" s="316">
        <f>IF(C44=0,0,+E44/C44)</f>
        <v>0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>
      <c r="A45" s="293"/>
      <c r="B45" s="135" t="s">
        <v>656</v>
      </c>
      <c r="C45" s="300">
        <f>SUM(C43:C44)</f>
        <v>0</v>
      </c>
      <c r="D45" s="300">
        <f>SUM(D43:D44)</f>
        <v>0</v>
      </c>
      <c r="E45" s="300">
        <f>+D45-C45</f>
        <v>0</v>
      </c>
      <c r="F45" s="309">
        <f>IF(C45=0,0,+E45/C45)</f>
        <v>0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>
      <c r="A47" s="293" t="s">
        <v>469</v>
      </c>
      <c r="B47" s="291" t="s">
        <v>657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>
      <c r="A48" s="294">
        <v>1</v>
      </c>
      <c r="B48" s="295" t="s">
        <v>654</v>
      </c>
      <c r="C48" s="296">
        <v>308</v>
      </c>
      <c r="D48" s="296">
        <v>306</v>
      </c>
      <c r="E48" s="296">
        <f>+D48-C48</f>
        <v>-2</v>
      </c>
      <c r="F48" s="316">
        <f>IF(C48=0,0,+E48/C48)</f>
        <v>-0.006493506493506494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>
      <c r="A49" s="294">
        <v>2</v>
      </c>
      <c r="B49" s="295" t="s">
        <v>655</v>
      </c>
      <c r="C49" s="296">
        <v>252</v>
      </c>
      <c r="D49" s="296">
        <v>357</v>
      </c>
      <c r="E49" s="296">
        <f>+D49-C49</f>
        <v>105</v>
      </c>
      <c r="F49" s="316">
        <f>IF(C49=0,0,+E49/C49)</f>
        <v>0.4166666666666667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>
      <c r="A50" s="293"/>
      <c r="B50" s="135" t="s">
        <v>658</v>
      </c>
      <c r="C50" s="300">
        <f>SUM(C48:C49)</f>
        <v>560</v>
      </c>
      <c r="D50" s="300">
        <f>SUM(D48:D49)</f>
        <v>663</v>
      </c>
      <c r="E50" s="300">
        <f>+D50-C50</f>
        <v>103</v>
      </c>
      <c r="F50" s="309">
        <f>IF(C50=0,0,+E50/C50)</f>
        <v>0.18392857142857144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>
      <c r="A52" s="293" t="s">
        <v>481</v>
      </c>
      <c r="B52" s="291" t="s">
        <v>659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>
      <c r="A53" s="294">
        <v>1</v>
      </c>
      <c r="B53" s="295" t="s">
        <v>660</v>
      </c>
      <c r="C53" s="296">
        <v>46</v>
      </c>
      <c r="D53" s="296">
        <v>42</v>
      </c>
      <c r="E53" s="296">
        <f>+D53-C53</f>
        <v>-4</v>
      </c>
      <c r="F53" s="316">
        <f>IF(C53=0,0,+E53/C53)</f>
        <v>-0.08695652173913043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>
      <c r="A54" s="294">
        <v>2</v>
      </c>
      <c r="B54" s="295" t="s">
        <v>661</v>
      </c>
      <c r="C54" s="296">
        <v>1</v>
      </c>
      <c r="D54" s="296">
        <v>212</v>
      </c>
      <c r="E54" s="296">
        <f>+D54-C54</f>
        <v>211</v>
      </c>
      <c r="F54" s="316">
        <f>IF(C54=0,0,+E54/C54)</f>
        <v>211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>
      <c r="A55" s="293"/>
      <c r="B55" s="135" t="s">
        <v>662</v>
      </c>
      <c r="C55" s="300">
        <f>SUM(C53:C54)</f>
        <v>47</v>
      </c>
      <c r="D55" s="300">
        <f>SUM(D53:D54)</f>
        <v>254</v>
      </c>
      <c r="E55" s="300">
        <f>+D55-C55</f>
        <v>207</v>
      </c>
      <c r="F55" s="309">
        <f>IF(C55=0,0,+E55/C55)</f>
        <v>4.404255319148936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>
      <c r="A57" s="293" t="s">
        <v>485</v>
      </c>
      <c r="B57" s="291" t="s">
        <v>663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>
      <c r="A58" s="294">
        <v>1</v>
      </c>
      <c r="B58" s="295" t="s">
        <v>664</v>
      </c>
      <c r="C58" s="296">
        <v>0</v>
      </c>
      <c r="D58" s="296">
        <v>0</v>
      </c>
      <c r="E58" s="296">
        <f>+D58-C58</f>
        <v>0</v>
      </c>
      <c r="F58" s="316">
        <f>IF(C58=0,0,+E58/C58)</f>
        <v>0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>
      <c r="A59" s="294">
        <v>2</v>
      </c>
      <c r="B59" s="295" t="s">
        <v>665</v>
      </c>
      <c r="C59" s="296">
        <v>0</v>
      </c>
      <c r="D59" s="296">
        <v>0</v>
      </c>
      <c r="E59" s="296">
        <f>+D59-C59</f>
        <v>0</v>
      </c>
      <c r="F59" s="316">
        <f>IF(C59=0,0,+E59/C59)</f>
        <v>0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>
      <c r="A60" s="293"/>
      <c r="B60" s="135" t="s">
        <v>666</v>
      </c>
      <c r="C60" s="300">
        <f>SUM(C58:C59)</f>
        <v>0</v>
      </c>
      <c r="D60" s="300">
        <f>SUM(D58:D59)</f>
        <v>0</v>
      </c>
      <c r="E60" s="300">
        <f>SUM(E58:E59)</f>
        <v>0</v>
      </c>
      <c r="F60" s="309">
        <f>IF(C60=0,0,+E60/C60)</f>
        <v>0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>
      <c r="A62" s="293" t="s">
        <v>127</v>
      </c>
      <c r="B62" s="291" t="s">
        <v>667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>
      <c r="A63" s="294">
        <v>1</v>
      </c>
      <c r="B63" s="295" t="s">
        <v>668</v>
      </c>
      <c r="C63" s="296">
        <v>3143</v>
      </c>
      <c r="D63" s="296">
        <v>3079</v>
      </c>
      <c r="E63" s="296">
        <f>+D63-C63</f>
        <v>-64</v>
      </c>
      <c r="F63" s="316">
        <f>IF(C63=0,0,+E63/C63)</f>
        <v>-0.02036271078587337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>
      <c r="A64" s="294">
        <v>2</v>
      </c>
      <c r="B64" s="295" t="s">
        <v>669</v>
      </c>
      <c r="C64" s="296">
        <v>9110</v>
      </c>
      <c r="D64" s="296">
        <v>8893</v>
      </c>
      <c r="E64" s="296">
        <f>+D64-C64</f>
        <v>-217</v>
      </c>
      <c r="F64" s="316">
        <f>IF(C64=0,0,+E64/C64)</f>
        <v>-0.023819978046103182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>
      <c r="A65" s="293"/>
      <c r="B65" s="135" t="s">
        <v>670</v>
      </c>
      <c r="C65" s="300">
        <f>SUM(C63:C64)</f>
        <v>12253</v>
      </c>
      <c r="D65" s="300">
        <f>SUM(D63:D64)</f>
        <v>11972</v>
      </c>
      <c r="E65" s="300">
        <f>+D65-C65</f>
        <v>-281</v>
      </c>
      <c r="F65" s="309">
        <f>IF(C65=0,0,+E65/C65)</f>
        <v>-0.022933159226311922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>
      <c r="A67" s="293" t="s">
        <v>511</v>
      </c>
      <c r="B67" s="291" t="s">
        <v>671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>
      <c r="A68" s="294">
        <v>1</v>
      </c>
      <c r="B68" s="295" t="s">
        <v>672</v>
      </c>
      <c r="C68" s="296">
        <v>627</v>
      </c>
      <c r="D68" s="296">
        <v>520</v>
      </c>
      <c r="E68" s="296">
        <f>+D68-C68</f>
        <v>-107</v>
      </c>
      <c r="F68" s="316">
        <f>IF(C68=0,0,+E68/C68)</f>
        <v>-0.17065390749601275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>
      <c r="A69" s="294">
        <v>2</v>
      </c>
      <c r="B69" s="295" t="s">
        <v>673</v>
      </c>
      <c r="C69" s="296">
        <v>6531</v>
      </c>
      <c r="D69" s="296">
        <v>6748</v>
      </c>
      <c r="E69" s="296">
        <f>+D69-C69</f>
        <v>217</v>
      </c>
      <c r="F69" s="318">
        <f>IF(C69=0,0,+E69/C69)</f>
        <v>0.03322615219721329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>
      <c r="A70" s="293"/>
      <c r="B70" s="135" t="s">
        <v>674</v>
      </c>
      <c r="C70" s="300">
        <f>SUM(C68:C69)</f>
        <v>7158</v>
      </c>
      <c r="D70" s="300">
        <f>SUM(D68:D69)</f>
        <v>7268</v>
      </c>
      <c r="E70" s="300">
        <f>+D70-C70</f>
        <v>110</v>
      </c>
      <c r="F70" s="309">
        <f>IF(C70=0,0,+E70/C70)</f>
        <v>0.015367421067337244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>
      <c r="A72" s="293" t="s">
        <v>527</v>
      </c>
      <c r="B72" s="291" t="s">
        <v>675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>
      <c r="A73" s="294">
        <v>1</v>
      </c>
      <c r="B73" s="295" t="s">
        <v>676</v>
      </c>
      <c r="C73" s="319">
        <v>8327</v>
      </c>
      <c r="D73" s="319">
        <v>7214</v>
      </c>
      <c r="E73" s="296">
        <f>+D73-C73</f>
        <v>-1113</v>
      </c>
      <c r="F73" s="316">
        <f>IF(C73=0,0,+E73/C73)</f>
        <v>-0.13366158280293022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>
      <c r="A74" s="294">
        <v>2</v>
      </c>
      <c r="B74" s="295" t="s">
        <v>677</v>
      </c>
      <c r="C74" s="319">
        <v>37113</v>
      </c>
      <c r="D74" s="319">
        <v>39086</v>
      </c>
      <c r="E74" s="296">
        <f>+D74-C74</f>
        <v>1973</v>
      </c>
      <c r="F74" s="316">
        <f>IF(C74=0,0,+E74/C74)</f>
        <v>0.05316196481017433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>
      <c r="A75" s="293"/>
      <c r="B75" s="135" t="s">
        <v>543</v>
      </c>
      <c r="C75" s="300">
        <f>SUM(C73:C74)</f>
        <v>45440</v>
      </c>
      <c r="D75" s="300">
        <f>SUM(D73:D74)</f>
        <v>46300</v>
      </c>
      <c r="E75" s="300">
        <f>SUM(E73:E74)</f>
        <v>860</v>
      </c>
      <c r="F75" s="309">
        <f>IF(C75=0,0,+E75/C75)</f>
        <v>0.018926056338028168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>
      <c r="A78" s="293" t="s">
        <v>536</v>
      </c>
      <c r="B78" s="291" t="s">
        <v>678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>
      <c r="A79" s="294">
        <v>1</v>
      </c>
      <c r="B79" s="295" t="s">
        <v>679</v>
      </c>
      <c r="C79" s="319">
        <v>0</v>
      </c>
      <c r="D79" s="319">
        <v>0</v>
      </c>
      <c r="E79" s="296">
        <f aca="true" t="shared" si="0" ref="E79:E84">+D79-C79</f>
        <v>0</v>
      </c>
      <c r="F79" s="316">
        <f aca="true" t="shared" si="1" ref="F79:F84">IF(C79=0,0,+E79/C79)</f>
        <v>0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>
      <c r="A80" s="294">
        <v>2</v>
      </c>
      <c r="B80" s="295" t="s">
        <v>680</v>
      </c>
      <c r="C80" s="319">
        <v>0</v>
      </c>
      <c r="D80" s="319">
        <v>0</v>
      </c>
      <c r="E80" s="296">
        <f t="shared" si="0"/>
        <v>0</v>
      </c>
      <c r="F80" s="316">
        <f t="shared" si="1"/>
        <v>0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>
      <c r="A81" s="294">
        <v>3</v>
      </c>
      <c r="B81" s="295" t="s">
        <v>681</v>
      </c>
      <c r="C81" s="319">
        <v>0</v>
      </c>
      <c r="D81" s="319">
        <v>0</v>
      </c>
      <c r="E81" s="296">
        <f t="shared" si="0"/>
        <v>0</v>
      </c>
      <c r="F81" s="316">
        <f t="shared" si="1"/>
        <v>0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>
      <c r="A82" s="294">
        <v>4</v>
      </c>
      <c r="B82" s="295" t="s">
        <v>682</v>
      </c>
      <c r="C82" s="319">
        <v>0</v>
      </c>
      <c r="D82" s="319">
        <v>0</v>
      </c>
      <c r="E82" s="296">
        <f t="shared" si="0"/>
        <v>0</v>
      </c>
      <c r="F82" s="316">
        <f t="shared" si="1"/>
        <v>0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>
      <c r="A83" s="294">
        <v>5</v>
      </c>
      <c r="B83" s="295" t="s">
        <v>683</v>
      </c>
      <c r="C83" s="319">
        <v>15281</v>
      </c>
      <c r="D83" s="319">
        <v>17291</v>
      </c>
      <c r="E83" s="296">
        <f t="shared" si="0"/>
        <v>2010</v>
      </c>
      <c r="F83" s="316">
        <f t="shared" si="1"/>
        <v>0.13153589424775866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>
      <c r="A84" s="293"/>
      <c r="B84" s="135" t="s">
        <v>684</v>
      </c>
      <c r="C84" s="320">
        <f>SUM(C79:C83)</f>
        <v>15281</v>
      </c>
      <c r="D84" s="320">
        <f>SUM(D79:D83)</f>
        <v>17291</v>
      </c>
      <c r="E84" s="300">
        <f t="shared" si="0"/>
        <v>2010</v>
      </c>
      <c r="F84" s="309">
        <f t="shared" si="1"/>
        <v>0.13153589424775866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>
      <c r="A86" s="293" t="s">
        <v>539</v>
      </c>
      <c r="B86" s="291" t="s">
        <v>685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>
      <c r="A87" s="294">
        <v>1</v>
      </c>
      <c r="B87" s="295" t="s">
        <v>686</v>
      </c>
      <c r="C87" s="322">
        <v>31073</v>
      </c>
      <c r="D87" s="322">
        <v>32528</v>
      </c>
      <c r="E87" s="323">
        <f aca="true" t="shared" si="2" ref="E87:E92">+D87-C87</f>
        <v>1455</v>
      </c>
      <c r="F87" s="318">
        <f aca="true" t="shared" si="3" ref="F87:F92">IF(C87=0,0,+E87/C87)</f>
        <v>0.046825218034949954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>
      <c r="A88" s="294">
        <v>2</v>
      </c>
      <c r="B88" s="295" t="s">
        <v>378</v>
      </c>
      <c r="C88" s="322">
        <v>6233</v>
      </c>
      <c r="D88" s="322">
        <v>7337</v>
      </c>
      <c r="E88" s="296">
        <f t="shared" si="2"/>
        <v>1104</v>
      </c>
      <c r="F88" s="316">
        <f t="shared" si="3"/>
        <v>0.17712177121771217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>
      <c r="A89" s="294">
        <v>3</v>
      </c>
      <c r="B89" s="295" t="s">
        <v>687</v>
      </c>
      <c r="C89" s="322">
        <v>0</v>
      </c>
      <c r="D89" s="322">
        <v>0</v>
      </c>
      <c r="E89" s="296">
        <f t="shared" si="2"/>
        <v>0</v>
      </c>
      <c r="F89" s="316">
        <f t="shared" si="3"/>
        <v>0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>
      <c r="A90" s="294">
        <v>4</v>
      </c>
      <c r="B90" s="295" t="s">
        <v>688</v>
      </c>
      <c r="C90" s="322">
        <v>0</v>
      </c>
      <c r="D90" s="322">
        <v>0</v>
      </c>
      <c r="E90" s="296">
        <f t="shared" si="2"/>
        <v>0</v>
      </c>
      <c r="F90" s="316">
        <f t="shared" si="3"/>
        <v>0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>
      <c r="A91" s="294">
        <v>5</v>
      </c>
      <c r="B91" s="295" t="s">
        <v>689</v>
      </c>
      <c r="C91" s="322">
        <v>203647</v>
      </c>
      <c r="D91" s="322">
        <v>239549</v>
      </c>
      <c r="E91" s="296">
        <f t="shared" si="2"/>
        <v>35902</v>
      </c>
      <c r="F91" s="316">
        <f t="shared" si="3"/>
        <v>0.1762952560067175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>
      <c r="A92" s="293"/>
      <c r="B92" s="135" t="s">
        <v>690</v>
      </c>
      <c r="C92" s="320">
        <f>SUM(C87:C91)</f>
        <v>240953</v>
      </c>
      <c r="D92" s="320">
        <f>SUM(D87:D91)</f>
        <v>279414</v>
      </c>
      <c r="E92" s="300">
        <f t="shared" si="2"/>
        <v>38461</v>
      </c>
      <c r="F92" s="309">
        <f t="shared" si="3"/>
        <v>0.15962034089635738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>
      <c r="A95" s="293" t="s">
        <v>691</v>
      </c>
      <c r="B95" s="291" t="s">
        <v>692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>
      <c r="A96" s="294">
        <v>1</v>
      </c>
      <c r="B96" s="295" t="s">
        <v>693</v>
      </c>
      <c r="C96" s="325">
        <v>515.9</v>
      </c>
      <c r="D96" s="325">
        <v>564.6</v>
      </c>
      <c r="E96" s="326">
        <f>+D96-C96</f>
        <v>48.700000000000045</v>
      </c>
      <c r="F96" s="316">
        <f>IF(C96=0,0,+E96/C96)</f>
        <v>0.09439813917425867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>
      <c r="A97" s="294">
        <v>2</v>
      </c>
      <c r="B97" s="295" t="s">
        <v>694</v>
      </c>
      <c r="C97" s="325">
        <v>101.2</v>
      </c>
      <c r="D97" s="325">
        <v>104.9</v>
      </c>
      <c r="E97" s="326">
        <f>+D97-C97</f>
        <v>3.700000000000003</v>
      </c>
      <c r="F97" s="316">
        <f>IF(C97=0,0,+E97/C97)</f>
        <v>0.03656126482213441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>
      <c r="A98" s="294">
        <v>3</v>
      </c>
      <c r="B98" s="295" t="s">
        <v>695</v>
      </c>
      <c r="C98" s="325">
        <v>1262.2</v>
      </c>
      <c r="D98" s="325">
        <v>1228.9</v>
      </c>
      <c r="E98" s="326">
        <f>+D98-C98</f>
        <v>-33.299999999999955</v>
      </c>
      <c r="F98" s="316">
        <f>IF(C98=0,0,+E98/C98)</f>
        <v>-0.026382506734273455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>
      <c r="A99" s="293"/>
      <c r="B99" s="135" t="s">
        <v>696</v>
      </c>
      <c r="C99" s="327">
        <f>SUM(C96:C98)</f>
        <v>1879.3000000000002</v>
      </c>
      <c r="D99" s="327">
        <f>SUM(D96:D98)</f>
        <v>1898.4</v>
      </c>
      <c r="E99" s="327">
        <f>+D99-C99</f>
        <v>19.09999999999991</v>
      </c>
      <c r="F99" s="309">
        <f>IF(C99=0,0,+E99/C99)</f>
        <v>0.010163358697387275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ht="15.75" customHeight="1">
      <c r="B111" s="304"/>
    </row>
  </sheetData>
  <sheetProtection/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horizontalDpi="1200" verticalDpi="1200" orientation="portrait" paperSize="9" scale="72" r:id="rId1"/>
  <headerFooter alignWithMargins="0">
    <oddHeader>&amp;LOFFICE OF HEALTH CARE ACCESS&amp;CTWELVE MONTHS ACTUAL FILING&amp;RSTAMFORD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30"/>
  <sheetViews>
    <sheetView zoomScale="75" zoomScaleNormal="75" zoomScaleSheetLayoutView="90" zoomScalePageLayoutView="0" workbookViewId="0" topLeftCell="A1">
      <selection activeCell="A1" sqref="A1:F1"/>
    </sheetView>
  </sheetViews>
  <sheetFormatPr defaultColWidth="9.140625" defaultRowHeight="12.75"/>
  <cols>
    <col min="1" max="1" width="6.00390625" style="308" customWidth="1"/>
    <col min="2" max="2" width="56.00390625" style="307" customWidth="1"/>
    <col min="3" max="3" width="15.57421875" style="307" customWidth="1"/>
    <col min="4" max="4" width="15.28125" style="307" customWidth="1"/>
    <col min="5" max="5" width="15.7109375" style="307" customWidth="1"/>
    <col min="6" max="6" width="15.8515625" style="307" customWidth="1"/>
    <col min="7" max="16384" width="9.140625" style="307" customWidth="1"/>
  </cols>
  <sheetData>
    <row r="1" spans="1:6" ht="15.75" customHeight="1">
      <c r="A1" s="698" t="s">
        <v>115</v>
      </c>
      <c r="B1" s="698"/>
      <c r="C1" s="698"/>
      <c r="D1" s="698"/>
      <c r="E1" s="698"/>
      <c r="F1" s="698"/>
    </row>
    <row r="2" spans="1:6" ht="15.75" customHeight="1">
      <c r="A2" s="698" t="s">
        <v>116</v>
      </c>
      <c r="B2" s="698"/>
      <c r="C2" s="698"/>
      <c r="D2" s="698"/>
      <c r="E2" s="698"/>
      <c r="F2" s="698"/>
    </row>
    <row r="3" spans="1:6" ht="15.75" customHeight="1">
      <c r="A3" s="698" t="s">
        <v>117</v>
      </c>
      <c r="B3" s="698"/>
      <c r="C3" s="698"/>
      <c r="D3" s="698"/>
      <c r="E3" s="698"/>
      <c r="F3" s="698"/>
    </row>
    <row r="4" spans="1:6" ht="15.75" customHeight="1">
      <c r="A4" s="698" t="s">
        <v>697</v>
      </c>
      <c r="B4" s="698"/>
      <c r="C4" s="698"/>
      <c r="D4" s="698"/>
      <c r="E4" s="698"/>
      <c r="F4" s="698"/>
    </row>
    <row r="5" spans="1:13" ht="15.75" customHeight="1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>
      <c r="A8" s="313"/>
      <c r="B8" s="314"/>
      <c r="C8" s="312" t="s">
        <v>125</v>
      </c>
      <c r="D8" s="312" t="s">
        <v>125</v>
      </c>
      <c r="E8" s="126" t="s">
        <v>121</v>
      </c>
      <c r="F8" s="126" t="s">
        <v>122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>
      <c r="A9" s="290" t="s">
        <v>123</v>
      </c>
      <c r="B9" s="291" t="s">
        <v>124</v>
      </c>
      <c r="C9" s="292" t="s">
        <v>119</v>
      </c>
      <c r="D9" s="292" t="s">
        <v>120</v>
      </c>
      <c r="E9" s="315" t="s">
        <v>126</v>
      </c>
      <c r="F9" s="315" t="s">
        <v>126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6" ht="15.75" customHeight="1">
      <c r="A11" s="293" t="s">
        <v>225</v>
      </c>
      <c r="B11" s="291" t="s">
        <v>669</v>
      </c>
      <c r="C11" s="296"/>
      <c r="D11" s="296"/>
      <c r="E11" s="296"/>
      <c r="F11" s="316"/>
    </row>
    <row r="12" spans="1:6" ht="15.75" customHeight="1">
      <c r="A12" s="294">
        <v>1</v>
      </c>
      <c r="B12" s="295" t="s">
        <v>698</v>
      </c>
      <c r="C12" s="296">
        <v>6379</v>
      </c>
      <c r="D12" s="296">
        <v>2441</v>
      </c>
      <c r="E12" s="296">
        <f>+D12-C12</f>
        <v>-3938</v>
      </c>
      <c r="F12" s="316">
        <f>IF(C12=0,0,+E12/C12)</f>
        <v>-0.6173381407744161</v>
      </c>
    </row>
    <row r="13" spans="1:6" ht="15.75" customHeight="1">
      <c r="A13" s="294">
        <v>2</v>
      </c>
      <c r="B13" s="295" t="s">
        <v>699</v>
      </c>
      <c r="C13" s="296">
        <v>2731</v>
      </c>
      <c r="D13" s="296">
        <v>6452</v>
      </c>
      <c r="E13" s="296">
        <f>+D13-C13</f>
        <v>3721</v>
      </c>
      <c r="F13" s="316">
        <f>IF(C13=0,0,+E13/C13)</f>
        <v>1.3625045770779933</v>
      </c>
    </row>
    <row r="14" spans="1:6" ht="15.75" customHeight="1">
      <c r="A14" s="294"/>
      <c r="B14" s="135" t="s">
        <v>700</v>
      </c>
      <c r="C14" s="300">
        <f>SUM(C11:C13)</f>
        <v>9110</v>
      </c>
      <c r="D14" s="300">
        <f>SUM(D11:D13)</f>
        <v>8893</v>
      </c>
      <c r="E14" s="300">
        <f>+D14-C14</f>
        <v>-217</v>
      </c>
      <c r="F14" s="309">
        <f>IF(C14=0,0,+E14/C14)</f>
        <v>-0.023819978046103182</v>
      </c>
    </row>
    <row r="15" spans="1:6" ht="15.75" customHeight="1">
      <c r="A15" s="293"/>
      <c r="B15" s="135"/>
      <c r="C15" s="300"/>
      <c r="D15" s="300"/>
      <c r="E15" s="300"/>
      <c r="F15" s="309"/>
    </row>
    <row r="16" spans="1:6" ht="15.75" customHeight="1">
      <c r="A16" s="293" t="s">
        <v>239</v>
      </c>
      <c r="B16" s="291" t="s">
        <v>673</v>
      </c>
      <c r="C16" s="296"/>
      <c r="D16" s="296"/>
      <c r="E16" s="296"/>
      <c r="F16" s="316"/>
    </row>
    <row r="17" spans="1:6" ht="15.75" customHeight="1">
      <c r="A17" s="294">
        <v>1</v>
      </c>
      <c r="B17" s="295" t="s">
        <v>698</v>
      </c>
      <c r="C17" s="296">
        <v>6386</v>
      </c>
      <c r="D17" s="296">
        <v>152</v>
      </c>
      <c r="E17" s="296">
        <f>+D17-C17</f>
        <v>-6234</v>
      </c>
      <c r="F17" s="316">
        <f>IF(C17=0,0,+E17/C17)</f>
        <v>-0.9761979329783902</v>
      </c>
    </row>
    <row r="18" spans="1:6" ht="15.75" customHeight="1">
      <c r="A18" s="294">
        <v>2</v>
      </c>
      <c r="B18" s="295" t="s">
        <v>699</v>
      </c>
      <c r="C18" s="296">
        <v>145</v>
      </c>
      <c r="D18" s="296">
        <v>6596</v>
      </c>
      <c r="E18" s="296">
        <f>+D18-C18</f>
        <v>6451</v>
      </c>
      <c r="F18" s="316">
        <f>IF(C18=0,0,+E18/C18)</f>
        <v>44.48965517241379</v>
      </c>
    </row>
    <row r="19" spans="1:6" ht="15.75" customHeight="1">
      <c r="A19" s="294"/>
      <c r="B19" s="135" t="s">
        <v>701</v>
      </c>
      <c r="C19" s="300">
        <f>SUM(C16:C18)</f>
        <v>6531</v>
      </c>
      <c r="D19" s="300">
        <f>SUM(D16:D18)</f>
        <v>6748</v>
      </c>
      <c r="E19" s="300">
        <f>+D19-C19</f>
        <v>217</v>
      </c>
      <c r="F19" s="309">
        <f>IF(C19=0,0,+E19/C19)</f>
        <v>0.03322615219721329</v>
      </c>
    </row>
    <row r="20" spans="1:6" ht="15.75" customHeight="1">
      <c r="A20" s="293"/>
      <c r="B20" s="135"/>
      <c r="C20" s="300"/>
      <c r="D20" s="300"/>
      <c r="E20" s="300"/>
      <c r="F20" s="309"/>
    </row>
    <row r="21" spans="1:6" ht="15.75" customHeight="1">
      <c r="A21" s="293" t="s">
        <v>256</v>
      </c>
      <c r="B21" s="291" t="s">
        <v>702</v>
      </c>
      <c r="C21" s="296"/>
      <c r="D21" s="296"/>
      <c r="E21" s="296"/>
      <c r="F21" s="316"/>
    </row>
    <row r="22" spans="1:6" ht="15.75" customHeight="1">
      <c r="A22" s="294">
        <v>1</v>
      </c>
      <c r="B22" s="295" t="s">
        <v>698</v>
      </c>
      <c r="C22" s="296">
        <v>37113</v>
      </c>
      <c r="D22" s="296">
        <v>39086</v>
      </c>
      <c r="E22" s="296">
        <f>+D22-C22</f>
        <v>1973</v>
      </c>
      <c r="F22" s="316">
        <f>IF(C22=0,0,+E22/C22)</f>
        <v>0.05316196481017433</v>
      </c>
    </row>
    <row r="23" spans="1:6" ht="15.75" customHeight="1">
      <c r="A23" s="294"/>
      <c r="B23" s="135" t="s">
        <v>703</v>
      </c>
      <c r="C23" s="300">
        <f>SUM(C21:C22)</f>
        <v>37113</v>
      </c>
      <c r="D23" s="300">
        <f>SUM(D21:D22)</f>
        <v>39086</v>
      </c>
      <c r="E23" s="300">
        <f>+D23-C23</f>
        <v>1973</v>
      </c>
      <c r="F23" s="309">
        <f>IF(C23=0,0,+E23/C23)</f>
        <v>0.05316196481017433</v>
      </c>
    </row>
    <row r="24" spans="1:6" ht="15.75" customHeight="1">
      <c r="A24" s="293"/>
      <c r="B24" s="135"/>
      <c r="C24" s="300"/>
      <c r="D24" s="300"/>
      <c r="E24" s="300"/>
      <c r="F24" s="309"/>
    </row>
    <row r="25" spans="2:6" ht="15.75" customHeight="1">
      <c r="B25" s="699" t="s">
        <v>704</v>
      </c>
      <c r="C25" s="700"/>
      <c r="D25" s="700"/>
      <c r="E25" s="700"/>
      <c r="F25" s="701"/>
    </row>
    <row r="26" spans="1:6" ht="15.75" customHeight="1">
      <c r="A26" s="293"/>
      <c r="B26" s="135"/>
      <c r="C26" s="300"/>
      <c r="D26" s="300"/>
      <c r="E26" s="300"/>
      <c r="F26" s="309"/>
    </row>
    <row r="27" spans="2:6" ht="15.75" customHeight="1">
      <c r="B27" s="699" t="s">
        <v>705</v>
      </c>
      <c r="C27" s="700"/>
      <c r="D27" s="700"/>
      <c r="E27" s="700"/>
      <c r="F27" s="701"/>
    </row>
    <row r="28" spans="1:6" ht="15.75" customHeight="1">
      <c r="A28" s="293"/>
      <c r="B28" s="135"/>
      <c r="C28" s="300"/>
      <c r="D28" s="300"/>
      <c r="E28" s="300"/>
      <c r="F28" s="309"/>
    </row>
    <row r="29" spans="2:6" ht="15.75" customHeight="1">
      <c r="B29" s="699" t="s">
        <v>706</v>
      </c>
      <c r="C29" s="700"/>
      <c r="D29" s="700"/>
      <c r="E29" s="700"/>
      <c r="F29" s="701"/>
    </row>
    <row r="30" spans="1:6" ht="15.75" customHeight="1">
      <c r="A30" s="293"/>
      <c r="B30" s="135"/>
      <c r="C30" s="300"/>
      <c r="D30" s="300"/>
      <c r="E30" s="300"/>
      <c r="F30" s="309"/>
    </row>
  </sheetData>
  <sheetProtection/>
  <mergeCells count="7">
    <mergeCell ref="B29:F29"/>
    <mergeCell ref="A1:F1"/>
    <mergeCell ref="A2:F2"/>
    <mergeCell ref="A3:F3"/>
    <mergeCell ref="A4:F4"/>
    <mergeCell ref="B25:F25"/>
    <mergeCell ref="B27:F27"/>
  </mergeCells>
  <printOptions gridLines="1"/>
  <pageMargins left="0.25" right="0.25" top="0.5" bottom="0.5" header="0.25" footer="0.25"/>
  <pageSetup horizontalDpi="1200" verticalDpi="1200" orientation="portrait" paperSize="9" scale="80"/>
  <headerFooter alignWithMargins="0">
    <oddHeader>&amp;LOFFICE OF HEALTH CARE ACCESS&amp;CTWELVE MONTHS ACTUAL FILING&amp;RSTAMFORD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P1072"/>
  <sheetViews>
    <sheetView zoomScale="85" zoomScaleNormal="85" zoomScaleSheetLayoutView="80" zoomScalePageLayoutView="0" workbookViewId="0" topLeftCell="A1">
      <selection activeCell="A1" sqref="A1:F1"/>
    </sheetView>
  </sheetViews>
  <sheetFormatPr defaultColWidth="9.140625" defaultRowHeight="11.25" customHeight="1"/>
  <cols>
    <col min="1" max="1" width="5.140625" style="330" bestFit="1" customWidth="1"/>
    <col min="2" max="2" width="62.140625" style="331" customWidth="1"/>
    <col min="3" max="3" width="14.421875" style="332" customWidth="1"/>
    <col min="4" max="4" width="13.57421875" style="330" customWidth="1"/>
    <col min="5" max="5" width="14.00390625" style="330" customWidth="1"/>
    <col min="6" max="6" width="15.57421875" style="330" customWidth="1"/>
    <col min="7" max="17" width="12.7109375" style="333" customWidth="1"/>
    <col min="18" max="21" width="9.140625" style="330" customWidth="1"/>
    <col min="22" max="22" width="9.140625" style="330" hidden="1" customWidth="1"/>
    <col min="23" max="16384" width="9.140625" style="330" customWidth="1"/>
  </cols>
  <sheetData>
    <row r="1" spans="1:6" ht="15.75" customHeight="1">
      <c r="A1" s="705" t="s">
        <v>115</v>
      </c>
      <c r="B1" s="705"/>
      <c r="C1" s="705"/>
      <c r="D1" s="705"/>
      <c r="E1" s="705"/>
      <c r="F1" s="705"/>
    </row>
    <row r="2" spans="1:6" ht="15.75" customHeight="1">
      <c r="A2" s="706" t="s">
        <v>707</v>
      </c>
      <c r="B2" s="707"/>
      <c r="C2" s="707"/>
      <c r="D2" s="707"/>
      <c r="E2" s="707"/>
      <c r="F2" s="708"/>
    </row>
    <row r="3" spans="1:6" ht="15.75" customHeight="1">
      <c r="A3" s="706" t="s">
        <v>708</v>
      </c>
      <c r="B3" s="707"/>
      <c r="C3" s="707"/>
      <c r="D3" s="707"/>
      <c r="E3" s="707"/>
      <c r="F3" s="708"/>
    </row>
    <row r="4" spans="1:6" ht="15.75" customHeight="1">
      <c r="A4" s="702" t="s">
        <v>709</v>
      </c>
      <c r="B4" s="703"/>
      <c r="C4" s="703"/>
      <c r="D4" s="703"/>
      <c r="E4" s="703"/>
      <c r="F4" s="704"/>
    </row>
    <row r="5" spans="1:6" ht="15.75" customHeight="1">
      <c r="A5" s="702" t="s">
        <v>710</v>
      </c>
      <c r="B5" s="703"/>
      <c r="C5" s="703"/>
      <c r="D5" s="703"/>
      <c r="E5" s="703"/>
      <c r="F5" s="704"/>
    </row>
    <row r="6" spans="1:17" ht="15.75" customHeight="1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17" s="338" customFormat="1" ht="14.25" customHeight="1">
      <c r="A7" s="340"/>
      <c r="B7" s="340"/>
      <c r="C7" s="341" t="s">
        <v>711</v>
      </c>
      <c r="D7" s="341" t="s">
        <v>711</v>
      </c>
      <c r="E7" s="341" t="s">
        <v>712</v>
      </c>
      <c r="F7" s="341" t="s">
        <v>122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17" s="338" customFormat="1" ht="13.5" customHeight="1">
      <c r="A8" s="342" t="s">
        <v>123</v>
      </c>
      <c r="B8" s="343" t="s">
        <v>124</v>
      </c>
      <c r="C8" s="344" t="s">
        <v>713</v>
      </c>
      <c r="D8" s="344" t="s">
        <v>714</v>
      </c>
      <c r="E8" s="344" t="s">
        <v>126</v>
      </c>
      <c r="F8" s="344" t="s">
        <v>126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17" s="338" customFormat="1" ht="12.75" customHeight="1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17" s="338" customFormat="1" ht="15.75" customHeight="1">
      <c r="A10" s="334" t="s">
        <v>127</v>
      </c>
      <c r="B10" s="349" t="s">
        <v>715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3:17" s="338" customFormat="1" ht="11.25" customHeight="1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17" s="338" customFormat="1" ht="15" customHeight="1">
      <c r="A12" s="355" t="s">
        <v>129</v>
      </c>
      <c r="B12" s="356" t="s">
        <v>716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17" ht="11.25" customHeight="1">
      <c r="A13" s="338"/>
      <c r="B13" s="357"/>
      <c r="C13" s="333"/>
      <c r="D13" s="333"/>
      <c r="E13" s="333"/>
      <c r="F13" s="333"/>
      <c r="Q13" s="330"/>
    </row>
    <row r="14" spans="1:17" ht="11.25" customHeight="1">
      <c r="A14" s="338"/>
      <c r="B14" s="359" t="s">
        <v>717</v>
      </c>
      <c r="C14" s="333"/>
      <c r="D14" s="333"/>
      <c r="E14" s="333"/>
      <c r="F14" s="333"/>
      <c r="Q14" s="330"/>
    </row>
    <row r="15" spans="1:17" ht="11.25" customHeight="1">
      <c r="A15" s="338">
        <v>1</v>
      </c>
      <c r="B15" s="360" t="s">
        <v>718</v>
      </c>
      <c r="C15" s="361">
        <v>233292994</v>
      </c>
      <c r="D15" s="361">
        <v>245697432</v>
      </c>
      <c r="E15" s="361">
        <f aca="true" t="shared" si="0" ref="E15:E24">D15-C15</f>
        <v>12404438</v>
      </c>
      <c r="F15" s="362">
        <f aca="true" t="shared" si="1" ref="F15:F24">IF(C15=0,0,E15/C15)</f>
        <v>0.053171069509271245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>
      <c r="A16" s="364">
        <v>2</v>
      </c>
      <c r="B16" s="360" t="s">
        <v>719</v>
      </c>
      <c r="C16" s="361">
        <v>69063687</v>
      </c>
      <c r="D16" s="361">
        <v>69840646</v>
      </c>
      <c r="E16" s="361">
        <f t="shared" si="0"/>
        <v>776959</v>
      </c>
      <c r="F16" s="362">
        <f t="shared" si="1"/>
        <v>0.011249891712268418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>
      <c r="A17" s="364">
        <v>3</v>
      </c>
      <c r="B17" s="365" t="s">
        <v>720</v>
      </c>
      <c r="C17" s="366">
        <f>IF(C15=0,0,C16/C15)</f>
        <v>0.29603840996613895</v>
      </c>
      <c r="D17" s="366">
        <f>IF(LN_IA1=0,0,LN_IA2/LN_IA1)</f>
        <v>0.28425468443642504</v>
      </c>
      <c r="E17" s="367">
        <f t="shared" si="0"/>
        <v>-0.011783725529713907</v>
      </c>
      <c r="F17" s="362">
        <f t="shared" si="1"/>
        <v>-0.03980471835077663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>
      <c r="A18" s="364">
        <v>4</v>
      </c>
      <c r="B18" s="360" t="s">
        <v>252</v>
      </c>
      <c r="C18" s="369">
        <v>5763</v>
      </c>
      <c r="D18" s="369">
        <v>5093</v>
      </c>
      <c r="E18" s="369">
        <f t="shared" si="0"/>
        <v>-670</v>
      </c>
      <c r="F18" s="362">
        <f t="shared" si="1"/>
        <v>-0.11625889293770605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>
      <c r="A19" s="364">
        <v>5</v>
      </c>
      <c r="B19" s="365" t="s">
        <v>721</v>
      </c>
      <c r="C19" s="372">
        <v>1.54308</v>
      </c>
      <c r="D19" s="372">
        <v>1.57669</v>
      </c>
      <c r="E19" s="373">
        <f t="shared" si="0"/>
        <v>0.03360999999999992</v>
      </c>
      <c r="F19" s="362">
        <f t="shared" si="1"/>
        <v>0.021781113098478314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>
      <c r="A20" s="338">
        <v>6</v>
      </c>
      <c r="B20" s="365" t="s">
        <v>722</v>
      </c>
      <c r="C20" s="376">
        <f>C18*C19</f>
        <v>8892.77004</v>
      </c>
      <c r="D20" s="376">
        <f>LN_IA4*LN_IA5</f>
        <v>8030.08217</v>
      </c>
      <c r="E20" s="376">
        <f t="shared" si="0"/>
        <v>-862.6878699999997</v>
      </c>
      <c r="F20" s="362">
        <f t="shared" si="1"/>
        <v>-0.09701002793500772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>
      <c r="A21" s="364">
        <v>7</v>
      </c>
      <c r="B21" s="360" t="s">
        <v>723</v>
      </c>
      <c r="C21" s="378">
        <f>IF(C20=0,0,C16/C20)</f>
        <v>7766.273803252423</v>
      </c>
      <c r="D21" s="378">
        <f>IF(LN_IA6=0,0,LN_IA2/LN_IA6)</f>
        <v>8697.376256113703</v>
      </c>
      <c r="E21" s="378">
        <f t="shared" si="0"/>
        <v>931.1024528612797</v>
      </c>
      <c r="F21" s="362">
        <f t="shared" si="1"/>
        <v>0.11989050044454332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>
      <c r="A22" s="364">
        <v>8</v>
      </c>
      <c r="B22" s="360" t="s">
        <v>254</v>
      </c>
      <c r="C22" s="369">
        <v>35679</v>
      </c>
      <c r="D22" s="369">
        <v>34020</v>
      </c>
      <c r="E22" s="369">
        <f t="shared" si="0"/>
        <v>-1659</v>
      </c>
      <c r="F22" s="362">
        <f t="shared" si="1"/>
        <v>-0.04649793996468511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>
      <c r="A23" s="364">
        <v>9</v>
      </c>
      <c r="B23" s="360" t="s">
        <v>724</v>
      </c>
      <c r="C23" s="378">
        <f>IF(C22=0,0,C16/C22)</f>
        <v>1935.6957033549147</v>
      </c>
      <c r="D23" s="378">
        <f>IF(LN_IA8=0,0,LN_IA2/LN_IA8)</f>
        <v>2052.929041740153</v>
      </c>
      <c r="E23" s="378">
        <f t="shared" si="0"/>
        <v>117.23333838523831</v>
      </c>
      <c r="F23" s="362">
        <f t="shared" si="1"/>
        <v>0.060563929641446995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>
      <c r="A24" s="364">
        <v>10</v>
      </c>
      <c r="B24" s="360" t="s">
        <v>725</v>
      </c>
      <c r="C24" s="379">
        <f>IF(C18=0,0,C22/C18)</f>
        <v>6.191046330036439</v>
      </c>
      <c r="D24" s="379">
        <f>IF(LN_IA4=0,0,LN_IA8/LN_IA4)</f>
        <v>6.679756528568624</v>
      </c>
      <c r="E24" s="379">
        <f t="shared" si="0"/>
        <v>0.48871019853218467</v>
      </c>
      <c r="F24" s="362">
        <f t="shared" si="1"/>
        <v>0.07893822344070686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>
      <c r="A26" s="364"/>
      <c r="B26" s="358" t="s">
        <v>726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>
      <c r="A27" s="364">
        <v>11</v>
      </c>
      <c r="B27" s="360" t="s">
        <v>727</v>
      </c>
      <c r="C27" s="361">
        <v>140784852</v>
      </c>
      <c r="D27" s="361">
        <v>178219659</v>
      </c>
      <c r="E27" s="361">
        <f aca="true" t="shared" si="2" ref="E27:E32">D27-C27</f>
        <v>37434807</v>
      </c>
      <c r="F27" s="362">
        <f aca="true" t="shared" si="3" ref="F27:F32">IF(C27=0,0,E27/C27)</f>
        <v>0.26590081580651875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>
      <c r="A28" s="364">
        <v>12</v>
      </c>
      <c r="B28" s="360" t="s">
        <v>728</v>
      </c>
      <c r="C28" s="361">
        <v>22948262</v>
      </c>
      <c r="D28" s="361">
        <v>26192923</v>
      </c>
      <c r="E28" s="361">
        <f t="shared" si="2"/>
        <v>3244661</v>
      </c>
      <c r="F28" s="362">
        <f t="shared" si="3"/>
        <v>0.14139027173386812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>
      <c r="A29" s="364">
        <v>13</v>
      </c>
      <c r="B29" s="360" t="s">
        <v>729</v>
      </c>
      <c r="C29" s="366">
        <f>IF(C27=0,0,C28/C27)</f>
        <v>0.1630023519859935</v>
      </c>
      <c r="D29" s="366">
        <f>IF(LN_IA11=0,0,LN_IA12/LN_IA11)</f>
        <v>0.14696988618971604</v>
      </c>
      <c r="E29" s="367">
        <f t="shared" si="2"/>
        <v>-0.016032465796277456</v>
      </c>
      <c r="F29" s="362">
        <f t="shared" si="3"/>
        <v>-0.09835726663413481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>
      <c r="A30" s="364">
        <v>14</v>
      </c>
      <c r="B30" s="360" t="s">
        <v>730</v>
      </c>
      <c r="C30" s="366">
        <f>IF(C15=0,0,C27/C15)</f>
        <v>0.6034679806972686</v>
      </c>
      <c r="D30" s="366">
        <f>IF(LN_IA1=0,0,LN_IA11/LN_IA1)</f>
        <v>0.725362318805188</v>
      </c>
      <c r="E30" s="367">
        <f t="shared" si="2"/>
        <v>0.12189433810791939</v>
      </c>
      <c r="F30" s="362">
        <f t="shared" si="3"/>
        <v>0.20198973600401846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>
      <c r="A31" s="364">
        <v>15</v>
      </c>
      <c r="B31" s="360" t="s">
        <v>731</v>
      </c>
      <c r="C31" s="376">
        <f>C30*C18</f>
        <v>3477.785972758359</v>
      </c>
      <c r="D31" s="376">
        <f>LN_IA14*LN_IA4</f>
        <v>3694.2702896748224</v>
      </c>
      <c r="E31" s="376">
        <f t="shared" si="2"/>
        <v>216.48431691646329</v>
      </c>
      <c r="F31" s="362">
        <f t="shared" si="3"/>
        <v>0.06224773997370565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>
      <c r="A32" s="364">
        <v>16</v>
      </c>
      <c r="B32" s="365" t="s">
        <v>732</v>
      </c>
      <c r="C32" s="378">
        <f>IF(C31=0,0,C28/C31)</f>
        <v>6598.526240474452</v>
      </c>
      <c r="D32" s="378">
        <f>IF(LN_IA15=0,0,LN_IA12/LN_IA15)</f>
        <v>7090.14797136177</v>
      </c>
      <c r="E32" s="378">
        <f t="shared" si="2"/>
        <v>491.62173088731834</v>
      </c>
      <c r="F32" s="362">
        <f t="shared" si="3"/>
        <v>0.07450477772927208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>
      <c r="A34" s="364"/>
      <c r="B34" s="358" t="s">
        <v>733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>
      <c r="A35" s="364">
        <v>17</v>
      </c>
      <c r="B35" s="360" t="s">
        <v>734</v>
      </c>
      <c r="C35" s="361">
        <f>C15+C27</f>
        <v>374077846</v>
      </c>
      <c r="D35" s="361">
        <f>LN_IA1+LN_IA11</f>
        <v>423917091</v>
      </c>
      <c r="E35" s="361">
        <f>D35-C35</f>
        <v>49839245</v>
      </c>
      <c r="F35" s="362">
        <f>IF(C35=0,0,E35/C35)</f>
        <v>0.1332322818176193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>
      <c r="A36" s="364">
        <v>18</v>
      </c>
      <c r="B36" s="360" t="s">
        <v>735</v>
      </c>
      <c r="C36" s="361">
        <f>C16+C28</f>
        <v>92011949</v>
      </c>
      <c r="D36" s="361">
        <f>LN_IA2+LN_IA12</f>
        <v>96033569</v>
      </c>
      <c r="E36" s="361">
        <f>D36-C36</f>
        <v>4021620</v>
      </c>
      <c r="F36" s="362">
        <f>IF(C36=0,0,E36/C36)</f>
        <v>0.043707584109537775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>
      <c r="A37" s="385">
        <v>19</v>
      </c>
      <c r="B37" s="360" t="s">
        <v>736</v>
      </c>
      <c r="C37" s="361">
        <f>C35-C36</f>
        <v>282065897</v>
      </c>
      <c r="D37" s="361">
        <f>LN_IA17-LN_IA18</f>
        <v>327883522</v>
      </c>
      <c r="E37" s="361">
        <f>D37-C37</f>
        <v>45817625</v>
      </c>
      <c r="F37" s="362">
        <f>IF(C37=0,0,E37/C37)</f>
        <v>0.16243588993674057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>
      <c r="A39" s="355" t="s">
        <v>141</v>
      </c>
      <c r="B39" s="356" t="s">
        <v>737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>
      <c r="A41" s="364"/>
      <c r="B41" s="359" t="s">
        <v>738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>
      <c r="A42" s="338">
        <v>1</v>
      </c>
      <c r="B42" s="360" t="s">
        <v>718</v>
      </c>
      <c r="C42" s="361">
        <v>186448095</v>
      </c>
      <c r="D42" s="361">
        <v>198915175</v>
      </c>
      <c r="E42" s="361">
        <f aca="true" t="shared" si="4" ref="E42:E53">D42-C42</f>
        <v>12467080</v>
      </c>
      <c r="F42" s="362">
        <f aca="true" t="shared" si="5" ref="F42:F53">IF(C42=0,0,E42/C42)</f>
        <v>0.06686622354602229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>
      <c r="A43" s="364">
        <v>2</v>
      </c>
      <c r="B43" s="360" t="s">
        <v>719</v>
      </c>
      <c r="C43" s="361">
        <v>74028194</v>
      </c>
      <c r="D43" s="361">
        <v>75799007</v>
      </c>
      <c r="E43" s="361">
        <f t="shared" si="4"/>
        <v>1770813</v>
      </c>
      <c r="F43" s="362">
        <f t="shared" si="5"/>
        <v>0.023920791583811975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>
      <c r="A44" s="364">
        <v>3</v>
      </c>
      <c r="B44" s="365" t="s">
        <v>720</v>
      </c>
      <c r="C44" s="366">
        <f>IF(C42=0,0,C43/C42)</f>
        <v>0.39704451793942974</v>
      </c>
      <c r="D44" s="366">
        <f>IF(LN_IB1=0,0,LN_IB2/LN_IB1)</f>
        <v>0.38106196271853066</v>
      </c>
      <c r="E44" s="367">
        <f t="shared" si="4"/>
        <v>-0.015982555220899086</v>
      </c>
      <c r="F44" s="362">
        <f t="shared" si="5"/>
        <v>-0.04025381159736166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>
      <c r="A45" s="364">
        <v>4</v>
      </c>
      <c r="B45" s="360" t="s">
        <v>252</v>
      </c>
      <c r="C45" s="369">
        <v>7456</v>
      </c>
      <c r="D45" s="369">
        <v>7028</v>
      </c>
      <c r="E45" s="369">
        <f t="shared" si="4"/>
        <v>-428</v>
      </c>
      <c r="F45" s="362">
        <f t="shared" si="5"/>
        <v>-0.05740343347639485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>
      <c r="A46" s="364">
        <v>5</v>
      </c>
      <c r="B46" s="365" t="s">
        <v>721</v>
      </c>
      <c r="C46" s="372">
        <v>1.0412</v>
      </c>
      <c r="D46" s="372">
        <v>1.04837</v>
      </c>
      <c r="E46" s="373">
        <f t="shared" si="4"/>
        <v>0.007170000000000121</v>
      </c>
      <c r="F46" s="362">
        <f t="shared" si="5"/>
        <v>0.006886285055705072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>
      <c r="A47" s="338">
        <v>6</v>
      </c>
      <c r="B47" s="365" t="s">
        <v>722</v>
      </c>
      <c r="C47" s="376">
        <f>C45*C46</f>
        <v>7763.187199999999</v>
      </c>
      <c r="D47" s="376">
        <f>LN_IB4*LN_IB5</f>
        <v>7367.94436</v>
      </c>
      <c r="E47" s="376">
        <f t="shared" si="4"/>
        <v>-395.242839999999</v>
      </c>
      <c r="F47" s="362">
        <f t="shared" si="5"/>
        <v>-0.05091244482678442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>
      <c r="A48" s="364">
        <v>7</v>
      </c>
      <c r="B48" s="360" t="s">
        <v>723</v>
      </c>
      <c r="C48" s="378">
        <f>IF(C47=0,0,C43/C47)</f>
        <v>9535.799162488314</v>
      </c>
      <c r="D48" s="378">
        <f>IF(LN_IB6=0,0,LN_IB2/LN_IB6)</f>
        <v>10287.673643615843</v>
      </c>
      <c r="E48" s="378">
        <f t="shared" si="4"/>
        <v>751.8744811275283</v>
      </c>
      <c r="F48" s="362">
        <f t="shared" si="5"/>
        <v>0.0788475583761488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>
      <c r="A49" s="364">
        <v>8</v>
      </c>
      <c r="B49" s="365" t="s">
        <v>739</v>
      </c>
      <c r="C49" s="378">
        <f>C21-C48</f>
        <v>-1769.5253592358913</v>
      </c>
      <c r="D49" s="378">
        <f>LN_IA7-LN_IB7</f>
        <v>-1590.2973875021398</v>
      </c>
      <c r="E49" s="378">
        <f t="shared" si="4"/>
        <v>179.22797173375147</v>
      </c>
      <c r="F49" s="362">
        <f t="shared" si="5"/>
        <v>-0.10128590178054578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>
      <c r="A50" s="364">
        <v>9</v>
      </c>
      <c r="B50" s="360" t="s">
        <v>740</v>
      </c>
      <c r="C50" s="391">
        <f>C49*C47</f>
        <v>-13737156.618895473</v>
      </c>
      <c r="D50" s="391">
        <f>LN_IB8*LN_IB6</f>
        <v>-11717222.666969126</v>
      </c>
      <c r="E50" s="391">
        <f t="shared" si="4"/>
        <v>2019933.9519263469</v>
      </c>
      <c r="F50" s="362">
        <f t="shared" si="5"/>
        <v>-0.14704163372119713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>
      <c r="A51" s="364">
        <v>10</v>
      </c>
      <c r="B51" s="360" t="s">
        <v>254</v>
      </c>
      <c r="C51" s="369">
        <v>29274</v>
      </c>
      <c r="D51" s="369">
        <v>27630</v>
      </c>
      <c r="E51" s="369">
        <f t="shared" si="4"/>
        <v>-1644</v>
      </c>
      <c r="F51" s="362">
        <f t="shared" si="5"/>
        <v>-0.05615904898544784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>
      <c r="A52" s="364">
        <v>11</v>
      </c>
      <c r="B52" s="360" t="s">
        <v>724</v>
      </c>
      <c r="C52" s="378">
        <f>IF(C51=0,0,C43/C51)</f>
        <v>2528.8035116485617</v>
      </c>
      <c r="D52" s="378">
        <f>IF(LN_IB10=0,0,LN_IB2/LN_IB10)</f>
        <v>2743.358921462179</v>
      </c>
      <c r="E52" s="378">
        <f t="shared" si="4"/>
        <v>214.5554098136172</v>
      </c>
      <c r="F52" s="362">
        <f t="shared" si="5"/>
        <v>0.08484463455752858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>
      <c r="A53" s="364">
        <v>12</v>
      </c>
      <c r="B53" s="360" t="s">
        <v>725</v>
      </c>
      <c r="C53" s="379">
        <f>IF(C45=0,0,C51/C45)</f>
        <v>3.9262339055793993</v>
      </c>
      <c r="D53" s="379">
        <f>IF(LN_IB4=0,0,LN_IB10/LN_IB4)</f>
        <v>3.9314171883893</v>
      </c>
      <c r="E53" s="379">
        <f t="shared" si="4"/>
        <v>0.005183282809900547</v>
      </c>
      <c r="F53" s="362">
        <f t="shared" si="5"/>
        <v>0.0013201665857285809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>
      <c r="A55" s="338"/>
      <c r="B55" s="359" t="s">
        <v>741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>
      <c r="A56" s="364">
        <v>13</v>
      </c>
      <c r="B56" s="360" t="s">
        <v>727</v>
      </c>
      <c r="C56" s="361">
        <v>332937332</v>
      </c>
      <c r="D56" s="361">
        <v>401367818</v>
      </c>
      <c r="E56" s="361">
        <f aca="true" t="shared" si="6" ref="E56:E63">D56-C56</f>
        <v>68430486</v>
      </c>
      <c r="F56" s="362">
        <f aca="true" t="shared" si="7" ref="F56:F63">IF(C56=0,0,E56/C56)</f>
        <v>0.20553563515670872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>
      <c r="A57" s="364">
        <v>14</v>
      </c>
      <c r="B57" s="360" t="s">
        <v>728</v>
      </c>
      <c r="C57" s="361">
        <v>157858282</v>
      </c>
      <c r="D57" s="361">
        <v>183921612</v>
      </c>
      <c r="E57" s="361">
        <f t="shared" si="6"/>
        <v>26063330</v>
      </c>
      <c r="F57" s="362">
        <f t="shared" si="7"/>
        <v>0.16510587642148544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>
      <c r="A58" s="364">
        <v>15</v>
      </c>
      <c r="B58" s="360" t="s">
        <v>729</v>
      </c>
      <c r="C58" s="366">
        <f>IF(C56=0,0,C57/C56)</f>
        <v>0.47413812398785005</v>
      </c>
      <c r="D58" s="366">
        <f>IF(LN_IB13=0,0,LN_IB14/LN_IB13)</f>
        <v>0.45823706772624206</v>
      </c>
      <c r="E58" s="367">
        <f t="shared" si="6"/>
        <v>-0.015901056261607982</v>
      </c>
      <c r="F58" s="362">
        <f t="shared" si="7"/>
        <v>-0.03353675955830848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>
      <c r="A59" s="364">
        <v>16</v>
      </c>
      <c r="B59" s="360" t="s">
        <v>730</v>
      </c>
      <c r="C59" s="366">
        <f>IF(C42=0,0,C56/C42)</f>
        <v>1.785683742169637</v>
      </c>
      <c r="D59" s="366">
        <f>IF(LN_IB1=0,0,LN_IB13/LN_IB1)</f>
        <v>2.017783801562651</v>
      </c>
      <c r="E59" s="367">
        <f t="shared" si="6"/>
        <v>0.23210005939301404</v>
      </c>
      <c r="F59" s="362">
        <f t="shared" si="7"/>
        <v>0.1299782564582284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>
      <c r="A60" s="364">
        <v>17</v>
      </c>
      <c r="B60" s="360" t="s">
        <v>731</v>
      </c>
      <c r="C60" s="376">
        <f>C59*C45</f>
        <v>13314.057981616814</v>
      </c>
      <c r="D60" s="376">
        <f>LN_IB16*LN_IB4</f>
        <v>14180.984557382311</v>
      </c>
      <c r="E60" s="376">
        <f t="shared" si="6"/>
        <v>866.9265757654975</v>
      </c>
      <c r="F60" s="362">
        <f t="shared" si="7"/>
        <v>0.0651136247838558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>
      <c r="A61" s="364">
        <v>18</v>
      </c>
      <c r="B61" s="365" t="s">
        <v>732</v>
      </c>
      <c r="C61" s="378">
        <f>IF(C60=0,0,C57/C60)</f>
        <v>11856.511532243623</v>
      </c>
      <c r="D61" s="378">
        <f>IF(LN_IB17=0,0,LN_IB14/LN_IB17)</f>
        <v>12969.593983815068</v>
      </c>
      <c r="E61" s="378">
        <f t="shared" si="6"/>
        <v>1113.0824515714448</v>
      </c>
      <c r="F61" s="362">
        <f t="shared" si="7"/>
        <v>0.09387942216767825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>
      <c r="A62" s="385">
        <v>19</v>
      </c>
      <c r="B62" s="360" t="s">
        <v>742</v>
      </c>
      <c r="C62" s="378">
        <f>C32-C61</f>
        <v>-5257.985291769171</v>
      </c>
      <c r="D62" s="378">
        <f>LN_IA16-LN_IB18</f>
        <v>-5879.446012453298</v>
      </c>
      <c r="E62" s="378">
        <f t="shared" si="6"/>
        <v>-621.4607206841265</v>
      </c>
      <c r="F62" s="362">
        <f t="shared" si="7"/>
        <v>0.11819369705292987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>
      <c r="A63" s="385">
        <v>20</v>
      </c>
      <c r="B63" s="365" t="s">
        <v>743</v>
      </c>
      <c r="C63" s="361">
        <f>C62*C60</f>
        <v>-70005121.04110315</v>
      </c>
      <c r="D63" s="361">
        <f>LN_IB19*LN_IB17</f>
        <v>-83376333.10856323</v>
      </c>
      <c r="E63" s="361">
        <f t="shared" si="6"/>
        <v>-13371212.067460075</v>
      </c>
      <c r="F63" s="362">
        <f t="shared" si="7"/>
        <v>0.1910033418785068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>
      <c r="A65" s="338"/>
      <c r="B65" s="358" t="s">
        <v>744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>
      <c r="A66" s="385">
        <v>21</v>
      </c>
      <c r="B66" s="360" t="s">
        <v>734</v>
      </c>
      <c r="C66" s="361">
        <f>C42+C56</f>
        <v>519385427</v>
      </c>
      <c r="D66" s="361">
        <f>LN_IB1+LN_IB13</f>
        <v>600282993</v>
      </c>
      <c r="E66" s="361">
        <f>D66-C66</f>
        <v>80897566</v>
      </c>
      <c r="F66" s="362">
        <f>IF(C66=0,0,E66/C66)</f>
        <v>0.15575632621667684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>
      <c r="A67" s="385">
        <v>22</v>
      </c>
      <c r="B67" s="360" t="s">
        <v>735</v>
      </c>
      <c r="C67" s="361">
        <f>C43+C57</f>
        <v>231886476</v>
      </c>
      <c r="D67" s="361">
        <f>LN_IB2+LN_IB14</f>
        <v>259720619</v>
      </c>
      <c r="E67" s="361">
        <f>D67-C67</f>
        <v>27834143</v>
      </c>
      <c r="F67" s="362">
        <f>IF(C67=0,0,E67/C67)</f>
        <v>0.12003349000827457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>
      <c r="A68" s="385">
        <v>23</v>
      </c>
      <c r="B68" s="360" t="s">
        <v>736</v>
      </c>
      <c r="C68" s="361">
        <f>C66-C67</f>
        <v>287498951</v>
      </c>
      <c r="D68" s="361">
        <f>LN_IB21-LN_IB22</f>
        <v>340562374</v>
      </c>
      <c r="E68" s="361">
        <f>D68-C68</f>
        <v>53063423</v>
      </c>
      <c r="F68" s="362">
        <f>IF(C68=0,0,E68/C68)</f>
        <v>0.18456910126256426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>
      <c r="A70" s="385">
        <v>24</v>
      </c>
      <c r="B70" s="360" t="s">
        <v>745</v>
      </c>
      <c r="C70" s="353">
        <f>C50+C63</f>
        <v>-83742277.65999863</v>
      </c>
      <c r="D70" s="353">
        <f>LN_IB9+LN_IB20</f>
        <v>-95093555.77553235</v>
      </c>
      <c r="E70" s="361">
        <f>D70-C70</f>
        <v>-11351278.115533724</v>
      </c>
      <c r="F70" s="362">
        <f>IF(C70=0,0,E70/C70)</f>
        <v>0.1355501478192528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>
      <c r="A71" s="338"/>
      <c r="C71" s="330"/>
      <c r="Q71" s="330"/>
      <c r="U71" s="353"/>
    </row>
    <row r="72" spans="1:21" ht="11.25" customHeight="1">
      <c r="A72" s="338"/>
      <c r="B72" s="397" t="s">
        <v>746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>
      <c r="A73" s="338">
        <v>25</v>
      </c>
      <c r="B73" s="357" t="s">
        <v>747</v>
      </c>
      <c r="C73" s="400">
        <v>448979147</v>
      </c>
      <c r="D73" s="400">
        <v>520905477</v>
      </c>
      <c r="E73" s="400">
        <f>D73-C73</f>
        <v>71926330</v>
      </c>
      <c r="F73" s="401">
        <f>IF(C73=0,0,E73/C73)</f>
        <v>0.16019971190332366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>
      <c r="A74" s="338">
        <v>26</v>
      </c>
      <c r="B74" s="357" t="s">
        <v>748</v>
      </c>
      <c r="C74" s="400">
        <v>236677914</v>
      </c>
      <c r="D74" s="400">
        <v>285258976</v>
      </c>
      <c r="E74" s="400">
        <f>D74-C74</f>
        <v>48581062</v>
      </c>
      <c r="F74" s="401">
        <f>IF(C74=0,0,E74/C74)</f>
        <v>0.20526233808195554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>
      <c r="A75" s="338"/>
      <c r="B75" s="357" t="s">
        <v>749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>
      <c r="A76" s="364">
        <v>27</v>
      </c>
      <c r="B76" s="360" t="s">
        <v>750</v>
      </c>
      <c r="C76" s="353">
        <f>C73-C74</f>
        <v>212301233</v>
      </c>
      <c r="D76" s="353">
        <f>LN_IB32-LN_IB33</f>
        <v>235646501</v>
      </c>
      <c r="E76" s="400">
        <f>D76-C76</f>
        <v>23345268</v>
      </c>
      <c r="F76" s="401">
        <f>IF(C76=0,0,E76/C76)</f>
        <v>0.10996294119497647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>
      <c r="A77" s="364">
        <v>28</v>
      </c>
      <c r="B77" s="360" t="s">
        <v>751</v>
      </c>
      <c r="C77" s="366">
        <f>IF(C73=0,0,C76/C73)</f>
        <v>0.4728532147173419</v>
      </c>
      <c r="D77" s="366">
        <f>IF(LN_IB1=0,0,LN_IB34/LN_IB32)</f>
        <v>0.452378620315409</v>
      </c>
      <c r="E77" s="405">
        <f>D77-C77</f>
        <v>-0.02047459440193289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customHeight="1" hidden="1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>
      <c r="A79" s="355" t="s">
        <v>151</v>
      </c>
      <c r="B79" s="356" t="s">
        <v>752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customHeight="1" hidden="1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>
      <c r="A82" s="364"/>
      <c r="B82" s="359" t="s">
        <v>753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>
      <c r="A83" s="338">
        <v>1</v>
      </c>
      <c r="B83" s="360" t="s">
        <v>718</v>
      </c>
      <c r="C83" s="361">
        <v>17076371</v>
      </c>
      <c r="D83" s="361">
        <v>21486553</v>
      </c>
      <c r="E83" s="361">
        <f aca="true" t="shared" si="8" ref="E83:E95">D83-C83</f>
        <v>4410182</v>
      </c>
      <c r="F83" s="362">
        <f aca="true" t="shared" si="9" ref="F83:F95">IF(C83=0,0,E83/C83)</f>
        <v>0.2582622502169811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>
      <c r="A84" s="364">
        <v>2</v>
      </c>
      <c r="B84" s="360" t="s">
        <v>719</v>
      </c>
      <c r="C84" s="361">
        <v>768068</v>
      </c>
      <c r="D84" s="361">
        <v>473462</v>
      </c>
      <c r="E84" s="361">
        <f t="shared" si="8"/>
        <v>-294606</v>
      </c>
      <c r="F84" s="362">
        <f t="shared" si="9"/>
        <v>-0.38356760078534713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>
      <c r="A85" s="338">
        <v>3</v>
      </c>
      <c r="B85" s="365" t="s">
        <v>720</v>
      </c>
      <c r="C85" s="366">
        <f>IF(C83=0,0,C84/C83)</f>
        <v>0.04497840905424226</v>
      </c>
      <c r="D85" s="366">
        <f>IF(LN_IC1=0,0,LN_IC2/LN_IC1)</f>
        <v>0.022035270152453025</v>
      </c>
      <c r="E85" s="367">
        <f t="shared" si="8"/>
        <v>-0.022943138901789235</v>
      </c>
      <c r="F85" s="362">
        <f t="shared" si="9"/>
        <v>-0.5100922728085086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>
      <c r="A86" s="364">
        <v>4</v>
      </c>
      <c r="B86" s="360" t="s">
        <v>252</v>
      </c>
      <c r="C86" s="369">
        <v>590</v>
      </c>
      <c r="D86" s="369">
        <v>590</v>
      </c>
      <c r="E86" s="369">
        <f t="shared" si="8"/>
        <v>0</v>
      </c>
      <c r="F86" s="362">
        <f t="shared" si="9"/>
        <v>0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>
      <c r="A87" s="338">
        <v>5</v>
      </c>
      <c r="B87" s="365" t="s">
        <v>721</v>
      </c>
      <c r="C87" s="372">
        <v>1.13722</v>
      </c>
      <c r="D87" s="372">
        <v>1.23076</v>
      </c>
      <c r="E87" s="373">
        <f t="shared" si="8"/>
        <v>0.09354000000000018</v>
      </c>
      <c r="F87" s="362">
        <f t="shared" si="9"/>
        <v>0.08225321397794638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>
      <c r="A88" s="364">
        <v>6</v>
      </c>
      <c r="B88" s="365" t="s">
        <v>722</v>
      </c>
      <c r="C88" s="376">
        <f>C86*C87</f>
        <v>670.9598</v>
      </c>
      <c r="D88" s="376">
        <f>LN_IC4*LN_IC5</f>
        <v>726.1484</v>
      </c>
      <c r="E88" s="376">
        <f t="shared" si="8"/>
        <v>55.188600000000065</v>
      </c>
      <c r="F88" s="362">
        <f t="shared" si="9"/>
        <v>0.08225321397794633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>
      <c r="A89" s="338">
        <v>7</v>
      </c>
      <c r="B89" s="360" t="s">
        <v>723</v>
      </c>
      <c r="C89" s="378">
        <f>IF(C88=0,0,C84/C88)</f>
        <v>1144.730280413223</v>
      </c>
      <c r="D89" s="378">
        <f>IF(LN_IC6=0,0,LN_IC2/LN_IC6)</f>
        <v>652.018237594409</v>
      </c>
      <c r="E89" s="378">
        <f t="shared" si="8"/>
        <v>-492.712042818814</v>
      </c>
      <c r="F89" s="362">
        <f t="shared" si="9"/>
        <v>-0.4304175850410418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>
      <c r="A90" s="364">
        <v>8</v>
      </c>
      <c r="B90" s="360" t="s">
        <v>754</v>
      </c>
      <c r="C90" s="378">
        <f>C48-C89</f>
        <v>8391.068882075091</v>
      </c>
      <c r="D90" s="378">
        <f>LN_IB7-LN_IC7</f>
        <v>9635.655406021433</v>
      </c>
      <c r="E90" s="378">
        <f t="shared" si="8"/>
        <v>1244.586523946342</v>
      </c>
      <c r="F90" s="362">
        <f t="shared" si="9"/>
        <v>0.14832276333769753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>
      <c r="A91" s="338">
        <v>9</v>
      </c>
      <c r="B91" s="360" t="s">
        <v>755</v>
      </c>
      <c r="C91" s="378">
        <f>C21-C89</f>
        <v>6621.5435228392</v>
      </c>
      <c r="D91" s="378">
        <f>LN_IA7-LN_IC7</f>
        <v>8045.358018519294</v>
      </c>
      <c r="E91" s="378">
        <f t="shared" si="8"/>
        <v>1423.8144956800943</v>
      </c>
      <c r="F91" s="362">
        <f t="shared" si="9"/>
        <v>0.2150275824313525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>
      <c r="A92" s="364">
        <v>10</v>
      </c>
      <c r="B92" s="360" t="s">
        <v>740</v>
      </c>
      <c r="C92" s="353">
        <f>C91*C88</f>
        <v>4442789.517775484</v>
      </c>
      <c r="D92" s="353">
        <f>LN_IC9*LN_IC6</f>
        <v>5842123.852574956</v>
      </c>
      <c r="E92" s="353">
        <f t="shared" si="8"/>
        <v>1399334.3347994713</v>
      </c>
      <c r="F92" s="362">
        <f t="shared" si="9"/>
        <v>0.31496750615818536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>
      <c r="A93" s="338">
        <v>11</v>
      </c>
      <c r="B93" s="360" t="s">
        <v>254</v>
      </c>
      <c r="C93" s="369">
        <v>2335</v>
      </c>
      <c r="D93" s="369">
        <v>2636</v>
      </c>
      <c r="E93" s="369">
        <f t="shared" si="8"/>
        <v>301</v>
      </c>
      <c r="F93" s="362">
        <f t="shared" si="9"/>
        <v>0.12890792291220557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>
      <c r="A94" s="364">
        <v>12</v>
      </c>
      <c r="B94" s="360" t="s">
        <v>724</v>
      </c>
      <c r="C94" s="411">
        <f>IF(C93=0,0,C84/C93)</f>
        <v>328.93704496788007</v>
      </c>
      <c r="D94" s="411">
        <f>IF(LN_IC11=0,0,LN_IC2/LN_IC11)</f>
        <v>179.61380880121396</v>
      </c>
      <c r="E94" s="411">
        <f t="shared" si="8"/>
        <v>-149.3232361666661</v>
      </c>
      <c r="F94" s="362">
        <f t="shared" si="9"/>
        <v>-0.4539568846106925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>
      <c r="A95" s="338">
        <v>13</v>
      </c>
      <c r="B95" s="360" t="s">
        <v>725</v>
      </c>
      <c r="C95" s="379">
        <f>IF(C86=0,0,C93/C86)</f>
        <v>3.957627118644068</v>
      </c>
      <c r="D95" s="379">
        <f>IF(LN_IC4=0,0,LN_IC11/LN_IC4)</f>
        <v>4.467796610169492</v>
      </c>
      <c r="E95" s="379">
        <f t="shared" si="8"/>
        <v>0.5101694915254238</v>
      </c>
      <c r="F95" s="362">
        <f t="shared" si="9"/>
        <v>0.12890792291220557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>
      <c r="A97" s="364"/>
      <c r="B97" s="359" t="s">
        <v>756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>
      <c r="A98" s="364">
        <v>14</v>
      </c>
      <c r="B98" s="360" t="s">
        <v>727</v>
      </c>
      <c r="C98" s="361">
        <v>35308931</v>
      </c>
      <c r="D98" s="361">
        <v>38147950</v>
      </c>
      <c r="E98" s="361">
        <f aca="true" t="shared" si="10" ref="E98:E106">D98-C98</f>
        <v>2839019</v>
      </c>
      <c r="F98" s="362">
        <f aca="true" t="shared" si="11" ref="F98:F106">IF(C98=0,0,E98/C98)</f>
        <v>0.08040512469777122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>
      <c r="A99" s="364">
        <v>15</v>
      </c>
      <c r="B99" s="360" t="s">
        <v>728</v>
      </c>
      <c r="C99" s="361">
        <v>1929713</v>
      </c>
      <c r="D99" s="361">
        <v>1764297</v>
      </c>
      <c r="E99" s="361">
        <f t="shared" si="10"/>
        <v>-165416</v>
      </c>
      <c r="F99" s="362">
        <f t="shared" si="11"/>
        <v>-0.08572051906164284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>
      <c r="A100" s="364">
        <v>16</v>
      </c>
      <c r="B100" s="360" t="s">
        <v>729</v>
      </c>
      <c r="C100" s="366">
        <f>IF(C98=0,0,C99/C98)</f>
        <v>0.054652263474076854</v>
      </c>
      <c r="D100" s="366">
        <f>IF(LN_IC14=0,0,LN_IC15/LN_IC14)</f>
        <v>0.04624880236028411</v>
      </c>
      <c r="E100" s="367">
        <f t="shared" si="10"/>
        <v>-0.008403461113792747</v>
      </c>
      <c r="F100" s="362">
        <f t="shared" si="11"/>
        <v>-0.1537623618787308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>
      <c r="A101" s="364">
        <v>17</v>
      </c>
      <c r="B101" s="360" t="s">
        <v>730</v>
      </c>
      <c r="C101" s="366">
        <f>IF(C83=0,0,C98/C83)</f>
        <v>2.067706950147663</v>
      </c>
      <c r="D101" s="366">
        <f>IF(LN_IC1=0,0,LN_IC14/LN_IC1)</f>
        <v>1.775433686361884</v>
      </c>
      <c r="E101" s="367">
        <f t="shared" si="10"/>
        <v>-0.292273263785779</v>
      </c>
      <c r="F101" s="362">
        <f t="shared" si="11"/>
        <v>-0.141351395933987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>
      <c r="A102" s="364">
        <v>18</v>
      </c>
      <c r="B102" s="360" t="s">
        <v>731</v>
      </c>
      <c r="C102" s="376">
        <f>C101*C86</f>
        <v>1219.9471005871212</v>
      </c>
      <c r="D102" s="376">
        <f>LN_IC17*LN_IC4</f>
        <v>1047.5058749535117</v>
      </c>
      <c r="E102" s="376">
        <f t="shared" si="10"/>
        <v>-172.44122563360952</v>
      </c>
      <c r="F102" s="362">
        <f t="shared" si="11"/>
        <v>-0.1413513959339869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>
      <c r="A103" s="364">
        <v>19</v>
      </c>
      <c r="B103" s="365" t="s">
        <v>732</v>
      </c>
      <c r="C103" s="378">
        <f>IF(C102=0,0,C99/C102)</f>
        <v>1581.8005543611614</v>
      </c>
      <c r="D103" s="378">
        <f>IF(LN_IC18=0,0,LN_IC15/LN_IC18)</f>
        <v>1684.2836323741856</v>
      </c>
      <c r="E103" s="378">
        <f t="shared" si="10"/>
        <v>102.48307801302417</v>
      </c>
      <c r="F103" s="362">
        <f t="shared" si="11"/>
        <v>0.06478887476077147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>
      <c r="A104" s="364">
        <v>20</v>
      </c>
      <c r="B104" s="365" t="s">
        <v>757</v>
      </c>
      <c r="C104" s="378">
        <f>C61-C103</f>
        <v>10274.710977882462</v>
      </c>
      <c r="D104" s="378">
        <f>LN_IB18-LN_IC19</f>
        <v>11285.310351440883</v>
      </c>
      <c r="E104" s="378">
        <f t="shared" si="10"/>
        <v>1010.5993735584216</v>
      </c>
      <c r="F104" s="362">
        <f t="shared" si="11"/>
        <v>0.09835793685426841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>
      <c r="A105" s="364">
        <v>21</v>
      </c>
      <c r="B105" s="360" t="s">
        <v>758</v>
      </c>
      <c r="C105" s="378">
        <f>C32-C103</f>
        <v>5016.72568611329</v>
      </c>
      <c r="D105" s="378">
        <f>LN_IA16-LN_IC19</f>
        <v>5405.864338987584</v>
      </c>
      <c r="E105" s="378">
        <f t="shared" si="10"/>
        <v>389.13865287429417</v>
      </c>
      <c r="F105" s="362">
        <f t="shared" si="11"/>
        <v>0.07756825412070308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>
      <c r="A106" s="364">
        <v>22</v>
      </c>
      <c r="B106" s="365" t="s">
        <v>743</v>
      </c>
      <c r="C106" s="361">
        <f>C105*C102</f>
        <v>6120139.955214845</v>
      </c>
      <c r="D106" s="361">
        <f>LN_IC21*LN_IC18</f>
        <v>5662674.654291176</v>
      </c>
      <c r="E106" s="361">
        <f t="shared" si="10"/>
        <v>-457465.3009236688</v>
      </c>
      <c r="F106" s="362">
        <f t="shared" si="11"/>
        <v>-0.07474752281340756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>
      <c r="A108" s="414"/>
      <c r="B108" s="359" t="s">
        <v>759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>
      <c r="A109" s="364">
        <v>23</v>
      </c>
      <c r="B109" s="360" t="s">
        <v>734</v>
      </c>
      <c r="C109" s="361">
        <f>C83+C98</f>
        <v>52385302</v>
      </c>
      <c r="D109" s="361">
        <f>LN_IC1+LN_IC14</f>
        <v>59634503</v>
      </c>
      <c r="E109" s="361">
        <f>D109-C109</f>
        <v>7249201</v>
      </c>
      <c r="F109" s="362">
        <f>IF(C109=0,0,E109/C109)</f>
        <v>0.13838234625429857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>
      <c r="A110" s="364">
        <v>24</v>
      </c>
      <c r="B110" s="360" t="s">
        <v>735</v>
      </c>
      <c r="C110" s="361">
        <f>C84+C99</f>
        <v>2697781</v>
      </c>
      <c r="D110" s="361">
        <f>LN_IC2+LN_IC15</f>
        <v>2237759</v>
      </c>
      <c r="E110" s="361">
        <f>D110-C110</f>
        <v>-460022</v>
      </c>
      <c r="F110" s="362">
        <f>IF(C110=0,0,E110/C110)</f>
        <v>-0.1705186595946817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>
      <c r="A111" s="364">
        <v>25</v>
      </c>
      <c r="B111" s="360" t="s">
        <v>736</v>
      </c>
      <c r="C111" s="361">
        <f>C109-C110</f>
        <v>49687521</v>
      </c>
      <c r="D111" s="361">
        <f>LN_IC23-LN_IC24</f>
        <v>57396744</v>
      </c>
      <c r="E111" s="361">
        <f>D111-C111</f>
        <v>7709223</v>
      </c>
      <c r="F111" s="362">
        <f>IF(C111=0,0,E111/C111)</f>
        <v>0.15515410801033924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>
      <c r="A113" s="364">
        <v>26</v>
      </c>
      <c r="B113" s="360" t="s">
        <v>745</v>
      </c>
      <c r="C113" s="361">
        <f>C92+C106</f>
        <v>10562929.47299033</v>
      </c>
      <c r="D113" s="361">
        <f>LN_IC10+LN_IC22</f>
        <v>11504798.506866131</v>
      </c>
      <c r="E113" s="361">
        <f>D113-C113</f>
        <v>941869.0338758007</v>
      </c>
      <c r="F113" s="362">
        <f>IF(C113=0,0,E113/C113)</f>
        <v>0.08916740723150551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>
      <c r="A115" s="355" t="s">
        <v>436</v>
      </c>
      <c r="B115" s="356" t="s">
        <v>760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>
      <c r="A117" s="364"/>
      <c r="B117" s="358" t="s">
        <v>761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>
      <c r="A118" s="338">
        <v>1</v>
      </c>
      <c r="B118" s="360" t="s">
        <v>718</v>
      </c>
      <c r="C118" s="361">
        <v>38833998</v>
      </c>
      <c r="D118" s="361">
        <v>53088283</v>
      </c>
      <c r="E118" s="361">
        <f aca="true" t="shared" si="12" ref="E118:E130">D118-C118</f>
        <v>14254285</v>
      </c>
      <c r="F118" s="362">
        <f aca="true" t="shared" si="13" ref="F118:F130">IF(C118=0,0,E118/C118)</f>
        <v>0.3670568505462662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>
      <c r="A119" s="364">
        <v>2</v>
      </c>
      <c r="B119" s="360" t="s">
        <v>719</v>
      </c>
      <c r="C119" s="361">
        <v>10259337</v>
      </c>
      <c r="D119" s="361">
        <v>13873473</v>
      </c>
      <c r="E119" s="361">
        <f t="shared" si="12"/>
        <v>3614136</v>
      </c>
      <c r="F119" s="362">
        <f t="shared" si="13"/>
        <v>0.35227773490626146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>
      <c r="A120" s="364">
        <v>3</v>
      </c>
      <c r="B120" s="365" t="s">
        <v>720</v>
      </c>
      <c r="C120" s="366">
        <f>IF(C118=0,0,C119/C118)</f>
        <v>0.2641844138736372</v>
      </c>
      <c r="D120" s="366">
        <f>IF(LN_ID1=0,0,LN_1D2/LN_ID1)</f>
        <v>0.26132834245176095</v>
      </c>
      <c r="E120" s="367">
        <f t="shared" si="12"/>
        <v>-0.0028560714218762717</v>
      </c>
      <c r="F120" s="362">
        <f t="shared" si="13"/>
        <v>-0.010810900537237473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>
      <c r="A121" s="364">
        <v>4</v>
      </c>
      <c r="B121" s="360" t="s">
        <v>252</v>
      </c>
      <c r="C121" s="369">
        <v>2209</v>
      </c>
      <c r="D121" s="369">
        <v>2285</v>
      </c>
      <c r="E121" s="369">
        <f t="shared" si="12"/>
        <v>76</v>
      </c>
      <c r="F121" s="362">
        <f t="shared" si="13"/>
        <v>0.034404708012675415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>
      <c r="A122" s="364">
        <v>5</v>
      </c>
      <c r="B122" s="365" t="s">
        <v>721</v>
      </c>
      <c r="C122" s="372">
        <v>0.85699</v>
      </c>
      <c r="D122" s="372">
        <v>0.88259</v>
      </c>
      <c r="E122" s="373">
        <f t="shared" si="12"/>
        <v>0.025599999999999956</v>
      </c>
      <c r="F122" s="362">
        <f t="shared" si="13"/>
        <v>0.02987199383890122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>
      <c r="A123" s="364">
        <v>6</v>
      </c>
      <c r="B123" s="365" t="s">
        <v>722</v>
      </c>
      <c r="C123" s="376">
        <f>C121*C122</f>
        <v>1893.0909100000001</v>
      </c>
      <c r="D123" s="376">
        <f>LN_ID4*LN_ID5</f>
        <v>2016.71815</v>
      </c>
      <c r="E123" s="376">
        <f t="shared" si="12"/>
        <v>123.6272399999998</v>
      </c>
      <c r="F123" s="362">
        <f t="shared" si="13"/>
        <v>0.06530443907736042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>
      <c r="A124" s="364">
        <v>7</v>
      </c>
      <c r="B124" s="360" t="s">
        <v>723</v>
      </c>
      <c r="C124" s="378">
        <f>IF(C123=0,0,C119/C123)</f>
        <v>5419.357805695659</v>
      </c>
      <c r="D124" s="378">
        <f>IF(LN_ID6=0,0,LN_1D2/LN_ID6)</f>
        <v>6879.232479759256</v>
      </c>
      <c r="E124" s="378">
        <f t="shared" si="12"/>
        <v>1459.874674063597</v>
      </c>
      <c r="F124" s="362">
        <f t="shared" si="13"/>
        <v>0.26938148880468676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>
      <c r="A125" s="364">
        <v>8</v>
      </c>
      <c r="B125" s="360" t="s">
        <v>762</v>
      </c>
      <c r="C125" s="378">
        <f>C48-C124</f>
        <v>4116.441356792655</v>
      </c>
      <c r="D125" s="378">
        <f>LN_IB7-LN_ID7</f>
        <v>3408.441163856586</v>
      </c>
      <c r="E125" s="378">
        <f t="shared" si="12"/>
        <v>-708.0001929360687</v>
      </c>
      <c r="F125" s="362">
        <f t="shared" si="13"/>
        <v>-0.17199326592319306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>
      <c r="A126" s="364">
        <v>9</v>
      </c>
      <c r="B126" s="360" t="s">
        <v>763</v>
      </c>
      <c r="C126" s="378">
        <f>C21-C124</f>
        <v>2346.9159975567636</v>
      </c>
      <c r="D126" s="378">
        <f>LN_IA7-LN_ID7</f>
        <v>1818.1437763544463</v>
      </c>
      <c r="E126" s="378">
        <f t="shared" si="12"/>
        <v>-528.7722212023173</v>
      </c>
      <c r="F126" s="362">
        <f t="shared" si="13"/>
        <v>-0.22530513309926345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>
      <c r="A127" s="364">
        <v>10</v>
      </c>
      <c r="B127" s="360" t="s">
        <v>740</v>
      </c>
      <c r="C127" s="391">
        <f>C126*C123</f>
        <v>4442925.341508292</v>
      </c>
      <c r="D127" s="391">
        <f>LN_ID9*LN_ID6</f>
        <v>3666683.5530835525</v>
      </c>
      <c r="E127" s="391">
        <f t="shared" si="12"/>
        <v>-776241.7884247391</v>
      </c>
      <c r="F127" s="362">
        <f t="shared" si="13"/>
        <v>-0.17471411936020048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>
      <c r="A128" s="364">
        <v>11</v>
      </c>
      <c r="B128" s="360" t="s">
        <v>254</v>
      </c>
      <c r="C128" s="369">
        <v>8888</v>
      </c>
      <c r="D128" s="369">
        <v>10144</v>
      </c>
      <c r="E128" s="369">
        <f t="shared" si="12"/>
        <v>1256</v>
      </c>
      <c r="F128" s="362">
        <f t="shared" si="13"/>
        <v>0.1413141314131413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>
      <c r="A129" s="364">
        <v>12</v>
      </c>
      <c r="B129" s="360" t="s">
        <v>724</v>
      </c>
      <c r="C129" s="378">
        <f>IF(C128=0,0,C119/C128)</f>
        <v>1154.2908415841584</v>
      </c>
      <c r="D129" s="378">
        <f>IF(LN_ID11=0,0,LN_1D2/LN_ID11)</f>
        <v>1367.6530954258676</v>
      </c>
      <c r="E129" s="378">
        <f t="shared" si="12"/>
        <v>213.36225384170916</v>
      </c>
      <c r="F129" s="362">
        <f t="shared" si="13"/>
        <v>0.18484271567890898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>
      <c r="A130" s="364">
        <v>13</v>
      </c>
      <c r="B130" s="360" t="s">
        <v>725</v>
      </c>
      <c r="C130" s="379">
        <f>IF(C121=0,0,C128/C121)</f>
        <v>4.0235400633770935</v>
      </c>
      <c r="D130" s="379">
        <f>IF(LN_ID4=0,0,LN_ID11/LN_ID4)</f>
        <v>4.439387308533917</v>
      </c>
      <c r="E130" s="379">
        <f t="shared" si="12"/>
        <v>0.41584724515682314</v>
      </c>
      <c r="F130" s="362">
        <f t="shared" si="13"/>
        <v>0.10335357386942196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>
      <c r="A132" s="364"/>
      <c r="B132" s="359" t="s">
        <v>764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>
      <c r="A133" s="364">
        <v>14</v>
      </c>
      <c r="B133" s="360" t="s">
        <v>727</v>
      </c>
      <c r="C133" s="361">
        <v>34094061</v>
      </c>
      <c r="D133" s="361">
        <v>45867653</v>
      </c>
      <c r="E133" s="361">
        <f aca="true" t="shared" si="14" ref="E133:E141">D133-C133</f>
        <v>11773592</v>
      </c>
      <c r="F133" s="362">
        <f aca="true" t="shared" si="15" ref="F133:F141">IF(C133=0,0,E133/C133)</f>
        <v>0.34532677113471466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>
      <c r="A134" s="364">
        <v>15</v>
      </c>
      <c r="B134" s="360" t="s">
        <v>728</v>
      </c>
      <c r="C134" s="361">
        <v>6160110</v>
      </c>
      <c r="D134" s="361">
        <v>7987232</v>
      </c>
      <c r="E134" s="361">
        <f t="shared" si="14"/>
        <v>1827122</v>
      </c>
      <c r="F134" s="362">
        <f t="shared" si="15"/>
        <v>0.2966054177603971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>
      <c r="A135" s="364">
        <v>16</v>
      </c>
      <c r="B135" s="360" t="s">
        <v>729</v>
      </c>
      <c r="C135" s="366">
        <f>IF(C133=0,0,C134/C133)</f>
        <v>0.18067985506332027</v>
      </c>
      <c r="D135" s="366">
        <f>IF(LN_ID14=0,0,LN_ID15/LN_ID14)</f>
        <v>0.17413648786433436</v>
      </c>
      <c r="E135" s="367">
        <f t="shared" si="14"/>
        <v>-0.0065433671989859055</v>
      </c>
      <c r="F135" s="362">
        <f t="shared" si="15"/>
        <v>-0.036215255965822785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>
      <c r="A136" s="364">
        <v>17</v>
      </c>
      <c r="B136" s="360" t="s">
        <v>730</v>
      </c>
      <c r="C136" s="366">
        <f>IF(C118=0,0,C133/C118)</f>
        <v>0.8779436255829235</v>
      </c>
      <c r="D136" s="366">
        <f>IF(LN_ID1=0,0,LN_ID14/LN_ID1)</f>
        <v>0.8639882551861773</v>
      </c>
      <c r="E136" s="367">
        <f t="shared" si="14"/>
        <v>-0.013955370396746214</v>
      </c>
      <c r="F136" s="362">
        <f t="shared" si="15"/>
        <v>-0.015895519928720188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>
      <c r="A137" s="364">
        <v>18</v>
      </c>
      <c r="B137" s="360" t="s">
        <v>731</v>
      </c>
      <c r="C137" s="376">
        <f>C136*C121</f>
        <v>1939.377468912678</v>
      </c>
      <c r="D137" s="376">
        <f>LN_ID17*LN_ID4</f>
        <v>1974.2131631004152</v>
      </c>
      <c r="E137" s="376">
        <f t="shared" si="14"/>
        <v>34.83569418773709</v>
      </c>
      <c r="F137" s="362">
        <f t="shared" si="15"/>
        <v>0.017962307362097953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>
      <c r="A138" s="364">
        <v>19</v>
      </c>
      <c r="B138" s="365" t="s">
        <v>732</v>
      </c>
      <c r="C138" s="378">
        <f>IF(C137=0,0,C134/C137)</f>
        <v>3176.333694055803</v>
      </c>
      <c r="D138" s="378">
        <f>IF(LN_ID18=0,0,LN_ID15/LN_ID18)</f>
        <v>4045.7799336401963</v>
      </c>
      <c r="E138" s="378">
        <f t="shared" si="14"/>
        <v>869.4462395843934</v>
      </c>
      <c r="F138" s="362">
        <f t="shared" si="15"/>
        <v>0.27372635350356195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>
      <c r="A139" s="364">
        <v>20</v>
      </c>
      <c r="B139" s="365" t="s">
        <v>765</v>
      </c>
      <c r="C139" s="378">
        <f>C61-C138</f>
        <v>8680.177838187821</v>
      </c>
      <c r="D139" s="378">
        <f>LN_IB18-LN_ID19</f>
        <v>8923.814050174871</v>
      </c>
      <c r="E139" s="378">
        <f t="shared" si="14"/>
        <v>243.63621198705005</v>
      </c>
      <c r="F139" s="362">
        <f t="shared" si="15"/>
        <v>0.028068112949851093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>
      <c r="A140" s="364">
        <v>21</v>
      </c>
      <c r="B140" s="360" t="s">
        <v>766</v>
      </c>
      <c r="C140" s="378">
        <f>C32-C138</f>
        <v>3422.192546418649</v>
      </c>
      <c r="D140" s="378">
        <f>LN_IA16-LN_ID19</f>
        <v>3044.3680377215737</v>
      </c>
      <c r="E140" s="378">
        <f t="shared" si="14"/>
        <v>-377.8245086970751</v>
      </c>
      <c r="F140" s="362">
        <f t="shared" si="15"/>
        <v>-0.11040422289870025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>
      <c r="A141" s="338">
        <v>22</v>
      </c>
      <c r="B141" s="365" t="s">
        <v>743</v>
      </c>
      <c r="C141" s="353">
        <f>C140*C137</f>
        <v>6636923.1188052315</v>
      </c>
      <c r="D141" s="353">
        <f>LN_ID21*LN_ID18</f>
        <v>6010231.453392112</v>
      </c>
      <c r="E141" s="353">
        <f t="shared" si="14"/>
        <v>-626691.6654131198</v>
      </c>
      <c r="F141" s="362">
        <f t="shared" si="15"/>
        <v>-0.09442503012238236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>
      <c r="A143" s="338"/>
      <c r="B143" s="418" t="s">
        <v>767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>
      <c r="A144" s="364">
        <v>23</v>
      </c>
      <c r="B144" s="360" t="s">
        <v>734</v>
      </c>
      <c r="C144" s="361">
        <f>C118+C133</f>
        <v>72928059</v>
      </c>
      <c r="D144" s="361">
        <f>LN_ID1+LN_ID14</f>
        <v>98955936</v>
      </c>
      <c r="E144" s="361">
        <f>D144-C144</f>
        <v>26027877</v>
      </c>
      <c r="F144" s="362">
        <f>IF(C144=0,0,E144/C144)</f>
        <v>0.356897980789534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>
      <c r="A145" s="364">
        <v>24</v>
      </c>
      <c r="B145" s="360" t="s">
        <v>735</v>
      </c>
      <c r="C145" s="361">
        <f>C119+C134</f>
        <v>16419447</v>
      </c>
      <c r="D145" s="361">
        <f>LN_1D2+LN_ID15</f>
        <v>21860705</v>
      </c>
      <c r="E145" s="361">
        <f>D145-C145</f>
        <v>5441258</v>
      </c>
      <c r="F145" s="362">
        <f>IF(C145=0,0,E145/C145)</f>
        <v>0.3313910632922047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>
      <c r="A146" s="364">
        <v>25</v>
      </c>
      <c r="B146" s="360" t="s">
        <v>736</v>
      </c>
      <c r="C146" s="361">
        <f>C144-C145</f>
        <v>56508612</v>
      </c>
      <c r="D146" s="361">
        <f>LN_ID23-LN_ID24</f>
        <v>77095231</v>
      </c>
      <c r="E146" s="361">
        <f>D146-C146</f>
        <v>20586619</v>
      </c>
      <c r="F146" s="362">
        <f>IF(C146=0,0,E146/C146)</f>
        <v>0.36430940827214087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>
      <c r="A148" s="364">
        <v>26</v>
      </c>
      <c r="B148" s="360" t="s">
        <v>745</v>
      </c>
      <c r="C148" s="361">
        <f>C127+C141</f>
        <v>11079848.460313523</v>
      </c>
      <c r="D148" s="361">
        <f>LN_ID10+LN_ID22</f>
        <v>9676915.006475665</v>
      </c>
      <c r="E148" s="361">
        <f>D148-C148</f>
        <v>-1402933.4538378585</v>
      </c>
      <c r="F148" s="415">
        <f>IF(C148=0,0,E148/C148)</f>
        <v>-0.1266202745338053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>
      <c r="A150" s="355" t="s">
        <v>457</v>
      </c>
      <c r="B150" s="356" t="s">
        <v>768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>
      <c r="A152" s="364"/>
      <c r="B152" s="359" t="s">
        <v>769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>
      <c r="A153" s="338">
        <v>1</v>
      </c>
      <c r="B153" s="360" t="s">
        <v>718</v>
      </c>
      <c r="C153" s="361">
        <v>15450365</v>
      </c>
      <c r="D153" s="361">
        <v>21092910</v>
      </c>
      <c r="E153" s="361">
        <f aca="true" t="shared" si="16" ref="E153:E165">D153-C153</f>
        <v>5642545</v>
      </c>
      <c r="F153" s="362">
        <f aca="true" t="shared" si="17" ref="F153:F165">IF(C153=0,0,E153/C153)</f>
        <v>0.36520464079651194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>
      <c r="A154" s="364">
        <v>2</v>
      </c>
      <c r="B154" s="360" t="s">
        <v>719</v>
      </c>
      <c r="C154" s="361">
        <v>3287676</v>
      </c>
      <c r="D154" s="361">
        <v>2167500</v>
      </c>
      <c r="E154" s="361">
        <f t="shared" si="16"/>
        <v>-1120176</v>
      </c>
      <c r="F154" s="362">
        <f t="shared" si="17"/>
        <v>-0.34071970595642637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>
      <c r="A155" s="364">
        <v>3</v>
      </c>
      <c r="B155" s="365" t="s">
        <v>720</v>
      </c>
      <c r="C155" s="366">
        <f>IF(C153=0,0,C154/C153)</f>
        <v>0.21278953604008707</v>
      </c>
      <c r="D155" s="366">
        <f>IF(LN_IE1=0,0,LN_IE2/LN_IE1)</f>
        <v>0.10275964767308067</v>
      </c>
      <c r="E155" s="367">
        <f t="shared" si="16"/>
        <v>-0.1100298883670064</v>
      </c>
      <c r="F155" s="362">
        <f t="shared" si="17"/>
        <v>-0.5170831724839987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>
      <c r="A156" s="364">
        <v>4</v>
      </c>
      <c r="B156" s="360" t="s">
        <v>252</v>
      </c>
      <c r="C156" s="419">
        <v>421</v>
      </c>
      <c r="D156" s="419">
        <v>471</v>
      </c>
      <c r="E156" s="419">
        <f t="shared" si="16"/>
        <v>50</v>
      </c>
      <c r="F156" s="362">
        <f t="shared" si="17"/>
        <v>0.1187648456057007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>
      <c r="A157" s="364">
        <v>5</v>
      </c>
      <c r="B157" s="365" t="s">
        <v>721</v>
      </c>
      <c r="C157" s="372">
        <v>1.21396</v>
      </c>
      <c r="D157" s="372">
        <v>1.37545</v>
      </c>
      <c r="E157" s="373">
        <f t="shared" si="16"/>
        <v>0.16149000000000013</v>
      </c>
      <c r="F157" s="362">
        <f t="shared" si="17"/>
        <v>0.13302744736235142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>
      <c r="A158" s="364">
        <v>6</v>
      </c>
      <c r="B158" s="365" t="s">
        <v>722</v>
      </c>
      <c r="C158" s="376">
        <f>C156*C157</f>
        <v>511.07716</v>
      </c>
      <c r="D158" s="376">
        <f>LN_IE4*LN_IE5</f>
        <v>647.83695</v>
      </c>
      <c r="E158" s="376">
        <f t="shared" si="16"/>
        <v>136.75979</v>
      </c>
      <c r="F158" s="362">
        <f t="shared" si="17"/>
        <v>0.2675912772153622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>
      <c r="A159" s="364">
        <v>7</v>
      </c>
      <c r="B159" s="360" t="s">
        <v>723</v>
      </c>
      <c r="C159" s="378">
        <f>IF(C158=0,0,C154/C158)</f>
        <v>6432.836873398921</v>
      </c>
      <c r="D159" s="378">
        <f>IF(LN_IE6=0,0,LN_IE2/LN_IE6)</f>
        <v>3345.749266076904</v>
      </c>
      <c r="E159" s="378">
        <f t="shared" si="16"/>
        <v>-3087.087607322017</v>
      </c>
      <c r="F159" s="362">
        <f t="shared" si="17"/>
        <v>-0.4798952107875994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>
      <c r="A160" s="364">
        <v>8</v>
      </c>
      <c r="B160" s="423" t="s">
        <v>770</v>
      </c>
      <c r="C160" s="378">
        <f>C48-C159</f>
        <v>3102.9622890893934</v>
      </c>
      <c r="D160" s="378">
        <f>LN_IB7-LN_IE7</f>
        <v>6941.924377538939</v>
      </c>
      <c r="E160" s="378">
        <f t="shared" si="16"/>
        <v>3838.9620884495453</v>
      </c>
      <c r="F160" s="362">
        <f t="shared" si="17"/>
        <v>1.2371926342605153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>
      <c r="A161" s="364">
        <v>9</v>
      </c>
      <c r="B161" s="423" t="s">
        <v>771</v>
      </c>
      <c r="C161" s="378">
        <f>C21-C159</f>
        <v>1333.436929853502</v>
      </c>
      <c r="D161" s="378">
        <f>LN_IA7-LN_IE7</f>
        <v>5351.626990036799</v>
      </c>
      <c r="E161" s="378">
        <f t="shared" si="16"/>
        <v>4018.1900601832967</v>
      </c>
      <c r="F161" s="362">
        <f t="shared" si="17"/>
        <v>3.0134084111685393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>
      <c r="A162" s="364">
        <v>10</v>
      </c>
      <c r="B162" s="360" t="s">
        <v>740</v>
      </c>
      <c r="C162" s="391">
        <f>C161*C158</f>
        <v>681489.1591486471</v>
      </c>
      <c r="D162" s="391">
        <f>LN_IE9*LN_IE6</f>
        <v>3466981.7067631204</v>
      </c>
      <c r="E162" s="391">
        <f t="shared" si="16"/>
        <v>2785492.5476144734</v>
      </c>
      <c r="F162" s="362">
        <f t="shared" si="17"/>
        <v>4.087361493900007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>
      <c r="A163" s="364">
        <v>11</v>
      </c>
      <c r="B163" s="360" t="s">
        <v>254</v>
      </c>
      <c r="C163" s="369">
        <v>3076</v>
      </c>
      <c r="D163" s="369">
        <v>3444</v>
      </c>
      <c r="E163" s="419">
        <f t="shared" si="16"/>
        <v>368</v>
      </c>
      <c r="F163" s="362">
        <f t="shared" si="17"/>
        <v>0.11963589076723016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>
      <c r="A164" s="364">
        <v>12</v>
      </c>
      <c r="B164" s="360" t="s">
        <v>724</v>
      </c>
      <c r="C164" s="378">
        <f>IF(C163=0,0,C154/C163)</f>
        <v>1068.815344603381</v>
      </c>
      <c r="D164" s="378">
        <f>IF(LN_IE11=0,0,LN_IE2/LN_IE11)</f>
        <v>629.3554006968641</v>
      </c>
      <c r="E164" s="378">
        <f t="shared" si="16"/>
        <v>-439.45994390651686</v>
      </c>
      <c r="F164" s="362">
        <f t="shared" si="17"/>
        <v>-0.41116545166143076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>
      <c r="A165" s="364">
        <v>13</v>
      </c>
      <c r="B165" s="360" t="s">
        <v>725</v>
      </c>
      <c r="C165" s="379">
        <f>IF(C156=0,0,C163/C156)</f>
        <v>7.306413301662708</v>
      </c>
      <c r="D165" s="379">
        <f>IF(LN_IE4=0,0,LN_IE11/LN_IE4)</f>
        <v>7.312101910828026</v>
      </c>
      <c r="E165" s="379">
        <f t="shared" si="16"/>
        <v>0.0056886091653174375</v>
      </c>
      <c r="F165" s="362">
        <f t="shared" si="17"/>
        <v>0.0007785775223012487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>
      <c r="A167" s="364"/>
      <c r="B167" s="359" t="s">
        <v>772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>
      <c r="A168" s="364">
        <v>14</v>
      </c>
      <c r="B168" s="360" t="s">
        <v>727</v>
      </c>
      <c r="C168" s="424">
        <v>7614526</v>
      </c>
      <c r="D168" s="424">
        <v>12191496</v>
      </c>
      <c r="E168" s="424">
        <f aca="true" t="shared" si="18" ref="E168:E176">D168-C168</f>
        <v>4576970</v>
      </c>
      <c r="F168" s="362">
        <f aca="true" t="shared" si="19" ref="F168:F176">IF(C168=0,0,E168/C168)</f>
        <v>0.601084033333132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>
      <c r="A169" s="364">
        <v>15</v>
      </c>
      <c r="B169" s="360" t="s">
        <v>728</v>
      </c>
      <c r="C169" s="424">
        <v>914112</v>
      </c>
      <c r="D169" s="424">
        <v>1493424</v>
      </c>
      <c r="E169" s="424">
        <f t="shared" si="18"/>
        <v>579312</v>
      </c>
      <c r="F169" s="362">
        <f t="shared" si="19"/>
        <v>0.6337429111531191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>
      <c r="A170" s="364">
        <v>16</v>
      </c>
      <c r="B170" s="360" t="s">
        <v>729</v>
      </c>
      <c r="C170" s="366">
        <f>IF(C168=0,0,C169/C168)</f>
        <v>0.12004844424984562</v>
      </c>
      <c r="D170" s="366">
        <f>IF(LN_IE14=0,0,LN_IE15/LN_IE14)</f>
        <v>0.12249718984446208</v>
      </c>
      <c r="E170" s="367">
        <f t="shared" si="18"/>
        <v>0.0024487455946164555</v>
      </c>
      <c r="F170" s="362">
        <f t="shared" si="19"/>
        <v>0.02039797858204734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>
      <c r="A171" s="364">
        <v>17</v>
      </c>
      <c r="B171" s="360" t="s">
        <v>730</v>
      </c>
      <c r="C171" s="366">
        <f>IF(C153=0,0,C168/C153)</f>
        <v>0.49283793619115146</v>
      </c>
      <c r="D171" s="366">
        <f>IF(LN_IE1=0,0,LN_IE14/LN_IE1)</f>
        <v>0.5779902346333436</v>
      </c>
      <c r="E171" s="367">
        <f t="shared" si="18"/>
        <v>0.08515229844219219</v>
      </c>
      <c r="F171" s="362">
        <f t="shared" si="19"/>
        <v>0.17277951267364516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>
      <c r="A172" s="364">
        <v>18</v>
      </c>
      <c r="B172" s="360" t="s">
        <v>731</v>
      </c>
      <c r="C172" s="376">
        <f>C171*C156</f>
        <v>207.48477113647476</v>
      </c>
      <c r="D172" s="376">
        <f>LN_IE17*LN_IE4</f>
        <v>272.23340051230485</v>
      </c>
      <c r="E172" s="376">
        <f t="shared" si="18"/>
        <v>64.74862937583009</v>
      </c>
      <c r="F172" s="362">
        <f t="shared" si="19"/>
        <v>0.31206449042585954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>
      <c r="A173" s="364">
        <v>19</v>
      </c>
      <c r="B173" s="365" t="s">
        <v>732</v>
      </c>
      <c r="C173" s="378">
        <f>IF(C172=0,0,C169/C172)</f>
        <v>4405.682378485193</v>
      </c>
      <c r="D173" s="378">
        <f>IF(LN_IE18=0,0,LN_IE15/LN_IE18)</f>
        <v>5485.822082042787</v>
      </c>
      <c r="E173" s="378">
        <f t="shared" si="18"/>
        <v>1080.1397035575937</v>
      </c>
      <c r="F173" s="362">
        <f t="shared" si="19"/>
        <v>0.24516967197462347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>
      <c r="A174" s="364">
        <v>20</v>
      </c>
      <c r="B174" s="423" t="s">
        <v>773</v>
      </c>
      <c r="C174" s="378">
        <f>C61-C173</f>
        <v>7450.82915375843</v>
      </c>
      <c r="D174" s="378">
        <f>LN_IB18-LN_IE19</f>
        <v>7483.771901772281</v>
      </c>
      <c r="E174" s="378">
        <f t="shared" si="18"/>
        <v>32.94274801385109</v>
      </c>
      <c r="F174" s="362">
        <f t="shared" si="19"/>
        <v>0.004421353292906165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>
      <c r="A175" s="364">
        <v>21</v>
      </c>
      <c r="B175" s="423" t="s">
        <v>774</v>
      </c>
      <c r="C175" s="378">
        <f>C32-C173</f>
        <v>2192.8438619892586</v>
      </c>
      <c r="D175" s="378">
        <f>LN_IA16-LN_IE19</f>
        <v>1604.3258893189832</v>
      </c>
      <c r="E175" s="378">
        <f t="shared" si="18"/>
        <v>-588.5179726702754</v>
      </c>
      <c r="F175" s="362">
        <f t="shared" si="19"/>
        <v>-0.2683811569403742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>
      <c r="A176" s="364">
        <v>22</v>
      </c>
      <c r="B176" s="365" t="s">
        <v>743</v>
      </c>
      <c r="C176" s="353">
        <f>C175*C172</f>
        <v>454981.70684286475</v>
      </c>
      <c r="D176" s="353">
        <f>LN_IE21*LN_IE18</f>
        <v>436751.09237923444</v>
      </c>
      <c r="E176" s="353">
        <f t="shared" si="18"/>
        <v>-18230.614463630307</v>
      </c>
      <c r="F176" s="362">
        <f t="shared" si="19"/>
        <v>-0.040068895495015015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1" ht="11.25" customHeight="1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1" ht="11.25" customHeight="1">
      <c r="A178" s="364"/>
      <c r="B178" s="358" t="s">
        <v>775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1" ht="11.25" customHeight="1">
      <c r="A179" s="364">
        <v>23</v>
      </c>
      <c r="B179" s="360" t="s">
        <v>734</v>
      </c>
      <c r="C179" s="361">
        <f>C153+C168</f>
        <v>23064891</v>
      </c>
      <c r="D179" s="361">
        <f>LN_IE1+LN_IE14</f>
        <v>33284406</v>
      </c>
      <c r="E179" s="361">
        <f>D179-C179</f>
        <v>10219515</v>
      </c>
      <c r="F179" s="362">
        <f>IF(C179=0,0,E179/C179)</f>
        <v>0.4430766657427516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1" ht="11.25" customHeight="1">
      <c r="A180" s="364">
        <v>24</v>
      </c>
      <c r="B180" s="360" t="s">
        <v>735</v>
      </c>
      <c r="C180" s="361">
        <f>C154+C169</f>
        <v>4201788</v>
      </c>
      <c r="D180" s="361">
        <f>LN_IE15+LN_IE2</f>
        <v>3660924</v>
      </c>
      <c r="E180" s="361">
        <f>D180-C180</f>
        <v>-540864</v>
      </c>
      <c r="F180" s="362">
        <f>IF(C180=0,0,E180/C180)</f>
        <v>-0.128722343916447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1" ht="11.25" customHeight="1">
      <c r="A181" s="364">
        <v>25</v>
      </c>
      <c r="B181" s="360" t="s">
        <v>736</v>
      </c>
      <c r="C181" s="361">
        <f>C179-C180</f>
        <v>18863103</v>
      </c>
      <c r="D181" s="361">
        <f>LN_IE23-LN_IE24</f>
        <v>29623482</v>
      </c>
      <c r="E181" s="361">
        <f>D181-C181</f>
        <v>10760379</v>
      </c>
      <c r="F181" s="362">
        <f>IF(C181=0,0,E181/C181)</f>
        <v>0.5704458593053328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1" ht="11.25" customHeight="1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1" ht="11.25" customHeight="1">
      <c r="A183" s="364">
        <v>26</v>
      </c>
      <c r="B183" s="360" t="s">
        <v>776</v>
      </c>
      <c r="C183" s="361">
        <f>C162+C176</f>
        <v>1136470.8659915118</v>
      </c>
      <c r="D183" s="361">
        <f>LN_IE10+LN_IE22</f>
        <v>3903732.7991423546</v>
      </c>
      <c r="E183" s="353">
        <f>D183-C183</f>
        <v>2767261.933150843</v>
      </c>
      <c r="F183" s="362">
        <f>IF(C183=0,0,E183/C183)</f>
        <v>2.434960733231424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1" ht="11.25" customHeight="1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>
      <c r="A185" s="355" t="s">
        <v>469</v>
      </c>
      <c r="B185" s="356" t="s">
        <v>777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1" ht="15" customHeight="1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1" ht="11.25" customHeight="1">
      <c r="A187" s="364"/>
      <c r="B187" s="359" t="s">
        <v>778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1" ht="11.25" customHeight="1">
      <c r="A188" s="338">
        <v>1</v>
      </c>
      <c r="B188" s="360" t="s">
        <v>718</v>
      </c>
      <c r="C188" s="361">
        <f>C118+C153</f>
        <v>54284363</v>
      </c>
      <c r="D188" s="361">
        <f>LN_ID1+LN_IE1</f>
        <v>74181193</v>
      </c>
      <c r="E188" s="361">
        <f aca="true" t="shared" si="20" ref="E188:E200">D188-C188</f>
        <v>19896830</v>
      </c>
      <c r="F188" s="362">
        <f aca="true" t="shared" si="21" ref="F188:F200">IF(C188=0,0,E188/C188)</f>
        <v>0.3665296763268642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1" ht="11.25" customHeight="1">
      <c r="A189" s="364">
        <v>2</v>
      </c>
      <c r="B189" s="360" t="s">
        <v>719</v>
      </c>
      <c r="C189" s="361">
        <f>C119+C154</f>
        <v>13547013</v>
      </c>
      <c r="D189" s="361">
        <f>LN_1D2+LN_IE2</f>
        <v>16040973</v>
      </c>
      <c r="E189" s="361">
        <f t="shared" si="20"/>
        <v>2493960</v>
      </c>
      <c r="F189" s="362">
        <f t="shared" si="21"/>
        <v>0.1840966713474033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1" ht="11.25" customHeight="1">
      <c r="A190" s="364">
        <v>3</v>
      </c>
      <c r="B190" s="365" t="s">
        <v>720</v>
      </c>
      <c r="C190" s="366">
        <f>IF(C188=0,0,C189/C188)</f>
        <v>0.24955645145914304</v>
      </c>
      <c r="D190" s="366">
        <f>IF(LN_IF1=0,0,LN_IF2/LN_IF1)</f>
        <v>0.21624042902626275</v>
      </c>
      <c r="E190" s="367">
        <f t="shared" si="20"/>
        <v>-0.03331602243288029</v>
      </c>
      <c r="F190" s="362">
        <f t="shared" si="21"/>
        <v>-0.13350094633131426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1" ht="11.25" customHeight="1">
      <c r="A191" s="364">
        <v>4</v>
      </c>
      <c r="B191" s="360" t="s">
        <v>252</v>
      </c>
      <c r="C191" s="369">
        <f>C121+C156</f>
        <v>2630</v>
      </c>
      <c r="D191" s="369">
        <f>LN_ID4+LN_IE4</f>
        <v>2756</v>
      </c>
      <c r="E191" s="369">
        <f t="shared" si="20"/>
        <v>126</v>
      </c>
      <c r="F191" s="362">
        <f t="shared" si="21"/>
        <v>0.04790874524714829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1" ht="11.25" customHeight="1">
      <c r="A192" s="364">
        <v>5</v>
      </c>
      <c r="B192" s="365" t="s">
        <v>721</v>
      </c>
      <c r="C192" s="372">
        <f>IF((C121+C156)=0,0,(C123+C158)/(C121+C156))</f>
        <v>0.9141323460076046</v>
      </c>
      <c r="D192" s="372">
        <f>IF((LN_ID4+LN_IE4)=0,0,(LN_ID6+LN_IE6)/(LN_ID4+LN_IE4))</f>
        <v>0.9668197024673439</v>
      </c>
      <c r="E192" s="373">
        <f t="shared" si="20"/>
        <v>0.05268735645973932</v>
      </c>
      <c r="F192" s="362">
        <f t="shared" si="21"/>
        <v>0.05763646444614598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>
      <c r="A193" s="364">
        <v>6</v>
      </c>
      <c r="B193" s="365" t="s">
        <v>722</v>
      </c>
      <c r="C193" s="376">
        <f>C123+C158</f>
        <v>2404.16807</v>
      </c>
      <c r="D193" s="376">
        <f>LN_IF4*LN_IF5</f>
        <v>2664.5551</v>
      </c>
      <c r="E193" s="376">
        <f t="shared" si="20"/>
        <v>260.38702999999987</v>
      </c>
      <c r="F193" s="362">
        <f t="shared" si="21"/>
        <v>0.10830650038539105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>
      <c r="A194" s="364">
        <v>7</v>
      </c>
      <c r="B194" s="360" t="s">
        <v>723</v>
      </c>
      <c r="C194" s="378">
        <f>IF(C193=0,0,C189/C193)</f>
        <v>5634.802811435724</v>
      </c>
      <c r="D194" s="378">
        <f>IF(LN_IF6=0,0,LN_IF2/LN_IF6)</f>
        <v>6020.131841146764</v>
      </c>
      <c r="E194" s="378">
        <f t="shared" si="20"/>
        <v>385.32902971103977</v>
      </c>
      <c r="F194" s="362">
        <f t="shared" si="21"/>
        <v>0.06838376472181457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>
      <c r="A195" s="364">
        <v>8</v>
      </c>
      <c r="B195" s="357" t="s">
        <v>779</v>
      </c>
      <c r="C195" s="378">
        <f>C48-C194</f>
        <v>3900.9963510525904</v>
      </c>
      <c r="D195" s="378">
        <f>LN_IB7-LN_IF7</f>
        <v>4267.541802469079</v>
      </c>
      <c r="E195" s="378">
        <f t="shared" si="20"/>
        <v>366.5454514164885</v>
      </c>
      <c r="F195" s="362">
        <f t="shared" si="21"/>
        <v>0.09396200827452325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>
      <c r="A196" s="364">
        <v>9</v>
      </c>
      <c r="B196" s="365" t="s">
        <v>780</v>
      </c>
      <c r="C196" s="378">
        <f>C21-C194</f>
        <v>2131.470991816699</v>
      </c>
      <c r="D196" s="378">
        <f>LN_IA7-LN_IF7</f>
        <v>2677.244414966939</v>
      </c>
      <c r="E196" s="378">
        <f t="shared" si="20"/>
        <v>545.77342315024</v>
      </c>
      <c r="F196" s="362">
        <f t="shared" si="21"/>
        <v>0.2560548209408496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>
      <c r="A197" s="364">
        <v>10</v>
      </c>
      <c r="B197" s="360" t="s">
        <v>740</v>
      </c>
      <c r="C197" s="391">
        <f>C127+C162</f>
        <v>5124414.500656939</v>
      </c>
      <c r="D197" s="391">
        <f>LN_IF9*LN_IF6</f>
        <v>7133665.259846674</v>
      </c>
      <c r="E197" s="391">
        <f t="shared" si="20"/>
        <v>2009250.7591897352</v>
      </c>
      <c r="F197" s="362">
        <f t="shared" si="21"/>
        <v>0.39209372288915223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>
      <c r="A198" s="364">
        <v>11</v>
      </c>
      <c r="B198" s="360" t="s">
        <v>254</v>
      </c>
      <c r="C198" s="369">
        <f>C128+C163</f>
        <v>11964</v>
      </c>
      <c r="D198" s="369">
        <f>LN_ID11+LN_IE11</f>
        <v>13588</v>
      </c>
      <c r="E198" s="369">
        <f t="shared" si="20"/>
        <v>1624</v>
      </c>
      <c r="F198" s="362">
        <f t="shared" si="21"/>
        <v>0.13574055499832832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>
      <c r="A199" s="364">
        <v>12</v>
      </c>
      <c r="B199" s="360" t="s">
        <v>724</v>
      </c>
      <c r="C199" s="432">
        <f>IF(C198=0,0,C189/C198)</f>
        <v>1132.3146940822467</v>
      </c>
      <c r="D199" s="432">
        <f>IF(LN_IF11=0,0,LN_IF2/LN_IF11)</f>
        <v>1180.5249484839565</v>
      </c>
      <c r="E199" s="432">
        <f t="shared" si="20"/>
        <v>48.21025440170979</v>
      </c>
      <c r="F199" s="362">
        <f t="shared" si="21"/>
        <v>0.04257672770093717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>
      <c r="A200" s="364">
        <v>13</v>
      </c>
      <c r="B200" s="360" t="s">
        <v>725</v>
      </c>
      <c r="C200" s="379">
        <f>IF(C191=0,0,C198/C191)</f>
        <v>4.549049429657795</v>
      </c>
      <c r="D200" s="379">
        <f>IF(LN_IF4=0,0,LN_IF11/LN_IF4)</f>
        <v>4.93033381712627</v>
      </c>
      <c r="E200" s="379">
        <f t="shared" si="20"/>
        <v>0.38128438746847504</v>
      </c>
      <c r="F200" s="362">
        <f t="shared" si="21"/>
        <v>0.08381627708476173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>
      <c r="A202" s="364"/>
      <c r="B202" s="359" t="s">
        <v>781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>
      <c r="A203" s="338">
        <v>14</v>
      </c>
      <c r="B203" s="360" t="s">
        <v>727</v>
      </c>
      <c r="C203" s="361">
        <f>C133+C168</f>
        <v>41708587</v>
      </c>
      <c r="D203" s="361">
        <f>LN_ID14+LN_IE14</f>
        <v>58059149</v>
      </c>
      <c r="E203" s="361">
        <f aca="true" t="shared" si="22" ref="E203:E211">D203-C203</f>
        <v>16350562</v>
      </c>
      <c r="F203" s="362">
        <f aca="true" t="shared" si="23" ref="F203:F211">IF(C203=0,0,E203/C203)</f>
        <v>0.3920190823055214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>
      <c r="A204" s="338">
        <v>15</v>
      </c>
      <c r="B204" s="360" t="s">
        <v>728</v>
      </c>
      <c r="C204" s="361">
        <f>C134+C169</f>
        <v>7074222</v>
      </c>
      <c r="D204" s="361">
        <f>LN_ID15+LN_IE15</f>
        <v>9480656</v>
      </c>
      <c r="E204" s="361">
        <f t="shared" si="22"/>
        <v>2406434</v>
      </c>
      <c r="F204" s="362">
        <f t="shared" si="23"/>
        <v>0.34016942075043727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>
      <c r="A205" s="338">
        <v>16</v>
      </c>
      <c r="B205" s="360" t="s">
        <v>729</v>
      </c>
      <c r="C205" s="366">
        <f>IF(C203=0,0,C204/C203)</f>
        <v>0.16961068472542595</v>
      </c>
      <c r="D205" s="366">
        <f>IF(LN_IF14=0,0,LN_IF15/LN_IF14)</f>
        <v>0.16329305825684767</v>
      </c>
      <c r="E205" s="367">
        <f t="shared" si="22"/>
        <v>-0.00631762646857828</v>
      </c>
      <c r="F205" s="362">
        <f t="shared" si="23"/>
        <v>-0.03724780946911194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>
      <c r="A206" s="338">
        <v>17</v>
      </c>
      <c r="B206" s="360" t="s">
        <v>730</v>
      </c>
      <c r="C206" s="366">
        <f>IF(C188=0,0,C203/C188)</f>
        <v>0.7683352017965099</v>
      </c>
      <c r="D206" s="366">
        <f>IF(LN_IF1=0,0,LN_IF14/LN_IF1)</f>
        <v>0.7826666928907439</v>
      </c>
      <c r="E206" s="367">
        <f t="shared" si="22"/>
        <v>0.014331491094233928</v>
      </c>
      <c r="F206" s="362">
        <f t="shared" si="23"/>
        <v>0.018652654545469542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>
      <c r="A207" s="338">
        <v>18</v>
      </c>
      <c r="B207" s="360" t="s">
        <v>731</v>
      </c>
      <c r="C207" s="376">
        <f>C137+C172</f>
        <v>2146.8622400491527</v>
      </c>
      <c r="D207" s="376">
        <f>LN_ID18+LN_IE18</f>
        <v>2246.44656361272</v>
      </c>
      <c r="E207" s="376">
        <f t="shared" si="22"/>
        <v>99.58432356356752</v>
      </c>
      <c r="F207" s="362">
        <f t="shared" si="23"/>
        <v>0.046385986816409576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>
      <c r="A208" s="338">
        <v>19</v>
      </c>
      <c r="B208" s="365" t="s">
        <v>732</v>
      </c>
      <c r="C208" s="378">
        <f>IF(C207=0,0,C204/C207)</f>
        <v>3295.144824866841</v>
      </c>
      <c r="D208" s="378">
        <f>IF(LN_IF18=0,0,LN_IF15/LN_IF18)</f>
        <v>4220.290014267365</v>
      </c>
      <c r="E208" s="378">
        <f t="shared" si="22"/>
        <v>925.145189400524</v>
      </c>
      <c r="F208" s="362">
        <f t="shared" si="23"/>
        <v>0.2807600996529522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1" ht="11.25" customHeight="1">
      <c r="A209" s="338">
        <v>20</v>
      </c>
      <c r="B209" s="365" t="s">
        <v>782</v>
      </c>
      <c r="C209" s="378">
        <f>C61-C208</f>
        <v>8561.366707376783</v>
      </c>
      <c r="D209" s="378">
        <f>LN_IB18-LN_IF19</f>
        <v>8749.303969547702</v>
      </c>
      <c r="E209" s="378">
        <f t="shared" si="22"/>
        <v>187.93726217091898</v>
      </c>
      <c r="F209" s="362">
        <f t="shared" si="23"/>
        <v>0.021951782769564752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1" ht="11.25" customHeight="1">
      <c r="A210" s="338">
        <v>21</v>
      </c>
      <c r="B210" s="365" t="s">
        <v>783</v>
      </c>
      <c r="C210" s="378">
        <f>C32-C208</f>
        <v>3303.3814156076105</v>
      </c>
      <c r="D210" s="378">
        <f>LN_IA16-LN_IF19</f>
        <v>2869.857957094405</v>
      </c>
      <c r="E210" s="378">
        <f t="shared" si="22"/>
        <v>-433.5234585132057</v>
      </c>
      <c r="F210" s="362">
        <f t="shared" si="23"/>
        <v>-0.1312362709510083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1" ht="11.25" customHeight="1">
      <c r="A211" s="338">
        <v>22</v>
      </c>
      <c r="B211" s="365" t="s">
        <v>743</v>
      </c>
      <c r="C211" s="391">
        <f>C141+C176</f>
        <v>7091904.825648096</v>
      </c>
      <c r="D211" s="353">
        <f>LN_IF21*LN_IF18</f>
        <v>6446982.545771347</v>
      </c>
      <c r="E211" s="353">
        <f t="shared" si="22"/>
        <v>-644922.279876749</v>
      </c>
      <c r="F211" s="362">
        <f t="shared" si="23"/>
        <v>-0.09093780806876699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1" ht="11.25" customHeight="1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1" ht="11.25" customHeight="1">
      <c r="A213" s="338"/>
      <c r="B213" s="358" t="s">
        <v>784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1" ht="11.25" customHeight="1">
      <c r="A214" s="338">
        <v>23</v>
      </c>
      <c r="B214" s="360" t="s">
        <v>734</v>
      </c>
      <c r="C214" s="361">
        <f>C188+C203</f>
        <v>95992950</v>
      </c>
      <c r="D214" s="361">
        <f>LN_IF1+LN_IF14</f>
        <v>132240342</v>
      </c>
      <c r="E214" s="361">
        <f>D214-C214</f>
        <v>36247392</v>
      </c>
      <c r="F214" s="362">
        <f>IF(C214=0,0,E214/C214)</f>
        <v>0.3776047303473849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1" ht="11.25" customHeight="1">
      <c r="A215" s="338">
        <v>24</v>
      </c>
      <c r="B215" s="360" t="s">
        <v>735</v>
      </c>
      <c r="C215" s="361">
        <f>C189+C204</f>
        <v>20621235</v>
      </c>
      <c r="D215" s="361">
        <f>LN_IF2+LN_IF15</f>
        <v>25521629</v>
      </c>
      <c r="E215" s="361">
        <f>D215-C215</f>
        <v>4900394</v>
      </c>
      <c r="F215" s="362">
        <f>IF(C215=0,0,E215/C215)</f>
        <v>0.23763824038666936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1" ht="11.25" customHeight="1">
      <c r="A216" s="338">
        <v>25</v>
      </c>
      <c r="B216" s="360" t="s">
        <v>736</v>
      </c>
      <c r="C216" s="361">
        <f>C214-C215</f>
        <v>75371715</v>
      </c>
      <c r="D216" s="361">
        <f>LN_IF23-LN_IF24</f>
        <v>106718713</v>
      </c>
      <c r="E216" s="361">
        <f>D216-C216</f>
        <v>31346998</v>
      </c>
      <c r="F216" s="362">
        <f>IF(C216=0,0,E216/C216)</f>
        <v>0.4158986962151518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1" ht="11.25" customHeight="1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>
      <c r="A218" s="355" t="s">
        <v>481</v>
      </c>
      <c r="B218" s="356" t="s">
        <v>785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1" ht="11.25" customHeight="1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1" ht="11.25" customHeight="1">
      <c r="A220" s="364"/>
      <c r="B220" s="358" t="s">
        <v>786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1" ht="11.25" customHeight="1">
      <c r="A221" s="338">
        <v>1</v>
      </c>
      <c r="B221" s="360" t="s">
        <v>718</v>
      </c>
      <c r="C221" s="361">
        <v>372628</v>
      </c>
      <c r="D221" s="361">
        <v>235250</v>
      </c>
      <c r="E221" s="361">
        <f aca="true" t="shared" si="24" ref="E221:E230">D221-C221</f>
        <v>-137378</v>
      </c>
      <c r="F221" s="362">
        <f aca="true" t="shared" si="25" ref="F221:F230">IF(C221=0,0,E221/C221)</f>
        <v>-0.36867331494144295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1" ht="11.25" customHeight="1">
      <c r="A222" s="364">
        <v>2</v>
      </c>
      <c r="B222" s="360" t="s">
        <v>719</v>
      </c>
      <c r="C222" s="361">
        <v>83356</v>
      </c>
      <c r="D222" s="361">
        <v>53861</v>
      </c>
      <c r="E222" s="361">
        <f t="shared" si="24"/>
        <v>-29495</v>
      </c>
      <c r="F222" s="362">
        <f t="shared" si="25"/>
        <v>-0.3538437544987763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1" ht="11.25" customHeight="1">
      <c r="A223" s="364">
        <v>3</v>
      </c>
      <c r="B223" s="365" t="s">
        <v>720</v>
      </c>
      <c r="C223" s="366">
        <f>IF(C221=0,0,C222/C221)</f>
        <v>0.22369762873428728</v>
      </c>
      <c r="D223" s="366">
        <f>IF(LN_IG1=0,0,LN_IG2/LN_IG1)</f>
        <v>0.22895217853347502</v>
      </c>
      <c r="E223" s="367">
        <f t="shared" si="24"/>
        <v>0.005254549799187741</v>
      </c>
      <c r="F223" s="362">
        <f t="shared" si="25"/>
        <v>0.023489519441572647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1" ht="11.25" customHeight="1">
      <c r="A224" s="364">
        <v>4</v>
      </c>
      <c r="B224" s="360" t="s">
        <v>252</v>
      </c>
      <c r="C224" s="369">
        <v>7</v>
      </c>
      <c r="D224" s="369">
        <v>11</v>
      </c>
      <c r="E224" s="369">
        <f t="shared" si="24"/>
        <v>4</v>
      </c>
      <c r="F224" s="362">
        <f t="shared" si="25"/>
        <v>0.5714285714285714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>
      <c r="A225" s="364">
        <v>5</v>
      </c>
      <c r="B225" s="365" t="s">
        <v>721</v>
      </c>
      <c r="C225" s="372">
        <v>1.30937</v>
      </c>
      <c r="D225" s="372">
        <v>1.02872</v>
      </c>
      <c r="E225" s="373">
        <f t="shared" si="24"/>
        <v>-0.28064999999999984</v>
      </c>
      <c r="F225" s="362">
        <f t="shared" si="25"/>
        <v>-0.2143397206290047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>
      <c r="A226" s="364">
        <v>6</v>
      </c>
      <c r="B226" s="365" t="s">
        <v>722</v>
      </c>
      <c r="C226" s="376">
        <f>C224*C225</f>
        <v>9.16559</v>
      </c>
      <c r="D226" s="376">
        <f>LN_IG3*LN_IG4</f>
        <v>11.31592</v>
      </c>
      <c r="E226" s="376">
        <f t="shared" si="24"/>
        <v>2.1503300000000003</v>
      </c>
      <c r="F226" s="362">
        <f t="shared" si="25"/>
        <v>0.23460901044013538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>
      <c r="A227" s="364">
        <v>7</v>
      </c>
      <c r="B227" s="360" t="s">
        <v>723</v>
      </c>
      <c r="C227" s="378">
        <f>IF(C226=0,0,C222/C226)</f>
        <v>9094.450002673042</v>
      </c>
      <c r="D227" s="378">
        <f>IF(LN_IG5=0,0,LN_IG2/LN_IG5)</f>
        <v>4759.754399112047</v>
      </c>
      <c r="E227" s="378">
        <f t="shared" si="24"/>
        <v>-4334.695603560995</v>
      </c>
      <c r="F227" s="362">
        <f t="shared" si="25"/>
        <v>-0.4766308685282717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>
      <c r="A228" s="364">
        <v>8</v>
      </c>
      <c r="B228" s="360" t="s">
        <v>254</v>
      </c>
      <c r="C228" s="369">
        <v>54</v>
      </c>
      <c r="D228" s="369">
        <v>34</v>
      </c>
      <c r="E228" s="369">
        <f t="shared" si="24"/>
        <v>-20</v>
      </c>
      <c r="F228" s="362">
        <f t="shared" si="25"/>
        <v>-0.37037037037037035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>
      <c r="A229" s="364">
        <v>9</v>
      </c>
      <c r="B229" s="360" t="s">
        <v>724</v>
      </c>
      <c r="C229" s="378">
        <f>IF(C228=0,0,C222/C228)</f>
        <v>1543.6296296296296</v>
      </c>
      <c r="D229" s="378">
        <f>IF(LN_IG6=0,0,LN_IG2/LN_IG6)</f>
        <v>1584.1470588235295</v>
      </c>
      <c r="E229" s="378">
        <f t="shared" si="24"/>
        <v>40.51742919389994</v>
      </c>
      <c r="F229" s="362">
        <f t="shared" si="25"/>
        <v>0.026248154619590635</v>
      </c>
      <c r="Q229" s="330"/>
      <c r="U229" s="375"/>
    </row>
    <row r="230" spans="1:21" ht="11.25" customHeight="1">
      <c r="A230" s="364">
        <v>10</v>
      </c>
      <c r="B230" s="360" t="s">
        <v>725</v>
      </c>
      <c r="C230" s="379">
        <f>IF(C224=0,0,C228/C224)</f>
        <v>7.714285714285714</v>
      </c>
      <c r="D230" s="379">
        <f>IF(LN_IG3=0,0,LN_IG6/LN_IG3)</f>
        <v>3.090909090909091</v>
      </c>
      <c r="E230" s="379">
        <f t="shared" si="24"/>
        <v>-4.623376623376624</v>
      </c>
      <c r="F230" s="362">
        <f t="shared" si="25"/>
        <v>-0.5993265993265994</v>
      </c>
      <c r="Q230" s="330"/>
      <c r="U230" s="353"/>
    </row>
    <row r="231" spans="1:21" ht="11.25" customHeight="1">
      <c r="A231" s="338"/>
      <c r="C231" s="330"/>
      <c r="Q231" s="330"/>
      <c r="U231" s="434"/>
    </row>
    <row r="232" spans="1:21" ht="11.25" customHeight="1">
      <c r="A232" s="338"/>
      <c r="B232" s="358" t="s">
        <v>787</v>
      </c>
      <c r="C232" s="330"/>
      <c r="Q232" s="330"/>
      <c r="U232" s="399"/>
    </row>
    <row r="233" spans="1:21" ht="11.25" customHeight="1">
      <c r="A233" s="364">
        <v>11</v>
      </c>
      <c r="B233" s="360" t="s">
        <v>727</v>
      </c>
      <c r="C233" s="361">
        <v>140660</v>
      </c>
      <c r="D233" s="361">
        <v>341637</v>
      </c>
      <c r="E233" s="361">
        <f>D233-C233</f>
        <v>200977</v>
      </c>
      <c r="F233" s="362">
        <f>IF(C233=0,0,E233/C233)</f>
        <v>1.4288141618086165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>
      <c r="A234" s="364">
        <v>12</v>
      </c>
      <c r="B234" s="360" t="s">
        <v>728</v>
      </c>
      <c r="C234" s="361">
        <v>78594</v>
      </c>
      <c r="D234" s="361">
        <v>126599</v>
      </c>
      <c r="E234" s="361">
        <f>D234-C234</f>
        <v>48005</v>
      </c>
      <c r="F234" s="362">
        <f>IF(C234=0,0,E234/C234)</f>
        <v>0.610797261877497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>
      <c r="A236" s="338"/>
      <c r="B236" s="358" t="s">
        <v>788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>
      <c r="A237" s="338">
        <v>13</v>
      </c>
      <c r="B237" s="360" t="s">
        <v>734</v>
      </c>
      <c r="C237" s="361">
        <f>C221+C233</f>
        <v>513288</v>
      </c>
      <c r="D237" s="361">
        <f>LN_IG1+LN_IG9</f>
        <v>576887</v>
      </c>
      <c r="E237" s="361">
        <f>D237-C237</f>
        <v>63599</v>
      </c>
      <c r="F237" s="362">
        <f>IF(C237=0,0,E237/C237)</f>
        <v>0.12390509811256059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>
      <c r="A238" s="338">
        <v>14</v>
      </c>
      <c r="B238" s="360" t="s">
        <v>735</v>
      </c>
      <c r="C238" s="361">
        <f>C222+C234</f>
        <v>161950</v>
      </c>
      <c r="D238" s="361">
        <f>LN_IG2+LN_IG10</f>
        <v>180460</v>
      </c>
      <c r="E238" s="361">
        <f>D238-C238</f>
        <v>18510</v>
      </c>
      <c r="F238" s="362">
        <f>IF(C238=0,0,E238/C238)</f>
        <v>0.1142945353504168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>
      <c r="A239" s="338">
        <v>15</v>
      </c>
      <c r="B239" s="360" t="s">
        <v>736</v>
      </c>
      <c r="C239" s="361">
        <f>C237-C238</f>
        <v>351338</v>
      </c>
      <c r="D239" s="361">
        <f>LN_IG13-LN_IG14</f>
        <v>396427</v>
      </c>
      <c r="E239" s="361">
        <f>D239-C239</f>
        <v>45089</v>
      </c>
      <c r="F239" s="362">
        <f>IF(C239=0,0,E239/C239)</f>
        <v>0.1283351075033159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>
      <c r="A241" s="355" t="s">
        <v>485</v>
      </c>
      <c r="B241" s="356" t="s">
        <v>789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1" ht="8.25" customHeight="1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1" ht="11.25" customHeight="1">
      <c r="A243" s="338">
        <v>1</v>
      </c>
      <c r="B243" s="360" t="s">
        <v>790</v>
      </c>
      <c r="C243" s="361">
        <v>23149832</v>
      </c>
      <c r="D243" s="361">
        <v>23523556</v>
      </c>
      <c r="E243" s="353">
        <f>D243-C243</f>
        <v>373724</v>
      </c>
      <c r="F243" s="415">
        <f>IF(C243=0,0,E243/C243)</f>
        <v>0.016143702468337566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1" ht="11.25" customHeight="1">
      <c r="A244" s="338">
        <v>2</v>
      </c>
      <c r="B244" s="360" t="s">
        <v>791</v>
      </c>
      <c r="C244" s="361">
        <v>389133838</v>
      </c>
      <c r="D244" s="361">
        <v>425519879</v>
      </c>
      <c r="E244" s="353">
        <f>D244-C244</f>
        <v>36386041</v>
      </c>
      <c r="F244" s="415">
        <f>IF(C244=0,0,E244/C244)</f>
        <v>0.09350520938248501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1" ht="11.25" customHeight="1">
      <c r="A245" s="338">
        <v>3</v>
      </c>
      <c r="B245" s="360" t="s">
        <v>792</v>
      </c>
      <c r="C245" s="400">
        <v>3030349</v>
      </c>
      <c r="D245" s="400">
        <v>2936412</v>
      </c>
      <c r="E245" s="400">
        <f>D245-C245</f>
        <v>-93937</v>
      </c>
      <c r="F245" s="401">
        <f>IF(C245=0,0,E245/C245)</f>
        <v>-0.030998739749118005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1" ht="11.25" customHeight="1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1" ht="11.25" customHeight="1">
      <c r="A247" s="364"/>
      <c r="B247" s="359" t="s">
        <v>793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1" ht="11.25" customHeight="1">
      <c r="A248" s="364">
        <v>4</v>
      </c>
      <c r="B248" s="436" t="s">
        <v>794</v>
      </c>
      <c r="C248" s="353">
        <v>15715201</v>
      </c>
      <c r="D248" s="353">
        <v>11909791</v>
      </c>
      <c r="E248" s="353">
        <f>D248-C248</f>
        <v>-3805410</v>
      </c>
      <c r="F248" s="362">
        <f>IF(C248=0,0,E248/C248)</f>
        <v>-0.24214835050471198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1" ht="11.25" customHeight="1">
      <c r="A249" s="364">
        <v>5</v>
      </c>
      <c r="B249" s="436" t="s">
        <v>795</v>
      </c>
      <c r="C249" s="353">
        <v>44824866</v>
      </c>
      <c r="D249" s="353">
        <v>47934677</v>
      </c>
      <c r="E249" s="353">
        <f>D249-C249</f>
        <v>3109811</v>
      </c>
      <c r="F249" s="362">
        <f>IF(C249=0,0,E249/C249)</f>
        <v>0.06937691682112335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1" ht="11.25" customHeight="1">
      <c r="A250" s="364">
        <v>6</v>
      </c>
      <c r="B250" s="365" t="s">
        <v>796</v>
      </c>
      <c r="C250" s="353">
        <f>C248+C249</f>
        <v>60540067</v>
      </c>
      <c r="D250" s="353">
        <f>LN_IH4+LN_IH5</f>
        <v>59844468</v>
      </c>
      <c r="E250" s="353">
        <f>D250-C250</f>
        <v>-695599</v>
      </c>
      <c r="F250" s="362">
        <f>IF(C250=0,0,E250/C250)</f>
        <v>-0.011489894783235043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1" ht="11.25" customHeight="1">
      <c r="A251" s="364">
        <v>7</v>
      </c>
      <c r="B251" s="365" t="s">
        <v>797</v>
      </c>
      <c r="C251" s="353">
        <f>C250*C313</f>
        <v>21527935.17369059</v>
      </c>
      <c r="D251" s="353">
        <f>LN_IH6*LN_III10</f>
        <v>21584250.893948287</v>
      </c>
      <c r="E251" s="353">
        <f>D251-C251</f>
        <v>56315.720257695764</v>
      </c>
      <c r="F251" s="362">
        <f>IF(C251=0,0,E251/C251)</f>
        <v>0.0026159369118929493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1" ht="11.25" customHeight="1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1" ht="11.25" customHeight="1">
      <c r="A253" s="338"/>
      <c r="B253" s="397" t="s">
        <v>798</v>
      </c>
      <c r="C253" s="333"/>
      <c r="D253" s="333"/>
      <c r="E253" s="333"/>
      <c r="F253" s="333"/>
      <c r="Q253" s="330"/>
      <c r="U253" s="388"/>
    </row>
    <row r="254" spans="1:21" ht="11.25" customHeight="1">
      <c r="A254" s="338">
        <v>8</v>
      </c>
      <c r="B254" s="360" t="s">
        <v>734</v>
      </c>
      <c r="C254" s="353">
        <f>C188+C203</f>
        <v>95992950</v>
      </c>
      <c r="D254" s="353">
        <f>LN_IF23</f>
        <v>132240342</v>
      </c>
      <c r="E254" s="353">
        <f>D254-C254</f>
        <v>36247392</v>
      </c>
      <c r="F254" s="362">
        <f>IF(C254=0,0,E254/C254)</f>
        <v>0.3776047303473849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1" ht="11.25" customHeight="1">
      <c r="A255" s="338">
        <v>9</v>
      </c>
      <c r="B255" s="360" t="s">
        <v>735</v>
      </c>
      <c r="C255" s="353">
        <f>C189+C204</f>
        <v>20621235</v>
      </c>
      <c r="D255" s="353">
        <f>LN_IF24</f>
        <v>25521629</v>
      </c>
      <c r="E255" s="353">
        <f>D255-C255</f>
        <v>4900394</v>
      </c>
      <c r="F255" s="362">
        <f>IF(C255=0,0,E255/C255)</f>
        <v>0.23763824038666936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1" ht="11.25" customHeight="1">
      <c r="A256" s="338">
        <v>10</v>
      </c>
      <c r="B256" s="360" t="s">
        <v>799</v>
      </c>
      <c r="C256" s="353">
        <f>C254*C313</f>
        <v>34134914.39861344</v>
      </c>
      <c r="D256" s="353">
        <f>LN_IH8*LN_III10</f>
        <v>47695448.14116364</v>
      </c>
      <c r="E256" s="353">
        <f>D256-C256</f>
        <v>13560533.742550202</v>
      </c>
      <c r="F256" s="362">
        <f>IF(C256=0,0,E256/C256)</f>
        <v>0.3972628606650624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>
      <c r="A257" s="338">
        <v>11</v>
      </c>
      <c r="B257" s="365" t="s">
        <v>800</v>
      </c>
      <c r="C257" s="353">
        <f>C256-C255</f>
        <v>13513679.398613438</v>
      </c>
      <c r="D257" s="353">
        <f>LN_IH10-LN_IH9</f>
        <v>22173819.14116364</v>
      </c>
      <c r="E257" s="353">
        <f>D257-C257</f>
        <v>8660139.742550202</v>
      </c>
      <c r="F257" s="362">
        <f>IF(C257=0,0,E257/C257)</f>
        <v>0.6408424742885915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>
      <c r="A258" s="334" t="s">
        <v>159</v>
      </c>
      <c r="B258" s="349" t="s">
        <v>801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>
      <c r="A260" s="437" t="s">
        <v>129</v>
      </c>
      <c r="B260" s="359" t="s">
        <v>802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>
      <c r="A261" s="338">
        <v>1</v>
      </c>
      <c r="B261" s="360" t="s">
        <v>803</v>
      </c>
      <c r="C261" s="361">
        <f>C15+C42+C188+C221</f>
        <v>474398080</v>
      </c>
      <c r="D261" s="361">
        <f>LN_IA1+LN_IB1+LN_IF1+LN_IG1</f>
        <v>519029050</v>
      </c>
      <c r="E261" s="361">
        <f aca="true" t="shared" si="26" ref="E261:E274">D261-C261</f>
        <v>44630970</v>
      </c>
      <c r="F261" s="415">
        <f aca="true" t="shared" si="27" ref="F261:F274">IF(C261=0,0,E261/C261)</f>
        <v>0.09407915394598562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>
      <c r="A262" s="364">
        <v>2</v>
      </c>
      <c r="B262" s="360" t="s">
        <v>804</v>
      </c>
      <c r="C262" s="361">
        <f>C16+C43+C189+C222</f>
        <v>156722250</v>
      </c>
      <c r="D262" s="361">
        <f>+LN_IA2+LN_IB2+LN_IF2+LN_IG2</f>
        <v>161734487</v>
      </c>
      <c r="E262" s="361">
        <f t="shared" si="26"/>
        <v>5012237</v>
      </c>
      <c r="F262" s="415">
        <f t="shared" si="27"/>
        <v>0.03198165544458429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>
      <c r="A263" s="364">
        <v>3</v>
      </c>
      <c r="B263" s="365" t="s">
        <v>805</v>
      </c>
      <c r="C263" s="366">
        <f>IF(C261=0,0,C262/C261)</f>
        <v>0.3303602114072637</v>
      </c>
      <c r="D263" s="366">
        <f>IF(LN_IIA1=0,0,LN_IIA2/LN_IIA1)</f>
        <v>0.3116097008442976</v>
      </c>
      <c r="E263" s="367">
        <f t="shared" si="26"/>
        <v>-0.01875051056296606</v>
      </c>
      <c r="F263" s="371">
        <f t="shared" si="27"/>
        <v>-0.05675777504528438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>
      <c r="A264" s="364">
        <v>4</v>
      </c>
      <c r="B264" s="360" t="s">
        <v>806</v>
      </c>
      <c r="C264" s="369">
        <f>C18+C45+C191+C224</f>
        <v>15856</v>
      </c>
      <c r="D264" s="369">
        <f>LN_IA4+LN_IB4+LN_IF4+LN_IG3</f>
        <v>14888</v>
      </c>
      <c r="E264" s="369">
        <f t="shared" si="26"/>
        <v>-968</v>
      </c>
      <c r="F264" s="415">
        <f t="shared" si="27"/>
        <v>-0.06104944500504541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>
      <c r="A265" s="364">
        <v>5</v>
      </c>
      <c r="B265" s="360" t="s">
        <v>807</v>
      </c>
      <c r="C265" s="439">
        <f>IF(C264=0,0,C266/C264)</f>
        <v>1.2026545724016144</v>
      </c>
      <c r="D265" s="439">
        <f>IF(LN_IIA4=0,0,LN_IIA6/LN_IIA4)</f>
        <v>1.2139909692369695</v>
      </c>
      <c r="E265" s="439">
        <f t="shared" si="26"/>
        <v>0.011336396835355034</v>
      </c>
      <c r="F265" s="415">
        <f t="shared" si="27"/>
        <v>0.009426145374990815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>
      <c r="A266" s="364">
        <v>6</v>
      </c>
      <c r="B266" s="360" t="s">
        <v>808</v>
      </c>
      <c r="C266" s="376">
        <f>C20+C47+C193+C226</f>
        <v>19069.2909</v>
      </c>
      <c r="D266" s="376">
        <f>LN_IA6+LN_IB6+LN_IF6+LN_IG5</f>
        <v>18073.89755</v>
      </c>
      <c r="E266" s="376">
        <f t="shared" si="26"/>
        <v>-995.3933499999985</v>
      </c>
      <c r="F266" s="415">
        <f t="shared" si="27"/>
        <v>-0.05219876057373473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>
      <c r="A267" s="364">
        <v>7</v>
      </c>
      <c r="B267" s="360" t="s">
        <v>809</v>
      </c>
      <c r="C267" s="361">
        <f>C27+C56+C203+C233</f>
        <v>515571431</v>
      </c>
      <c r="D267" s="361">
        <f>LN_IA11+LN_IB13+LN_IF14+LN_IG9</f>
        <v>637988263</v>
      </c>
      <c r="E267" s="361">
        <f t="shared" si="26"/>
        <v>122416832</v>
      </c>
      <c r="F267" s="415">
        <f t="shared" si="27"/>
        <v>0.23743912994279157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>
      <c r="A268" s="364">
        <v>8</v>
      </c>
      <c r="B268" s="365" t="s">
        <v>730</v>
      </c>
      <c r="C268" s="366">
        <f>IF(C261=0,0,C267/C261)</f>
        <v>1.0867907201479399</v>
      </c>
      <c r="D268" s="366">
        <f>IF(LN_IIA1=0,0,LN_IIA7/LN_IIA1)</f>
        <v>1.2291956741149652</v>
      </c>
      <c r="E268" s="367">
        <f t="shared" si="26"/>
        <v>0.14240495396702535</v>
      </c>
      <c r="F268" s="371">
        <f t="shared" si="27"/>
        <v>0.1310325450217687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>
      <c r="A269" s="364">
        <v>9</v>
      </c>
      <c r="B269" s="360" t="s">
        <v>810</v>
      </c>
      <c r="C269" s="361">
        <f>C28+C57+C204+C234</f>
        <v>187959360</v>
      </c>
      <c r="D269" s="361">
        <f>LN_IA12+LN_IB14+LN_IF15+LN_IG10</f>
        <v>219721790</v>
      </c>
      <c r="E269" s="361">
        <f t="shared" si="26"/>
        <v>31762430</v>
      </c>
      <c r="F269" s="415">
        <f t="shared" si="27"/>
        <v>0.16898562540327866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>
      <c r="A270" s="364">
        <v>10</v>
      </c>
      <c r="B270" s="365" t="s">
        <v>729</v>
      </c>
      <c r="C270" s="366">
        <f>IF(C267=0,0,C269/C267)</f>
        <v>0.36456511881473896</v>
      </c>
      <c r="D270" s="366">
        <f>IF(LN_IIA7=0,0,LN_IIA9/LN_IIA7)</f>
        <v>0.34439785610914914</v>
      </c>
      <c r="E270" s="367">
        <f t="shared" si="26"/>
        <v>-0.020167262705589828</v>
      </c>
      <c r="F270" s="371">
        <f t="shared" si="27"/>
        <v>-0.05531868427554701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>
      <c r="A271" s="364">
        <v>11</v>
      </c>
      <c r="B271" s="360" t="s">
        <v>811</v>
      </c>
      <c r="C271" s="353">
        <f>C261+C267</f>
        <v>989969511</v>
      </c>
      <c r="D271" s="353">
        <f>LN_IIA1+LN_IIA7</f>
        <v>1157017313</v>
      </c>
      <c r="E271" s="353">
        <f t="shared" si="26"/>
        <v>167047802</v>
      </c>
      <c r="F271" s="415">
        <f t="shared" si="27"/>
        <v>0.1687403502268061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>
      <c r="A272" s="364">
        <v>12</v>
      </c>
      <c r="B272" s="360" t="s">
        <v>812</v>
      </c>
      <c r="C272" s="353">
        <f>C262+C269</f>
        <v>344681610</v>
      </c>
      <c r="D272" s="353">
        <f>LN_IIA2+LN_IIA9</f>
        <v>381456277</v>
      </c>
      <c r="E272" s="353">
        <f t="shared" si="26"/>
        <v>36774667</v>
      </c>
      <c r="F272" s="415">
        <f t="shared" si="27"/>
        <v>0.10669170020413912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>
      <c r="A273" s="364">
        <v>13</v>
      </c>
      <c r="B273" s="365" t="s">
        <v>813</v>
      </c>
      <c r="C273" s="366">
        <f>IF(C271=0,0,C272/C271)</f>
        <v>0.3481739651272957</v>
      </c>
      <c r="D273" s="366">
        <f>IF(LN_IIA11=0,0,LN_IIA12/LN_IIA11)</f>
        <v>0.3296893423408955</v>
      </c>
      <c r="E273" s="367">
        <f t="shared" si="26"/>
        <v>-0.01848462278640023</v>
      </c>
      <c r="F273" s="371">
        <f t="shared" si="27"/>
        <v>-0.05309019236875473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>
      <c r="A274" s="364">
        <v>14</v>
      </c>
      <c r="B274" s="360" t="s">
        <v>254</v>
      </c>
      <c r="C274" s="421">
        <f>C22+C51+C198+C228</f>
        <v>76971</v>
      </c>
      <c r="D274" s="421">
        <f>LN_IA8+LN_IB10+LN_IF11+LN_IG6</f>
        <v>75272</v>
      </c>
      <c r="E274" s="442">
        <f t="shared" si="26"/>
        <v>-1699</v>
      </c>
      <c r="F274" s="371">
        <f t="shared" si="27"/>
        <v>-0.022073248366267815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>
      <c r="A276" s="437" t="s">
        <v>141</v>
      </c>
      <c r="B276" s="359" t="s">
        <v>814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>
      <c r="A277" s="338">
        <v>1</v>
      </c>
      <c r="B277" s="360" t="s">
        <v>815</v>
      </c>
      <c r="C277" s="361">
        <f>C15+C188+C221</f>
        <v>287949985</v>
      </c>
      <c r="D277" s="361">
        <f>LN_IA1+LN_IF1+LN_IG1</f>
        <v>320113875</v>
      </c>
      <c r="E277" s="361">
        <f aca="true" t="shared" si="28" ref="E277:E291">D277-C277</f>
        <v>32163890</v>
      </c>
      <c r="F277" s="415">
        <f aca="true" t="shared" si="29" ref="F277:F291">IF(C277=0,0,E277/C277)</f>
        <v>0.11169957171555331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>
      <c r="A278" s="364">
        <v>2</v>
      </c>
      <c r="B278" s="360" t="s">
        <v>816</v>
      </c>
      <c r="C278" s="361">
        <f>C16+C189+C222</f>
        <v>82694056</v>
      </c>
      <c r="D278" s="361">
        <f>LN_IA2+LN_IF2+LN_IG2</f>
        <v>85935480</v>
      </c>
      <c r="E278" s="361">
        <f t="shared" si="28"/>
        <v>3241424</v>
      </c>
      <c r="F278" s="415">
        <f t="shared" si="29"/>
        <v>0.03919778708157694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>
      <c r="A279" s="364">
        <v>3</v>
      </c>
      <c r="B279" s="365" t="s">
        <v>817</v>
      </c>
      <c r="C279" s="366">
        <f>IF(C277=0,0,C278/C277)</f>
        <v>0.287182011834451</v>
      </c>
      <c r="D279" s="366">
        <f>IF(D277=0,0,LN_IIB2/D277)</f>
        <v>0.26845284353888127</v>
      </c>
      <c r="E279" s="367">
        <f t="shared" si="28"/>
        <v>-0.018729168295569754</v>
      </c>
      <c r="F279" s="371">
        <f t="shared" si="29"/>
        <v>-0.06521706626376854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>
      <c r="A280" s="364">
        <v>4</v>
      </c>
      <c r="B280" s="360" t="s">
        <v>818</v>
      </c>
      <c r="C280" s="369">
        <f>C18+C191+C224</f>
        <v>8400</v>
      </c>
      <c r="D280" s="369">
        <f>LN_IA4+LN_IF4+LN_IG3</f>
        <v>7860</v>
      </c>
      <c r="E280" s="369">
        <f t="shared" si="28"/>
        <v>-540</v>
      </c>
      <c r="F280" s="415">
        <f t="shared" si="29"/>
        <v>-0.06428571428571428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>
      <c r="A281" s="364">
        <v>5</v>
      </c>
      <c r="B281" s="360" t="s">
        <v>819</v>
      </c>
      <c r="C281" s="439">
        <f>IF(C280=0,0,C282/C280)</f>
        <v>1.3459647261904761</v>
      </c>
      <c r="D281" s="439">
        <f>IF(LN_IIB4=0,0,LN_IIB6/LN_IIB4)</f>
        <v>1.3620805585241729</v>
      </c>
      <c r="E281" s="439">
        <f t="shared" si="28"/>
        <v>0.016115832333696734</v>
      </c>
      <c r="F281" s="415">
        <f t="shared" si="29"/>
        <v>0.011973443300635263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>
      <c r="A282" s="364">
        <v>6</v>
      </c>
      <c r="B282" s="360" t="s">
        <v>820</v>
      </c>
      <c r="C282" s="376">
        <f>C20+C193+C226</f>
        <v>11306.1037</v>
      </c>
      <c r="D282" s="376">
        <f>LN_IA6+LN_IF6+LN_IG5</f>
        <v>10705.953189999998</v>
      </c>
      <c r="E282" s="376">
        <f t="shared" si="28"/>
        <v>-600.1505100000013</v>
      </c>
      <c r="F282" s="415">
        <f t="shared" si="29"/>
        <v>-0.053081992340119906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>
      <c r="A283" s="364">
        <v>7</v>
      </c>
      <c r="B283" s="360" t="s">
        <v>821</v>
      </c>
      <c r="C283" s="361">
        <f>C27+C203+C233</f>
        <v>182634099</v>
      </c>
      <c r="D283" s="361">
        <f>LN_IA11+LN_IF14+LN_IG9</f>
        <v>236620445</v>
      </c>
      <c r="E283" s="361">
        <f t="shared" si="28"/>
        <v>53986346</v>
      </c>
      <c r="F283" s="415">
        <f t="shared" si="29"/>
        <v>0.2955983920614956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>
      <c r="A284" s="364">
        <v>8</v>
      </c>
      <c r="B284" s="360" t="s">
        <v>822</v>
      </c>
      <c r="C284" s="366">
        <f>IF(C277=0,0,C283/C277)</f>
        <v>0.6342563240626666</v>
      </c>
      <c r="D284" s="366">
        <f>IF(D277=0,0,LN_IIB7/D277)</f>
        <v>0.7391758479697264</v>
      </c>
      <c r="E284" s="367">
        <f t="shared" si="28"/>
        <v>0.10491952390705972</v>
      </c>
      <c r="F284" s="371">
        <f t="shared" si="29"/>
        <v>0.16542132876974408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>
      <c r="A285" s="364">
        <v>9</v>
      </c>
      <c r="B285" s="360" t="s">
        <v>823</v>
      </c>
      <c r="C285" s="361">
        <f>C28+C204+C234</f>
        <v>30101078</v>
      </c>
      <c r="D285" s="361">
        <f>LN_IA12+LN_IF15+LN_IG10</f>
        <v>35800178</v>
      </c>
      <c r="E285" s="361">
        <f t="shared" si="28"/>
        <v>5699100</v>
      </c>
      <c r="F285" s="415">
        <f t="shared" si="29"/>
        <v>0.18933208970123927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>
      <c r="A286" s="364">
        <v>10</v>
      </c>
      <c r="B286" s="360" t="s">
        <v>824</v>
      </c>
      <c r="C286" s="366">
        <f>IF(C283=0,0,C285/C283)</f>
        <v>0.16481630848136414</v>
      </c>
      <c r="D286" s="366">
        <f>IF(LN_IIB7=0,0,LN_IIB9/LN_IIB7)</f>
        <v>0.15129790665383966</v>
      </c>
      <c r="E286" s="367">
        <f t="shared" si="28"/>
        <v>-0.013518401827524479</v>
      </c>
      <c r="F286" s="371">
        <f t="shared" si="29"/>
        <v>-0.08202102056577132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>
      <c r="A287" s="364">
        <v>11</v>
      </c>
      <c r="B287" s="365" t="s">
        <v>825</v>
      </c>
      <c r="C287" s="353">
        <f>C277+C283</f>
        <v>470584084</v>
      </c>
      <c r="D287" s="353">
        <f>D277+LN_IIB7</f>
        <v>556734320</v>
      </c>
      <c r="E287" s="353">
        <f t="shared" si="28"/>
        <v>86150236</v>
      </c>
      <c r="F287" s="415">
        <f t="shared" si="29"/>
        <v>0.18307086645964848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>
      <c r="A288" s="364">
        <v>12</v>
      </c>
      <c r="B288" s="365" t="s">
        <v>826</v>
      </c>
      <c r="C288" s="353">
        <f>C278+C285</f>
        <v>112795134</v>
      </c>
      <c r="D288" s="353">
        <f>LN_IIB2+LN_IIB9</f>
        <v>121735658</v>
      </c>
      <c r="E288" s="353">
        <f t="shared" si="28"/>
        <v>8940524</v>
      </c>
      <c r="F288" s="415">
        <f t="shared" si="29"/>
        <v>0.07926338382646897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>
      <c r="A289" s="364">
        <v>13</v>
      </c>
      <c r="B289" s="365" t="s">
        <v>827</v>
      </c>
      <c r="C289" s="366">
        <f>IF(C287=0,0,C288/C287)</f>
        <v>0.23969177419098603</v>
      </c>
      <c r="D289" s="366">
        <f>IF(LN_IIB11=0,0,LN_IIB12/LN_IIB11)</f>
        <v>0.21866023635834056</v>
      </c>
      <c r="E289" s="367">
        <f t="shared" si="28"/>
        <v>-0.02103153783264547</v>
      </c>
      <c r="F289" s="371">
        <f t="shared" si="29"/>
        <v>-0.08774409511395069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>
      <c r="A290" s="338">
        <v>14</v>
      </c>
      <c r="B290" s="360" t="s">
        <v>254</v>
      </c>
      <c r="C290" s="421">
        <f>C22+C198+C228</f>
        <v>47697</v>
      </c>
      <c r="D290" s="421">
        <f>LN_IA8+LN_IF11+LN_IG6</f>
        <v>47642</v>
      </c>
      <c r="E290" s="442">
        <f t="shared" si="28"/>
        <v>-55</v>
      </c>
      <c r="F290" s="371">
        <f t="shared" si="29"/>
        <v>-0.0011531123550747426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>
      <c r="A291" s="338">
        <v>15</v>
      </c>
      <c r="B291" s="357" t="s">
        <v>828</v>
      </c>
      <c r="C291" s="361">
        <f>C287-C288</f>
        <v>357788950</v>
      </c>
      <c r="D291" s="429">
        <f>LN_IIB11-LN_IIB12</f>
        <v>434998662</v>
      </c>
      <c r="E291" s="353">
        <f t="shared" si="28"/>
        <v>77209712</v>
      </c>
      <c r="F291" s="415">
        <f t="shared" si="29"/>
        <v>0.21579680423333364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>
      <c r="A293" s="437" t="s">
        <v>151</v>
      </c>
      <c r="B293" s="358" t="s">
        <v>725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>
      <c r="A294" s="338">
        <v>1</v>
      </c>
      <c r="B294" s="365" t="s">
        <v>716</v>
      </c>
      <c r="C294" s="379">
        <f>IF(C18=0,0,C22/C18)</f>
        <v>6.191046330036439</v>
      </c>
      <c r="D294" s="379">
        <f>IF(LN_IA4=0,0,LN_IA8/LN_IA4)</f>
        <v>6.679756528568624</v>
      </c>
      <c r="E294" s="379">
        <f aca="true" t="shared" si="30" ref="E294:E300">D294-C294</f>
        <v>0.48871019853218467</v>
      </c>
      <c r="F294" s="415">
        <f aca="true" t="shared" si="31" ref="F294:F300">IF(C294=0,0,E294/C294)</f>
        <v>0.07893822344070686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>
      <c r="A295" s="364">
        <v>2</v>
      </c>
      <c r="B295" s="365" t="s">
        <v>737</v>
      </c>
      <c r="C295" s="379">
        <f>IF(C45=0,0,C51/C45)</f>
        <v>3.9262339055793993</v>
      </c>
      <c r="D295" s="379">
        <f>IF(LN_IB4=0,0,(LN_IB10)/(LN_IB4))</f>
        <v>3.9314171883893</v>
      </c>
      <c r="E295" s="379">
        <f t="shared" si="30"/>
        <v>0.005183282809900547</v>
      </c>
      <c r="F295" s="415">
        <f t="shared" si="31"/>
        <v>0.0013201665857285809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>
      <c r="A296" s="364">
        <v>3</v>
      </c>
      <c r="B296" s="365" t="s">
        <v>752</v>
      </c>
      <c r="C296" s="379">
        <f>IF(C86=0,0,C93/C86)</f>
        <v>3.957627118644068</v>
      </c>
      <c r="D296" s="379">
        <f>IF(LN_IC4=0,0,LN_IC11/LN_IC4)</f>
        <v>4.467796610169492</v>
      </c>
      <c r="E296" s="379">
        <f t="shared" si="30"/>
        <v>0.5101694915254238</v>
      </c>
      <c r="F296" s="415">
        <f t="shared" si="31"/>
        <v>0.12890792291220557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>
      <c r="A297" s="364">
        <v>4</v>
      </c>
      <c r="B297" s="365" t="s">
        <v>229</v>
      </c>
      <c r="C297" s="379">
        <f>IF(C121=0,0,C128/C121)</f>
        <v>4.0235400633770935</v>
      </c>
      <c r="D297" s="379">
        <f>IF(LN_ID4=0,0,LN_ID11/LN_ID4)</f>
        <v>4.439387308533917</v>
      </c>
      <c r="E297" s="379">
        <f t="shared" si="30"/>
        <v>0.41584724515682314</v>
      </c>
      <c r="F297" s="415">
        <f t="shared" si="31"/>
        <v>0.10335357386942196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>
      <c r="A298" s="364">
        <v>5</v>
      </c>
      <c r="B298" s="365" t="s">
        <v>829</v>
      </c>
      <c r="C298" s="379">
        <f>IF(C156=0,0,C163/C156)</f>
        <v>7.306413301662708</v>
      </c>
      <c r="D298" s="379">
        <f>IF(LN_IE4=0,0,LN_IE11/LN_IE4)</f>
        <v>7.312101910828026</v>
      </c>
      <c r="E298" s="379">
        <f t="shared" si="30"/>
        <v>0.0056886091653174375</v>
      </c>
      <c r="F298" s="415">
        <f t="shared" si="31"/>
        <v>0.0007785775223012487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>
      <c r="A299" s="364">
        <v>6</v>
      </c>
      <c r="B299" s="360" t="s">
        <v>533</v>
      </c>
      <c r="C299" s="379">
        <f>IF(C224=0,0,C228/C224)</f>
        <v>7.714285714285714</v>
      </c>
      <c r="D299" s="379">
        <f>IF(LN_IG3=0,0,LN_IG6/LN_IG3)</f>
        <v>3.090909090909091</v>
      </c>
      <c r="E299" s="379">
        <f t="shared" si="30"/>
        <v>-4.623376623376624</v>
      </c>
      <c r="F299" s="415">
        <f t="shared" si="31"/>
        <v>-0.5993265993265994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>
      <c r="A300" s="364">
        <v>7</v>
      </c>
      <c r="B300" s="365" t="s">
        <v>830</v>
      </c>
      <c r="C300" s="379">
        <f>IF(C264=0,0,C274/C264)</f>
        <v>4.854376892028254</v>
      </c>
      <c r="D300" s="379">
        <f>IF(LN_IIA4=0,0,LN_IIA14/LN_IIA4)</f>
        <v>5.055883933369157</v>
      </c>
      <c r="E300" s="379">
        <f t="shared" si="30"/>
        <v>0.20150704134090258</v>
      </c>
      <c r="F300" s="415">
        <f t="shared" si="31"/>
        <v>0.04151038244925168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>
      <c r="A302" s="444" t="s">
        <v>250</v>
      </c>
      <c r="B302" s="446" t="s">
        <v>831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>
      <c r="A304" s="338">
        <v>1</v>
      </c>
      <c r="B304" s="365" t="s">
        <v>825</v>
      </c>
      <c r="C304" s="353">
        <f>C35+C66+C214+C221+C233</f>
        <v>989969511</v>
      </c>
      <c r="D304" s="353">
        <f>LN_IIA11</f>
        <v>1157017313</v>
      </c>
      <c r="E304" s="353">
        <f aca="true" t="shared" si="32" ref="E304:E316">D304-C304</f>
        <v>167047802</v>
      </c>
      <c r="F304" s="362">
        <f>IF(C304=0,0,E304/C304)</f>
        <v>0.1687403502268061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>
      <c r="A305" s="364">
        <v>2</v>
      </c>
      <c r="B305" s="357" t="s">
        <v>828</v>
      </c>
      <c r="C305" s="353">
        <f>C291</f>
        <v>357788950</v>
      </c>
      <c r="D305" s="353">
        <f>LN_IIB14</f>
        <v>434998662</v>
      </c>
      <c r="E305" s="353">
        <f t="shared" si="32"/>
        <v>77209712</v>
      </c>
      <c r="F305" s="362">
        <f>IF(C305=0,0,E305/C305)</f>
        <v>0.21579680423333364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>
      <c r="A306" s="364">
        <v>3</v>
      </c>
      <c r="B306" s="360" t="s">
        <v>832</v>
      </c>
      <c r="C306" s="353">
        <f>C250</f>
        <v>60540067</v>
      </c>
      <c r="D306" s="353">
        <f>LN_IH6</f>
        <v>59844468</v>
      </c>
      <c r="E306" s="353">
        <f t="shared" si="32"/>
        <v>-695599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>
      <c r="A307" s="364">
        <v>4</v>
      </c>
      <c r="B307" s="360" t="s">
        <v>833</v>
      </c>
      <c r="C307" s="353">
        <f>C73-C74</f>
        <v>212301233</v>
      </c>
      <c r="D307" s="353">
        <f>LN_IB32-LN_IB33</f>
        <v>235646501</v>
      </c>
      <c r="E307" s="353">
        <f t="shared" si="32"/>
        <v>23345268</v>
      </c>
      <c r="F307" s="362">
        <f aca="true" t="shared" si="33" ref="F307:F316">IF(C307=0,0,E307/C307)</f>
        <v>0.10996294119497647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>
      <c r="A308" s="364">
        <v>5</v>
      </c>
      <c r="B308" s="360" t="s">
        <v>834</v>
      </c>
      <c r="C308" s="353">
        <v>10338294</v>
      </c>
      <c r="D308" s="353">
        <v>12159825</v>
      </c>
      <c r="E308" s="353">
        <f t="shared" si="32"/>
        <v>1821531</v>
      </c>
      <c r="F308" s="362">
        <f t="shared" si="33"/>
        <v>0.1761926097284523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>
      <c r="A309" s="364">
        <v>6</v>
      </c>
      <c r="B309" s="357" t="s">
        <v>835</v>
      </c>
      <c r="C309" s="353">
        <f>C305+C307+C308+C306</f>
        <v>640968544</v>
      </c>
      <c r="D309" s="353">
        <f>LN_III2+LN_III3+LN_III4+LN_III5</f>
        <v>742649456</v>
      </c>
      <c r="E309" s="353">
        <f t="shared" si="32"/>
        <v>101680912</v>
      </c>
      <c r="F309" s="362">
        <f t="shared" si="33"/>
        <v>0.15863635267567827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>
      <c r="A310" s="364">
        <v>7</v>
      </c>
      <c r="B310" s="357" t="s">
        <v>836</v>
      </c>
      <c r="C310" s="353">
        <f>C304-C309</f>
        <v>349000967</v>
      </c>
      <c r="D310" s="353">
        <f>LN_III1-LN_III6</f>
        <v>414367857</v>
      </c>
      <c r="E310" s="353">
        <f t="shared" si="32"/>
        <v>65366890</v>
      </c>
      <c r="F310" s="362">
        <f t="shared" si="33"/>
        <v>0.18729716012506062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>
      <c r="A311" s="364">
        <v>8</v>
      </c>
      <c r="B311" s="360" t="s">
        <v>837</v>
      </c>
      <c r="C311" s="353">
        <f>C245</f>
        <v>3030349</v>
      </c>
      <c r="D311" s="353">
        <f>LN_IH3</f>
        <v>2936412</v>
      </c>
      <c r="E311" s="353">
        <f t="shared" si="32"/>
        <v>-93937</v>
      </c>
      <c r="F311" s="362">
        <f t="shared" si="33"/>
        <v>-0.030998739749118005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>
      <c r="A312" s="364">
        <v>9</v>
      </c>
      <c r="B312" s="365" t="s">
        <v>838</v>
      </c>
      <c r="C312" s="353">
        <f>C310+C311</f>
        <v>352031316</v>
      </c>
      <c r="D312" s="353">
        <f>LN_III7+LN_III8</f>
        <v>417304269</v>
      </c>
      <c r="E312" s="353">
        <f t="shared" si="32"/>
        <v>65272953</v>
      </c>
      <c r="F312" s="362">
        <f t="shared" si="33"/>
        <v>0.18541802968460908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>
      <c r="A313" s="364">
        <v>10</v>
      </c>
      <c r="B313" s="360" t="s">
        <v>839</v>
      </c>
      <c r="C313" s="448">
        <f>IF(C304=0,0,C312/C304)</f>
        <v>0.3555981392239059</v>
      </c>
      <c r="D313" s="448">
        <f>IF(LN_III1=0,0,LN_III9/LN_III1)</f>
        <v>0.36067245002409054</v>
      </c>
      <c r="E313" s="448">
        <f t="shared" si="32"/>
        <v>0.005074310800184667</v>
      </c>
      <c r="F313" s="362">
        <f t="shared" si="33"/>
        <v>0.014269790081746118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>
      <c r="A314" s="338">
        <v>11</v>
      </c>
      <c r="B314" s="360" t="s">
        <v>797</v>
      </c>
      <c r="C314" s="353">
        <f>C306*C313</f>
        <v>21527935.17369059</v>
      </c>
      <c r="D314" s="353">
        <f>D313*LN_III5</f>
        <v>21584250.893948287</v>
      </c>
      <c r="E314" s="353">
        <f t="shared" si="32"/>
        <v>56315.720257695764</v>
      </c>
      <c r="F314" s="362">
        <f t="shared" si="33"/>
        <v>0.0026159369118929493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>
      <c r="A315" s="338">
        <v>12</v>
      </c>
      <c r="B315" s="365" t="s">
        <v>800</v>
      </c>
      <c r="C315" s="353">
        <f>(C214*C313)-C215</f>
        <v>13513679.398613438</v>
      </c>
      <c r="D315" s="353">
        <f>D313*LN_IH8-LN_IH9</f>
        <v>22173819.14116364</v>
      </c>
      <c r="E315" s="353">
        <f t="shared" si="32"/>
        <v>8660139.742550202</v>
      </c>
      <c r="F315" s="362">
        <f t="shared" si="33"/>
        <v>0.6408424742885915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6" s="451" customFormat="1" ht="12.75" customHeight="1">
      <c r="A316" s="338">
        <v>13</v>
      </c>
      <c r="B316" s="360" t="s">
        <v>840</v>
      </c>
      <c r="C316" s="353">
        <v>-3352894</v>
      </c>
      <c r="D316" s="353">
        <v>0</v>
      </c>
      <c r="E316" s="353">
        <f t="shared" si="32"/>
        <v>3352894</v>
      </c>
      <c r="F316" s="362">
        <f t="shared" si="33"/>
        <v>-1</v>
      </c>
    </row>
    <row r="317" spans="1:21" ht="11.25" customHeight="1">
      <c r="A317" s="338">
        <v>14</v>
      </c>
      <c r="B317" s="360" t="s">
        <v>841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>
      <c r="A318" s="338"/>
      <c r="B318" s="360" t="s">
        <v>842</v>
      </c>
      <c r="C318" s="353">
        <f>C314+C315+C316</f>
        <v>31688720.572304025</v>
      </c>
      <c r="D318" s="353">
        <f>D314+D315+D316</f>
        <v>43758070.03511193</v>
      </c>
      <c r="E318" s="353">
        <f>D318-C318</f>
        <v>12069349.462807901</v>
      </c>
      <c r="F318" s="362">
        <f>IF(C318=0,0,E318/C318)</f>
        <v>0.3808720972268134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>
      <c r="A320" s="444" t="s">
        <v>259</v>
      </c>
      <c r="B320" s="445" t="s">
        <v>843</v>
      </c>
      <c r="C320" s="453"/>
      <c r="D320" s="333"/>
      <c r="E320" s="333"/>
      <c r="F320" s="333"/>
      <c r="Q320" s="330"/>
      <c r="U320" s="350"/>
    </row>
    <row r="321" spans="1:21" ht="15" customHeight="1">
      <c r="A321" s="444"/>
      <c r="B321" s="445"/>
      <c r="C321" s="333"/>
      <c r="D321" s="333"/>
      <c r="E321" s="333"/>
      <c r="F321" s="333"/>
      <c r="Q321" s="330"/>
      <c r="U321" s="350"/>
    </row>
    <row r="322" spans="1:21" ht="11.25" customHeight="1">
      <c r="A322" s="364">
        <v>1</v>
      </c>
      <c r="B322" s="357" t="s">
        <v>229</v>
      </c>
      <c r="C322" s="353">
        <f>C141</f>
        <v>6636923.1188052315</v>
      </c>
      <c r="D322" s="353">
        <f>LN_ID22</f>
        <v>6010231.453392112</v>
      </c>
      <c r="E322" s="353">
        <f>LN_IV2-C322</f>
        <v>-626691.6654131198</v>
      </c>
      <c r="F322" s="362">
        <f>IF(C322=0,0,E322/C322)</f>
        <v>-0.09442503012238236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1" ht="11.25" customHeight="1">
      <c r="A323" s="364">
        <v>2</v>
      </c>
      <c r="B323" s="357" t="s">
        <v>829</v>
      </c>
      <c r="C323" s="353">
        <f>C162+C176</f>
        <v>1136470.8659915118</v>
      </c>
      <c r="D323" s="353">
        <f>LN_IE10+LN_IE22</f>
        <v>3903732.7991423546</v>
      </c>
      <c r="E323" s="353">
        <f>LN_IV3-C323</f>
        <v>2767261.933150843</v>
      </c>
      <c r="F323" s="362">
        <f>IF(C323=0,0,E323/C323)</f>
        <v>2.434960733231424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1" ht="11.25" customHeight="1">
      <c r="A324" s="338">
        <v>3</v>
      </c>
      <c r="B324" s="454" t="s">
        <v>844</v>
      </c>
      <c r="C324" s="353">
        <f>C92+C106</f>
        <v>10562929.47299033</v>
      </c>
      <c r="D324" s="353">
        <f>LN_IC10+LN_IC22</f>
        <v>11504798.506866131</v>
      </c>
      <c r="E324" s="353">
        <f>LN_IV1-C324</f>
        <v>941869.0338758007</v>
      </c>
      <c r="F324" s="362">
        <f>IF(C324=0,0,E324/C324)</f>
        <v>0.08916740723150551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1" ht="11.25" customHeight="1">
      <c r="A325" s="364">
        <v>4</v>
      </c>
      <c r="B325" s="455" t="s">
        <v>845</v>
      </c>
      <c r="C325" s="429">
        <f>C324+C322+C323</f>
        <v>18336323.457787074</v>
      </c>
      <c r="D325" s="429">
        <f>LN_IV1+LN_IV2+LN_IV3</f>
        <v>21418762.759400595</v>
      </c>
      <c r="E325" s="353">
        <f>LN_IV4-C325</f>
        <v>3082439.301613521</v>
      </c>
      <c r="F325" s="362">
        <f>IF(C325=0,0,E325/C325)</f>
        <v>0.16810563517325333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2:22" ht="11.25" customHeight="1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6" s="453" customFormat="1" ht="15" customHeight="1">
      <c r="A327" s="444" t="s">
        <v>846</v>
      </c>
      <c r="B327" s="446" t="s">
        <v>847</v>
      </c>
      <c r="C327" s="333"/>
      <c r="D327" s="333"/>
      <c r="E327" s="333"/>
      <c r="F327" s="459"/>
    </row>
    <row r="328" spans="1:6" s="453" customFormat="1" ht="14.25" customHeight="1">
      <c r="A328" s="460"/>
      <c r="B328" s="358"/>
      <c r="C328" s="333"/>
      <c r="D328" s="333"/>
      <c r="E328" s="333"/>
      <c r="F328" s="339"/>
    </row>
    <row r="329" spans="1:6" s="333" customFormat="1" ht="11.25" customHeight="1">
      <c r="A329" s="364">
        <v>1</v>
      </c>
      <c r="B329" s="360" t="s">
        <v>848</v>
      </c>
      <c r="C329" s="431">
        <v>17205916</v>
      </c>
      <c r="D329" s="431">
        <v>19743013</v>
      </c>
      <c r="E329" s="431">
        <f aca="true" t="shared" si="34" ref="E329:E335">D329-C329</f>
        <v>2537097</v>
      </c>
      <c r="F329" s="462">
        <f aca="true" t="shared" si="35" ref="F329:F335">IF(C329=0,0,E329/C329)</f>
        <v>0.14745492190011855</v>
      </c>
    </row>
    <row r="330" spans="1:6" s="333" customFormat="1" ht="11.25" customHeight="1">
      <c r="A330" s="364">
        <v>2</v>
      </c>
      <c r="B330" s="360" t="s">
        <v>849</v>
      </c>
      <c r="C330" s="429">
        <v>36618093</v>
      </c>
      <c r="D330" s="429">
        <v>32545056</v>
      </c>
      <c r="E330" s="431">
        <f t="shared" si="34"/>
        <v>-4073037</v>
      </c>
      <c r="F330" s="463">
        <f t="shared" si="35"/>
        <v>-0.11123017793417041</v>
      </c>
    </row>
    <row r="331" spans="1:6" s="333" customFormat="1" ht="11.25" customHeight="1">
      <c r="A331" s="339">
        <v>3</v>
      </c>
      <c r="B331" s="360" t="s">
        <v>850</v>
      </c>
      <c r="C331" s="429">
        <v>384330000</v>
      </c>
      <c r="D331" s="429">
        <v>416938000</v>
      </c>
      <c r="E331" s="431">
        <f t="shared" si="34"/>
        <v>32608000</v>
      </c>
      <c r="F331" s="462">
        <f t="shared" si="35"/>
        <v>0.08484375406551661</v>
      </c>
    </row>
    <row r="332" spans="1:6" s="333" customFormat="1" ht="11.25" customHeight="1">
      <c r="A332" s="364">
        <v>4</v>
      </c>
      <c r="B332" s="360" t="s">
        <v>851</v>
      </c>
      <c r="C332" s="429">
        <v>5391425</v>
      </c>
      <c r="D332" s="429">
        <v>0</v>
      </c>
      <c r="E332" s="431">
        <f t="shared" si="34"/>
        <v>-5391425</v>
      </c>
      <c r="F332" s="463">
        <f t="shared" si="35"/>
        <v>-1</v>
      </c>
    </row>
    <row r="333" spans="1:6" s="333" customFormat="1" ht="11.25" customHeight="1">
      <c r="A333" s="364">
        <v>5</v>
      </c>
      <c r="B333" s="360" t="s">
        <v>852</v>
      </c>
      <c r="C333" s="429">
        <v>995361000</v>
      </c>
      <c r="D333" s="429">
        <v>1157017000</v>
      </c>
      <c r="E333" s="431">
        <f t="shared" si="34"/>
        <v>161656000</v>
      </c>
      <c r="F333" s="462">
        <f t="shared" si="35"/>
        <v>0.16240941728679342</v>
      </c>
    </row>
    <row r="334" spans="1:6" s="333" customFormat="1" ht="11.25" customHeight="1">
      <c r="A334" s="339">
        <v>6</v>
      </c>
      <c r="B334" s="360" t="s">
        <v>853</v>
      </c>
      <c r="C334" s="429">
        <v>0</v>
      </c>
      <c r="D334" s="429">
        <v>0</v>
      </c>
      <c r="E334" s="429">
        <f t="shared" si="34"/>
        <v>0</v>
      </c>
      <c r="F334" s="463">
        <f t="shared" si="35"/>
        <v>0</v>
      </c>
    </row>
    <row r="335" spans="1:6" s="333" customFormat="1" ht="11.25" customHeight="1">
      <c r="A335" s="364">
        <v>7</v>
      </c>
      <c r="B335" s="360" t="s">
        <v>854</v>
      </c>
      <c r="C335" s="429">
        <v>60540067</v>
      </c>
      <c r="D335" s="429">
        <v>59844900</v>
      </c>
      <c r="E335" s="429">
        <f t="shared" si="34"/>
        <v>-695167</v>
      </c>
      <c r="F335" s="462">
        <f t="shared" si="35"/>
        <v>-0.011482759013134227</v>
      </c>
    </row>
    <row r="336" spans="1:6" s="453" customFormat="1" ht="14.25" customHeight="1">
      <c r="A336" s="464"/>
      <c r="B336" s="458"/>
      <c r="C336" s="465"/>
      <c r="F336" s="459"/>
    </row>
    <row r="337" spans="1:17" ht="12.75" customHeight="1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2:17" ht="11.25" customHeight="1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2:17" ht="11.25" customHeight="1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2:17" ht="11.25" customHeight="1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2:17" ht="11.25" customHeight="1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2:17" ht="11.25" customHeight="1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2:17" ht="11.25" customHeight="1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2:17" ht="11.25" customHeight="1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2:17" ht="11.25" customHeight="1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2:17" ht="11.25" customHeight="1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2:17" ht="11.25" customHeight="1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2:17" ht="11.25" customHeight="1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2:17" ht="11.25" customHeight="1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2:17" ht="11.25" customHeight="1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2:17" ht="11.25" customHeight="1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2:17" ht="11.25" customHeight="1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6" ht="11.25" customHeight="1">
      <c r="B386" s="360"/>
      <c r="C386" s="454"/>
      <c r="D386" s="361"/>
      <c r="E386" s="361"/>
      <c r="F386" s="361"/>
    </row>
    <row r="387" spans="2:6" ht="11.25" customHeight="1">
      <c r="B387" s="360"/>
      <c r="C387" s="457"/>
      <c r="D387" s="371"/>
      <c r="E387" s="371"/>
      <c r="F387" s="371"/>
    </row>
    <row r="388" spans="2:6" ht="11.25" customHeight="1">
      <c r="B388" s="360"/>
      <c r="C388" s="474"/>
      <c r="D388" s="369"/>
      <c r="E388" s="369"/>
      <c r="F388" s="369"/>
    </row>
    <row r="389" spans="2:6" ht="11.25" customHeight="1">
      <c r="B389" s="360"/>
      <c r="C389" s="471"/>
      <c r="D389" s="472"/>
      <c r="E389" s="472"/>
      <c r="F389" s="472"/>
    </row>
    <row r="390" spans="2:17" ht="11.25" customHeight="1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6" ht="11.25" customHeight="1">
      <c r="B394" s="360"/>
      <c r="C394" s="474"/>
      <c r="D394" s="369"/>
      <c r="E394" s="369"/>
      <c r="F394" s="369"/>
    </row>
    <row r="395" spans="2:17" ht="11.25" customHeight="1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>
      <c r="B396" s="360"/>
      <c r="C396" s="485"/>
      <c r="D396" s="486"/>
      <c r="E396" s="486"/>
      <c r="F396" s="369"/>
      <c r="Q396" s="400"/>
    </row>
    <row r="397" spans="2:6" ht="11.25" customHeight="1">
      <c r="B397" s="360"/>
      <c r="C397" s="454"/>
      <c r="D397" s="361"/>
      <c r="E397" s="361"/>
      <c r="F397" s="361"/>
    </row>
    <row r="398" spans="2:6" ht="11.25" customHeight="1">
      <c r="B398" s="418"/>
      <c r="C398" s="478"/>
      <c r="D398" s="361"/>
      <c r="E398" s="361"/>
      <c r="F398" s="361"/>
    </row>
    <row r="399" spans="2:6" ht="11.25" customHeight="1">
      <c r="B399" s="360"/>
      <c r="C399" s="454"/>
      <c r="D399" s="361"/>
      <c r="E399" s="361"/>
      <c r="F399" s="361"/>
    </row>
    <row r="400" spans="2:6" ht="11.25" customHeight="1">
      <c r="B400" s="360"/>
      <c r="C400" s="454"/>
      <c r="D400" s="361"/>
      <c r="E400" s="361"/>
      <c r="F400" s="361"/>
    </row>
    <row r="401" spans="2:6" ht="11.25" customHeight="1">
      <c r="B401" s="360"/>
      <c r="C401" s="487"/>
      <c r="D401" s="395"/>
      <c r="E401" s="395"/>
      <c r="F401" s="395"/>
    </row>
    <row r="402" spans="2:6" ht="11.25" customHeight="1">
      <c r="B402" s="360"/>
      <c r="C402" s="457"/>
      <c r="D402" s="415"/>
      <c r="E402" s="415"/>
      <c r="F402" s="415"/>
    </row>
    <row r="403" spans="2:6" ht="11.25" customHeight="1">
      <c r="B403" s="360"/>
      <c r="C403" s="485"/>
      <c r="D403" s="486"/>
      <c r="E403" s="486"/>
      <c r="F403" s="486"/>
    </row>
    <row r="404" spans="2:6" ht="11.25" customHeight="1">
      <c r="B404" s="360"/>
      <c r="C404" s="454"/>
      <c r="D404" s="361"/>
      <c r="E404" s="361"/>
      <c r="F404" s="361"/>
    </row>
    <row r="405" spans="2:6" ht="11.25" customHeight="1">
      <c r="B405" s="360"/>
      <c r="C405" s="454"/>
      <c r="D405" s="361"/>
      <c r="E405" s="361"/>
      <c r="F405" s="361"/>
    </row>
    <row r="406" spans="2:6" ht="11.25" customHeight="1">
      <c r="B406" s="360"/>
      <c r="C406" s="454"/>
      <c r="D406" s="361"/>
      <c r="E406" s="361"/>
      <c r="F406" s="361"/>
    </row>
    <row r="407" spans="2:6" ht="11.25" customHeight="1">
      <c r="B407" s="360"/>
      <c r="C407" s="454"/>
      <c r="D407" s="361"/>
      <c r="E407" s="361"/>
      <c r="F407" s="361"/>
    </row>
    <row r="408" spans="2:6" ht="11.25" customHeight="1">
      <c r="B408" s="418"/>
      <c r="C408" s="454"/>
      <c r="D408" s="361"/>
      <c r="E408" s="361"/>
      <c r="F408" s="361"/>
    </row>
    <row r="409" spans="2:6" ht="11.25" customHeight="1">
      <c r="B409" s="360"/>
      <c r="C409" s="454"/>
      <c r="D409" s="361"/>
      <c r="E409" s="361"/>
      <c r="F409" s="361"/>
    </row>
    <row r="410" spans="2:6" ht="11.25" customHeight="1">
      <c r="B410" s="360"/>
      <c r="C410" s="454"/>
      <c r="D410" s="361"/>
      <c r="E410" s="361"/>
      <c r="F410" s="361"/>
    </row>
    <row r="411" spans="2:6" ht="11.25" customHeight="1">
      <c r="B411" s="360"/>
      <c r="C411" s="454"/>
      <c r="D411" s="361"/>
      <c r="E411" s="361"/>
      <c r="F411" s="361"/>
    </row>
    <row r="412" spans="2:6" ht="11.25" customHeight="1">
      <c r="B412" s="360"/>
      <c r="C412" s="454"/>
      <c r="D412" s="361"/>
      <c r="E412" s="361"/>
      <c r="F412" s="361"/>
    </row>
    <row r="413" spans="2:6" ht="11.25" customHeight="1">
      <c r="B413" s="418"/>
      <c r="C413" s="357"/>
      <c r="D413" s="333"/>
      <c r="E413" s="333"/>
      <c r="F413" s="333"/>
    </row>
    <row r="414" spans="2:6" ht="11.25" customHeight="1">
      <c r="B414" s="360"/>
      <c r="C414" s="482"/>
      <c r="D414" s="386"/>
      <c r="E414" s="386"/>
      <c r="F414" s="386"/>
    </row>
    <row r="415" spans="2:6" ht="11.25" customHeight="1">
      <c r="B415" s="360"/>
      <c r="C415" s="482"/>
      <c r="D415" s="386"/>
      <c r="E415" s="386"/>
      <c r="F415" s="386"/>
    </row>
    <row r="416" spans="2:6" ht="11.25" customHeight="1">
      <c r="B416" s="360"/>
      <c r="C416" s="482"/>
      <c r="D416" s="386"/>
      <c r="E416" s="386"/>
      <c r="F416" s="386"/>
    </row>
    <row r="417" spans="2:6" ht="11.25" customHeight="1">
      <c r="B417" s="360"/>
      <c r="C417" s="482"/>
      <c r="D417" s="386"/>
      <c r="E417" s="386"/>
      <c r="F417" s="386"/>
    </row>
    <row r="418" spans="2:6" ht="11.25" customHeight="1">
      <c r="B418" s="360"/>
      <c r="C418" s="482"/>
      <c r="D418" s="386"/>
      <c r="E418" s="386"/>
      <c r="F418" s="386"/>
    </row>
    <row r="419" spans="2:6" ht="11.25" customHeight="1">
      <c r="B419" s="360"/>
      <c r="C419" s="482"/>
      <c r="D419" s="386"/>
      <c r="E419" s="386"/>
      <c r="F419" s="386"/>
    </row>
    <row r="420" spans="2:6" ht="11.25" customHeight="1">
      <c r="B420" s="360"/>
      <c r="C420" s="482"/>
      <c r="D420" s="386"/>
      <c r="E420" s="386"/>
      <c r="F420" s="386"/>
    </row>
    <row r="421" spans="2:6" ht="11.25" customHeight="1">
      <c r="B421" s="360"/>
      <c r="C421" s="454"/>
      <c r="D421" s="353"/>
      <c r="E421" s="353"/>
      <c r="F421" s="361"/>
    </row>
    <row r="422" spans="2:6" ht="11.25" customHeight="1">
      <c r="B422" s="360"/>
      <c r="C422" s="454"/>
      <c r="D422" s="353"/>
      <c r="E422" s="353"/>
      <c r="F422" s="361"/>
    </row>
    <row r="423" spans="2:6" ht="15" customHeight="1">
      <c r="B423" s="407"/>
      <c r="C423" s="482"/>
      <c r="D423" s="386"/>
      <c r="E423" s="386"/>
      <c r="F423" s="386"/>
    </row>
    <row r="424" spans="2:6" ht="15" customHeight="1">
      <c r="B424" s="407"/>
      <c r="C424" s="482"/>
      <c r="D424" s="386"/>
      <c r="E424" s="386"/>
      <c r="F424" s="386"/>
    </row>
    <row r="425" spans="2:6" ht="11.25" customHeight="1">
      <c r="B425" s="418"/>
      <c r="C425" s="360"/>
      <c r="D425" s="408"/>
      <c r="E425" s="408"/>
      <c r="F425" s="408"/>
    </row>
    <row r="426" spans="2:6" ht="11.25" customHeight="1">
      <c r="B426" s="360"/>
      <c r="C426" s="454"/>
      <c r="D426" s="361"/>
      <c r="E426" s="361"/>
      <c r="F426" s="361"/>
    </row>
    <row r="427" spans="2:17" ht="11.25" customHeight="1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6" ht="11.25" customHeight="1">
      <c r="B432" s="360"/>
      <c r="C432" s="454"/>
      <c r="D432" s="361"/>
      <c r="E432" s="361"/>
      <c r="F432" s="361"/>
    </row>
    <row r="433" spans="2:17" ht="11.25" customHeight="1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2:17" ht="11.25" customHeight="1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2:17" ht="11.25" customHeight="1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2:17" ht="11.25" customHeight="1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2:17" ht="11.25" customHeight="1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2:17" ht="11.25" customHeight="1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2:17" ht="11.25" customHeight="1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2:17" ht="11.25" customHeight="1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2:17" ht="11.25" customHeight="1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2:17" ht="11.25" customHeight="1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2:17" ht="11.25" customHeight="1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sheetProtection/>
  <mergeCells count="5">
    <mergeCell ref="A5:F5"/>
    <mergeCell ref="A1:F1"/>
    <mergeCell ref="A2:F2"/>
    <mergeCell ref="A3:F3"/>
    <mergeCell ref="A4:F4"/>
  </mergeCells>
  <printOptions gridLines="1"/>
  <pageMargins left="0.25" right="0.25" top="0.5" bottom="0.5" header="0.25" footer="0.25"/>
  <pageSetup horizontalDpi="1200" verticalDpi="1200" orientation="portrait" paperSize="9" scale="80"/>
  <headerFooter alignWithMargins="0">
    <oddHeader>&amp;LOFFICE OF HEALTH CARE ACCESS&amp;CTWELVE MONTHS ACTUAL FILING&amp;RSTAMFORD HOSPITAL</oddHeader>
    <oddFooter>&amp;L&amp;"Arial,Regular"REPORT 500&amp;C&amp;"Arial,Regular"&amp;P of &amp;N&amp;R&amp;"Arial,Regular"&amp;D, &amp;T</oddFooter>
  </headerFooter>
  <rowBreaks count="8" manualBreakCount="8">
    <brk id="38" max="255" man="1"/>
    <brk id="77" max="255" man="1"/>
    <brk id="114" max="255" man="1"/>
    <brk id="149" max="255" man="1"/>
    <brk id="184" max="255" man="1"/>
    <brk id="217" max="255" man="1"/>
    <brk id="257" max="255" man="1"/>
    <brk id="30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E333"/>
  <sheetViews>
    <sheetView zoomScale="75" zoomScaleNormal="75" zoomScaleSheetLayoutView="68" zoomScalePageLayoutView="0" workbookViewId="0" topLeftCell="A1">
      <selection activeCell="A1" sqref="A1"/>
    </sheetView>
  </sheetViews>
  <sheetFormatPr defaultColWidth="9.140625" defaultRowHeight="12.75"/>
  <cols>
    <col min="1" max="1" width="5.28125" style="330" bestFit="1" customWidth="1"/>
    <col min="2" max="2" width="82.57421875" style="331" customWidth="1"/>
    <col min="3" max="3" width="17.00390625" style="331" bestFit="1" customWidth="1"/>
    <col min="4" max="4" width="16.140625" style="330" bestFit="1" customWidth="1"/>
    <col min="5" max="5" width="16.7109375" style="488" bestFit="1" customWidth="1"/>
    <col min="6" max="16384" width="9.140625" style="330" customWidth="1"/>
  </cols>
  <sheetData>
    <row r="1" spans="1:4" ht="12.75">
      <c r="A1" s="333"/>
      <c r="B1" s="357"/>
      <c r="C1" s="357"/>
      <c r="D1" s="333"/>
    </row>
    <row r="2" spans="1:5" s="338" customFormat="1" ht="15.75" customHeight="1">
      <c r="A2" s="710" t="s">
        <v>115</v>
      </c>
      <c r="B2" s="710"/>
      <c r="C2" s="710"/>
      <c r="D2" s="710"/>
      <c r="E2" s="710"/>
    </row>
    <row r="3" spans="1:5" s="338" customFormat="1" ht="15.75" customHeight="1">
      <c r="A3" s="709" t="s">
        <v>707</v>
      </c>
      <c r="B3" s="709"/>
      <c r="C3" s="709"/>
      <c r="D3" s="709"/>
      <c r="E3" s="709"/>
    </row>
    <row r="4" spans="1:5" s="338" customFormat="1" ht="15.75" customHeight="1">
      <c r="A4" s="709" t="s">
        <v>117</v>
      </c>
      <c r="B4" s="709"/>
      <c r="C4" s="709"/>
      <c r="D4" s="709"/>
      <c r="E4" s="709"/>
    </row>
    <row r="5" spans="1:5" s="338" customFormat="1" ht="15.75" customHeight="1">
      <c r="A5" s="709" t="s">
        <v>855</v>
      </c>
      <c r="B5" s="709"/>
      <c r="C5" s="709"/>
      <c r="D5" s="709"/>
      <c r="E5" s="709"/>
    </row>
    <row r="6" spans="1:5" s="338" customFormat="1" ht="15.75" customHeight="1">
      <c r="A6" s="709" t="s">
        <v>856</v>
      </c>
      <c r="B6" s="709"/>
      <c r="C6" s="709"/>
      <c r="D6" s="709"/>
      <c r="E6" s="709"/>
    </row>
    <row r="7" spans="1:5" s="338" customFormat="1" ht="15.75" customHeight="1">
      <c r="A7" s="489"/>
      <c r="B7" s="123"/>
      <c r="C7" s="490"/>
      <c r="D7" s="489"/>
      <c r="E7" s="345"/>
    </row>
    <row r="8" spans="1:5" s="338" customFormat="1" ht="12.75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25" customHeight="1">
      <c r="A9" s="492" t="s">
        <v>123</v>
      </c>
      <c r="B9" s="493" t="s">
        <v>124</v>
      </c>
      <c r="C9" s="494" t="s">
        <v>857</v>
      </c>
      <c r="D9" s="494" t="s">
        <v>858</v>
      </c>
      <c r="E9" s="495" t="s">
        <v>859</v>
      </c>
    </row>
    <row r="10" spans="1:5" s="338" customFormat="1" ht="12.75">
      <c r="A10" s="496"/>
      <c r="B10" s="497"/>
      <c r="C10" s="498"/>
      <c r="D10" s="498"/>
      <c r="E10" s="499"/>
    </row>
    <row r="11" spans="1:5" s="338" customFormat="1" ht="15.75" customHeight="1">
      <c r="A11" s="500" t="s">
        <v>127</v>
      </c>
      <c r="B11" s="501" t="s">
        <v>860</v>
      </c>
      <c r="C11" s="502"/>
      <c r="D11" s="491"/>
      <c r="E11" s="499"/>
    </row>
    <row r="12" spans="1:5" s="503" customFormat="1" ht="12.75">
      <c r="A12" s="504"/>
      <c r="B12" s="499"/>
      <c r="C12" s="505"/>
      <c r="D12" s="340"/>
      <c r="E12" s="499"/>
    </row>
    <row r="13" spans="1:5" s="506" customFormat="1" ht="12.75">
      <c r="A13" s="508" t="s">
        <v>129</v>
      </c>
      <c r="B13" s="509" t="s">
        <v>861</v>
      </c>
      <c r="C13" s="510"/>
      <c r="D13" s="340"/>
      <c r="E13" s="511"/>
    </row>
    <row r="14" spans="1:5" s="506" customFormat="1" ht="12.75">
      <c r="A14" s="512">
        <v>1</v>
      </c>
      <c r="B14" s="511" t="s">
        <v>737</v>
      </c>
      <c r="C14" s="513">
        <v>186448095</v>
      </c>
      <c r="D14" s="513">
        <v>198915175</v>
      </c>
      <c r="E14" s="514">
        <f aca="true" t="shared" si="0" ref="E14:E22">D14-C14</f>
        <v>12467080</v>
      </c>
    </row>
    <row r="15" spans="1:5" s="506" customFormat="1" ht="12.75">
      <c r="A15" s="512">
        <v>2</v>
      </c>
      <c r="B15" s="511" t="s">
        <v>716</v>
      </c>
      <c r="C15" s="513">
        <v>233292994</v>
      </c>
      <c r="D15" s="515">
        <v>245697432</v>
      </c>
      <c r="E15" s="514">
        <f t="shared" si="0"/>
        <v>12404438</v>
      </c>
    </row>
    <row r="16" spans="1:5" s="506" customFormat="1" ht="12.75">
      <c r="A16" s="512">
        <v>3</v>
      </c>
      <c r="B16" s="511" t="s">
        <v>862</v>
      </c>
      <c r="C16" s="513">
        <v>54284363</v>
      </c>
      <c r="D16" s="515">
        <v>74181193</v>
      </c>
      <c r="E16" s="514">
        <f t="shared" si="0"/>
        <v>19896830</v>
      </c>
    </row>
    <row r="17" spans="1:5" s="506" customFormat="1" ht="12.75">
      <c r="A17" s="512">
        <v>4</v>
      </c>
      <c r="B17" s="511" t="s">
        <v>229</v>
      </c>
      <c r="C17" s="513">
        <v>38833998</v>
      </c>
      <c r="D17" s="515">
        <v>53088283</v>
      </c>
      <c r="E17" s="514">
        <f t="shared" si="0"/>
        <v>14254285</v>
      </c>
    </row>
    <row r="18" spans="1:5" s="506" customFormat="1" ht="12.75">
      <c r="A18" s="512">
        <v>5</v>
      </c>
      <c r="B18" s="511" t="s">
        <v>829</v>
      </c>
      <c r="C18" s="513">
        <v>15450365</v>
      </c>
      <c r="D18" s="515">
        <v>21092910</v>
      </c>
      <c r="E18" s="514">
        <f t="shared" si="0"/>
        <v>5642545</v>
      </c>
    </row>
    <row r="19" spans="1:5" s="506" customFormat="1" ht="12.75">
      <c r="A19" s="512">
        <v>6</v>
      </c>
      <c r="B19" s="511" t="s">
        <v>533</v>
      </c>
      <c r="C19" s="513">
        <v>372628</v>
      </c>
      <c r="D19" s="515">
        <v>235250</v>
      </c>
      <c r="E19" s="514">
        <f t="shared" si="0"/>
        <v>-137378</v>
      </c>
    </row>
    <row r="20" spans="1:5" s="506" customFormat="1" ht="12.75">
      <c r="A20" s="512">
        <v>7</v>
      </c>
      <c r="B20" s="511" t="s">
        <v>844</v>
      </c>
      <c r="C20" s="513">
        <v>17076371</v>
      </c>
      <c r="D20" s="515">
        <v>21486553</v>
      </c>
      <c r="E20" s="514">
        <f t="shared" si="0"/>
        <v>4410182</v>
      </c>
    </row>
    <row r="21" spans="1:5" s="506" customFormat="1" ht="12.75">
      <c r="A21" s="512"/>
      <c r="B21" s="516" t="s">
        <v>863</v>
      </c>
      <c r="C21" s="517">
        <f>SUM(C15+C16+C19)</f>
        <v>287949985</v>
      </c>
      <c r="D21" s="517">
        <f>SUM(D15+D16+D19)</f>
        <v>320113875</v>
      </c>
      <c r="E21" s="517">
        <f t="shared" si="0"/>
        <v>32163890</v>
      </c>
    </row>
    <row r="22" spans="1:5" s="506" customFormat="1" ht="12.75">
      <c r="A22" s="512"/>
      <c r="B22" s="516" t="s">
        <v>803</v>
      </c>
      <c r="C22" s="517">
        <f>SUM(C14+C21)</f>
        <v>474398080</v>
      </c>
      <c r="D22" s="517">
        <f>SUM(D14+D21)</f>
        <v>519029050</v>
      </c>
      <c r="E22" s="517">
        <f t="shared" si="0"/>
        <v>44630970</v>
      </c>
    </row>
    <row r="23" spans="1:5" s="506" customFormat="1" ht="12.75">
      <c r="A23" s="512"/>
      <c r="B23" s="511"/>
      <c r="C23" s="511"/>
      <c r="D23" s="511"/>
      <c r="E23" s="511"/>
    </row>
    <row r="24" spans="1:5" s="506" customFormat="1" ht="12.75">
      <c r="A24" s="508" t="s">
        <v>141</v>
      </c>
      <c r="B24" s="509" t="s">
        <v>864</v>
      </c>
      <c r="C24" s="511"/>
      <c r="D24" s="511"/>
      <c r="E24" s="511"/>
    </row>
    <row r="25" spans="1:5" s="506" customFormat="1" ht="12.75">
      <c r="A25" s="512">
        <v>1</v>
      </c>
      <c r="B25" s="511" t="s">
        <v>737</v>
      </c>
      <c r="C25" s="513">
        <v>332937332</v>
      </c>
      <c r="D25" s="513">
        <v>401367818</v>
      </c>
      <c r="E25" s="514">
        <f aca="true" t="shared" si="1" ref="E25:E33">D25-C25</f>
        <v>68430486</v>
      </c>
    </row>
    <row r="26" spans="1:5" s="506" customFormat="1" ht="12.75">
      <c r="A26" s="512">
        <v>2</v>
      </c>
      <c r="B26" s="511" t="s">
        <v>716</v>
      </c>
      <c r="C26" s="513">
        <v>140784852</v>
      </c>
      <c r="D26" s="515">
        <v>178219659</v>
      </c>
      <c r="E26" s="514">
        <f t="shared" si="1"/>
        <v>37434807</v>
      </c>
    </row>
    <row r="27" spans="1:5" s="506" customFormat="1" ht="12.75">
      <c r="A27" s="512">
        <v>3</v>
      </c>
      <c r="B27" s="511" t="s">
        <v>862</v>
      </c>
      <c r="C27" s="513">
        <v>41708587</v>
      </c>
      <c r="D27" s="515">
        <v>58059149</v>
      </c>
      <c r="E27" s="514">
        <f t="shared" si="1"/>
        <v>16350562</v>
      </c>
    </row>
    <row r="28" spans="1:5" s="506" customFormat="1" ht="12.75">
      <c r="A28" s="512">
        <v>4</v>
      </c>
      <c r="B28" s="511" t="s">
        <v>229</v>
      </c>
      <c r="C28" s="513">
        <v>34094061</v>
      </c>
      <c r="D28" s="515">
        <v>45867653</v>
      </c>
      <c r="E28" s="514">
        <f t="shared" si="1"/>
        <v>11773592</v>
      </c>
    </row>
    <row r="29" spans="1:5" s="506" customFormat="1" ht="12.75">
      <c r="A29" s="512">
        <v>5</v>
      </c>
      <c r="B29" s="511" t="s">
        <v>829</v>
      </c>
      <c r="C29" s="513">
        <v>7614526</v>
      </c>
      <c r="D29" s="515">
        <v>12191496</v>
      </c>
      <c r="E29" s="514">
        <f t="shared" si="1"/>
        <v>4576970</v>
      </c>
    </row>
    <row r="30" spans="1:5" s="506" customFormat="1" ht="12.75">
      <c r="A30" s="512">
        <v>6</v>
      </c>
      <c r="B30" s="511" t="s">
        <v>533</v>
      </c>
      <c r="C30" s="513">
        <v>140660</v>
      </c>
      <c r="D30" s="515">
        <v>341637</v>
      </c>
      <c r="E30" s="514">
        <f t="shared" si="1"/>
        <v>200977</v>
      </c>
    </row>
    <row r="31" spans="1:5" s="506" customFormat="1" ht="12.75">
      <c r="A31" s="512">
        <v>7</v>
      </c>
      <c r="B31" s="511" t="s">
        <v>844</v>
      </c>
      <c r="C31" s="514">
        <v>35308931</v>
      </c>
      <c r="D31" s="518">
        <v>38147950</v>
      </c>
      <c r="E31" s="514">
        <f t="shared" si="1"/>
        <v>2839019</v>
      </c>
    </row>
    <row r="32" spans="1:5" s="506" customFormat="1" ht="12.75">
      <c r="A32" s="512"/>
      <c r="B32" s="516" t="s">
        <v>865</v>
      </c>
      <c r="C32" s="517">
        <f>SUM(C26+C27+C30)</f>
        <v>182634099</v>
      </c>
      <c r="D32" s="517">
        <f>SUM(D26+D27+D30)</f>
        <v>236620445</v>
      </c>
      <c r="E32" s="517">
        <f t="shared" si="1"/>
        <v>53986346</v>
      </c>
    </row>
    <row r="33" spans="1:5" s="506" customFormat="1" ht="12.75">
      <c r="A33" s="512"/>
      <c r="B33" s="516" t="s">
        <v>809</v>
      </c>
      <c r="C33" s="517">
        <f>SUM(C25+C32)</f>
        <v>515571431</v>
      </c>
      <c r="D33" s="517">
        <f>SUM(D25+D32)</f>
        <v>637988263</v>
      </c>
      <c r="E33" s="517">
        <f t="shared" si="1"/>
        <v>122416832</v>
      </c>
    </row>
    <row r="34" spans="1:5" s="506" customFormat="1" ht="12.75">
      <c r="A34" s="512"/>
      <c r="B34" s="511"/>
      <c r="C34" s="511"/>
      <c r="D34" s="511"/>
      <c r="E34" s="511"/>
    </row>
    <row r="35" spans="1:5" s="506" customFormat="1" ht="12.75">
      <c r="A35" s="508" t="s">
        <v>151</v>
      </c>
      <c r="B35" s="509" t="s">
        <v>734</v>
      </c>
      <c r="C35" s="514"/>
      <c r="D35" s="514"/>
      <c r="E35" s="511"/>
    </row>
    <row r="36" spans="1:5" s="506" customFormat="1" ht="12.75">
      <c r="A36" s="512">
        <v>1</v>
      </c>
      <c r="B36" s="511" t="s">
        <v>866</v>
      </c>
      <c r="C36" s="514">
        <f aca="true" t="shared" si="2" ref="C36:D42">C14+C25</f>
        <v>519385427</v>
      </c>
      <c r="D36" s="514">
        <f t="shared" si="2"/>
        <v>600282993</v>
      </c>
      <c r="E36" s="514">
        <f aca="true" t="shared" si="3" ref="E36:E44">D36-C36</f>
        <v>80897566</v>
      </c>
    </row>
    <row r="37" spans="1:5" s="506" customFormat="1" ht="12.75">
      <c r="A37" s="512">
        <v>2</v>
      </c>
      <c r="B37" s="511" t="s">
        <v>867</v>
      </c>
      <c r="C37" s="514">
        <f t="shared" si="2"/>
        <v>374077846</v>
      </c>
      <c r="D37" s="514">
        <f t="shared" si="2"/>
        <v>423917091</v>
      </c>
      <c r="E37" s="514">
        <f t="shared" si="3"/>
        <v>49839245</v>
      </c>
    </row>
    <row r="38" spans="1:5" s="506" customFormat="1" ht="12.75">
      <c r="A38" s="512">
        <v>3</v>
      </c>
      <c r="B38" s="511" t="s">
        <v>868</v>
      </c>
      <c r="C38" s="514">
        <f t="shared" si="2"/>
        <v>95992950</v>
      </c>
      <c r="D38" s="514">
        <f t="shared" si="2"/>
        <v>132240342</v>
      </c>
      <c r="E38" s="514">
        <f t="shared" si="3"/>
        <v>36247392</v>
      </c>
    </row>
    <row r="39" spans="1:5" s="506" customFormat="1" ht="12.75">
      <c r="A39" s="512">
        <v>4</v>
      </c>
      <c r="B39" s="511" t="s">
        <v>869</v>
      </c>
      <c r="C39" s="514">
        <f t="shared" si="2"/>
        <v>72928059</v>
      </c>
      <c r="D39" s="514">
        <f t="shared" si="2"/>
        <v>98955936</v>
      </c>
      <c r="E39" s="514">
        <f t="shared" si="3"/>
        <v>26027877</v>
      </c>
    </row>
    <row r="40" spans="1:5" s="506" customFormat="1" ht="12.75">
      <c r="A40" s="512">
        <v>5</v>
      </c>
      <c r="B40" s="511" t="s">
        <v>870</v>
      </c>
      <c r="C40" s="514">
        <f t="shared" si="2"/>
        <v>23064891</v>
      </c>
      <c r="D40" s="514">
        <f t="shared" si="2"/>
        <v>33284406</v>
      </c>
      <c r="E40" s="514">
        <f t="shared" si="3"/>
        <v>10219515</v>
      </c>
    </row>
    <row r="41" spans="1:5" s="506" customFormat="1" ht="12.75">
      <c r="A41" s="512">
        <v>6</v>
      </c>
      <c r="B41" s="511" t="s">
        <v>871</v>
      </c>
      <c r="C41" s="514">
        <f t="shared" si="2"/>
        <v>513288</v>
      </c>
      <c r="D41" s="514">
        <f t="shared" si="2"/>
        <v>576887</v>
      </c>
      <c r="E41" s="514">
        <f t="shared" si="3"/>
        <v>63599</v>
      </c>
    </row>
    <row r="42" spans="1:5" s="506" customFormat="1" ht="12.75">
      <c r="A42" s="512">
        <v>7</v>
      </c>
      <c r="B42" s="511" t="s">
        <v>872</v>
      </c>
      <c r="C42" s="514">
        <f t="shared" si="2"/>
        <v>52385302</v>
      </c>
      <c r="D42" s="514">
        <f t="shared" si="2"/>
        <v>59634503</v>
      </c>
      <c r="E42" s="514">
        <f t="shared" si="3"/>
        <v>7249201</v>
      </c>
    </row>
    <row r="43" spans="1:5" s="506" customFormat="1" ht="12.75">
      <c r="A43" s="512"/>
      <c r="B43" s="516" t="s">
        <v>873</v>
      </c>
      <c r="C43" s="517">
        <f>SUM(C37+C38+C41)</f>
        <v>470584084</v>
      </c>
      <c r="D43" s="517">
        <f>SUM(D37+D38+D41)</f>
        <v>556734320</v>
      </c>
      <c r="E43" s="517">
        <f t="shared" si="3"/>
        <v>86150236</v>
      </c>
    </row>
    <row r="44" spans="1:5" s="506" customFormat="1" ht="12.75">
      <c r="A44" s="512"/>
      <c r="B44" s="516" t="s">
        <v>811</v>
      </c>
      <c r="C44" s="517">
        <f>SUM(C36+C43)</f>
        <v>989969511</v>
      </c>
      <c r="D44" s="517">
        <f>SUM(D36+D43)</f>
        <v>1157017313</v>
      </c>
      <c r="E44" s="517">
        <f t="shared" si="3"/>
        <v>167047802</v>
      </c>
    </row>
    <row r="45" spans="1:5" s="506" customFormat="1" ht="12.75">
      <c r="A45" s="512"/>
      <c r="B45" s="511"/>
      <c r="C45" s="514"/>
      <c r="D45" s="515"/>
      <c r="E45" s="511"/>
    </row>
    <row r="46" spans="1:5" s="506" customFormat="1" ht="12.75">
      <c r="A46" s="508" t="s">
        <v>436</v>
      </c>
      <c r="B46" s="509" t="s">
        <v>874</v>
      </c>
      <c r="C46" s="499"/>
      <c r="D46" s="515"/>
      <c r="E46" s="511"/>
    </row>
    <row r="47" spans="1:5" s="506" customFormat="1" ht="12" customHeight="1">
      <c r="A47" s="512">
        <v>1</v>
      </c>
      <c r="B47" s="511" t="s">
        <v>737</v>
      </c>
      <c r="C47" s="513">
        <v>74028194</v>
      </c>
      <c r="D47" s="513">
        <v>75799007</v>
      </c>
      <c r="E47" s="514">
        <f aca="true" t="shared" si="4" ref="E47:E55">D47-C47</f>
        <v>1770813</v>
      </c>
    </row>
    <row r="48" spans="1:5" s="506" customFormat="1" ht="12.75">
      <c r="A48" s="512">
        <v>2</v>
      </c>
      <c r="B48" s="511" t="s">
        <v>716</v>
      </c>
      <c r="C48" s="513">
        <v>69063687</v>
      </c>
      <c r="D48" s="515">
        <v>69840646</v>
      </c>
      <c r="E48" s="514">
        <f t="shared" si="4"/>
        <v>776959</v>
      </c>
    </row>
    <row r="49" spans="1:5" s="506" customFormat="1" ht="12.75">
      <c r="A49" s="512">
        <v>3</v>
      </c>
      <c r="B49" s="511" t="s">
        <v>862</v>
      </c>
      <c r="C49" s="513">
        <v>13547013</v>
      </c>
      <c r="D49" s="515">
        <v>16040973</v>
      </c>
      <c r="E49" s="514">
        <f t="shared" si="4"/>
        <v>2493960</v>
      </c>
    </row>
    <row r="50" spans="1:5" s="506" customFormat="1" ht="12.75">
      <c r="A50" s="512">
        <v>4</v>
      </c>
      <c r="B50" s="511" t="s">
        <v>229</v>
      </c>
      <c r="C50" s="513">
        <v>10259337</v>
      </c>
      <c r="D50" s="515">
        <v>13873473</v>
      </c>
      <c r="E50" s="514">
        <f t="shared" si="4"/>
        <v>3614136</v>
      </c>
    </row>
    <row r="51" spans="1:5" s="506" customFormat="1" ht="12.75">
      <c r="A51" s="512">
        <v>5</v>
      </c>
      <c r="B51" s="511" t="s">
        <v>829</v>
      </c>
      <c r="C51" s="513">
        <v>3287676</v>
      </c>
      <c r="D51" s="515">
        <v>2167500</v>
      </c>
      <c r="E51" s="514">
        <f t="shared" si="4"/>
        <v>-1120176</v>
      </c>
    </row>
    <row r="52" spans="1:5" s="506" customFormat="1" ht="12.75">
      <c r="A52" s="512">
        <v>6</v>
      </c>
      <c r="B52" s="511" t="s">
        <v>533</v>
      </c>
      <c r="C52" s="513">
        <v>83356</v>
      </c>
      <c r="D52" s="515">
        <v>53861</v>
      </c>
      <c r="E52" s="514">
        <f t="shared" si="4"/>
        <v>-29495</v>
      </c>
    </row>
    <row r="53" spans="1:5" s="506" customFormat="1" ht="12.75">
      <c r="A53" s="512">
        <v>7</v>
      </c>
      <c r="B53" s="511" t="s">
        <v>844</v>
      </c>
      <c r="C53" s="513">
        <v>768068</v>
      </c>
      <c r="D53" s="515">
        <v>473462</v>
      </c>
      <c r="E53" s="514">
        <f t="shared" si="4"/>
        <v>-294606</v>
      </c>
    </row>
    <row r="54" spans="1:5" s="506" customFormat="1" ht="12.75">
      <c r="A54" s="512"/>
      <c r="B54" s="516" t="s">
        <v>875</v>
      </c>
      <c r="C54" s="517">
        <f>SUM(C48+C49+C52)</f>
        <v>82694056</v>
      </c>
      <c r="D54" s="517">
        <f>SUM(D48+D49+D52)</f>
        <v>85935480</v>
      </c>
      <c r="E54" s="517">
        <f t="shared" si="4"/>
        <v>3241424</v>
      </c>
    </row>
    <row r="55" spans="1:5" s="506" customFormat="1" ht="12.75">
      <c r="A55" s="512"/>
      <c r="B55" s="516" t="s">
        <v>804</v>
      </c>
      <c r="C55" s="517">
        <f>SUM(C47+C54)</f>
        <v>156722250</v>
      </c>
      <c r="D55" s="517">
        <f>SUM(D47+D54)</f>
        <v>161734487</v>
      </c>
      <c r="E55" s="517">
        <f t="shared" si="4"/>
        <v>5012237</v>
      </c>
    </row>
    <row r="56" spans="1:5" s="506" customFormat="1" ht="12.75">
      <c r="A56" s="512"/>
      <c r="B56" s="511"/>
      <c r="C56" s="511"/>
      <c r="D56" s="515"/>
      <c r="E56" s="511"/>
    </row>
    <row r="57" spans="1:5" s="506" customFormat="1" ht="12.75">
      <c r="A57" s="508" t="s">
        <v>457</v>
      </c>
      <c r="B57" s="509" t="s">
        <v>876</v>
      </c>
      <c r="C57" s="499"/>
      <c r="D57" s="515"/>
      <c r="E57" s="511"/>
    </row>
    <row r="58" spans="1:5" s="506" customFormat="1" ht="12.75">
      <c r="A58" s="512">
        <v>1</v>
      </c>
      <c r="B58" s="511" t="s">
        <v>737</v>
      </c>
      <c r="C58" s="513">
        <v>157858282</v>
      </c>
      <c r="D58" s="513">
        <v>183921612</v>
      </c>
      <c r="E58" s="514">
        <f aca="true" t="shared" si="5" ref="E58:E66">D58-C58</f>
        <v>26063330</v>
      </c>
    </row>
    <row r="59" spans="1:5" s="506" customFormat="1" ht="12.75">
      <c r="A59" s="512">
        <v>2</v>
      </c>
      <c r="B59" s="511" t="s">
        <v>716</v>
      </c>
      <c r="C59" s="513">
        <v>22948262</v>
      </c>
      <c r="D59" s="515">
        <v>26192923</v>
      </c>
      <c r="E59" s="514">
        <f t="shared" si="5"/>
        <v>3244661</v>
      </c>
    </row>
    <row r="60" spans="1:5" s="506" customFormat="1" ht="12.75">
      <c r="A60" s="512">
        <v>3</v>
      </c>
      <c r="B60" s="511" t="s">
        <v>862</v>
      </c>
      <c r="C60" s="513">
        <f>C61+C62</f>
        <v>7074222</v>
      </c>
      <c r="D60" s="515">
        <f>D61+D62</f>
        <v>9480656</v>
      </c>
      <c r="E60" s="514">
        <f t="shared" si="5"/>
        <v>2406434</v>
      </c>
    </row>
    <row r="61" spans="1:5" s="506" customFormat="1" ht="12.75">
      <c r="A61" s="512">
        <v>4</v>
      </c>
      <c r="B61" s="511" t="s">
        <v>229</v>
      </c>
      <c r="C61" s="513">
        <v>6160110</v>
      </c>
      <c r="D61" s="515">
        <v>7987232</v>
      </c>
      <c r="E61" s="514">
        <f t="shared" si="5"/>
        <v>1827122</v>
      </c>
    </row>
    <row r="62" spans="1:5" s="506" customFormat="1" ht="12.75">
      <c r="A62" s="512">
        <v>5</v>
      </c>
      <c r="B62" s="511" t="s">
        <v>829</v>
      </c>
      <c r="C62" s="513">
        <v>914112</v>
      </c>
      <c r="D62" s="515">
        <v>1493424</v>
      </c>
      <c r="E62" s="514">
        <f t="shared" si="5"/>
        <v>579312</v>
      </c>
    </row>
    <row r="63" spans="1:5" s="506" customFormat="1" ht="12.75">
      <c r="A63" s="512">
        <v>6</v>
      </c>
      <c r="B63" s="511" t="s">
        <v>533</v>
      </c>
      <c r="C63" s="513">
        <v>78594</v>
      </c>
      <c r="D63" s="515">
        <v>126599</v>
      </c>
      <c r="E63" s="514">
        <f t="shared" si="5"/>
        <v>48005</v>
      </c>
    </row>
    <row r="64" spans="1:5" s="506" customFormat="1" ht="12.75">
      <c r="A64" s="512">
        <v>7</v>
      </c>
      <c r="B64" s="511" t="s">
        <v>844</v>
      </c>
      <c r="C64" s="513">
        <v>1929713</v>
      </c>
      <c r="D64" s="515">
        <v>1764297</v>
      </c>
      <c r="E64" s="514">
        <f t="shared" si="5"/>
        <v>-165416</v>
      </c>
    </row>
    <row r="65" spans="1:5" s="506" customFormat="1" ht="12.75">
      <c r="A65" s="512"/>
      <c r="B65" s="516" t="s">
        <v>877</v>
      </c>
      <c r="C65" s="517">
        <f>SUM(C59+C60+C63)</f>
        <v>30101078</v>
      </c>
      <c r="D65" s="517">
        <f>SUM(D59+D60+D63)</f>
        <v>35800178</v>
      </c>
      <c r="E65" s="517">
        <f t="shared" si="5"/>
        <v>5699100</v>
      </c>
    </row>
    <row r="66" spans="1:5" s="506" customFormat="1" ht="12.75">
      <c r="A66" s="512"/>
      <c r="B66" s="516" t="s">
        <v>810</v>
      </c>
      <c r="C66" s="517">
        <f>SUM(C58+C65)</f>
        <v>187959360</v>
      </c>
      <c r="D66" s="517">
        <f>SUM(D58+D65)</f>
        <v>219721790</v>
      </c>
      <c r="E66" s="517">
        <f t="shared" si="5"/>
        <v>31762430</v>
      </c>
    </row>
    <row r="67" spans="1:5" ht="11.25" customHeight="1">
      <c r="A67" s="502"/>
      <c r="B67" s="519"/>
      <c r="C67" s="520"/>
      <c r="D67" s="520"/>
      <c r="E67" s="520"/>
    </row>
    <row r="68" spans="1:5" s="506" customFormat="1" ht="12.75">
      <c r="A68" s="508" t="s">
        <v>469</v>
      </c>
      <c r="B68" s="521" t="s">
        <v>735</v>
      </c>
      <c r="C68" s="511"/>
      <c r="D68" s="511"/>
      <c r="E68" s="511"/>
    </row>
    <row r="69" spans="1:5" s="506" customFormat="1" ht="12.75">
      <c r="A69" s="512">
        <v>1</v>
      </c>
      <c r="B69" s="511" t="s">
        <v>866</v>
      </c>
      <c r="C69" s="514">
        <f aca="true" t="shared" si="6" ref="C69:D75">C47+C58</f>
        <v>231886476</v>
      </c>
      <c r="D69" s="514">
        <f t="shared" si="6"/>
        <v>259720619</v>
      </c>
      <c r="E69" s="514">
        <f aca="true" t="shared" si="7" ref="E69:E77">D69-C69</f>
        <v>27834143</v>
      </c>
    </row>
    <row r="70" spans="1:5" s="506" customFormat="1" ht="12.75">
      <c r="A70" s="512">
        <v>2</v>
      </c>
      <c r="B70" s="511" t="s">
        <v>867</v>
      </c>
      <c r="C70" s="514">
        <f t="shared" si="6"/>
        <v>92011949</v>
      </c>
      <c r="D70" s="514">
        <f t="shared" si="6"/>
        <v>96033569</v>
      </c>
      <c r="E70" s="514">
        <f t="shared" si="7"/>
        <v>4021620</v>
      </c>
    </row>
    <row r="71" spans="1:5" s="506" customFormat="1" ht="12.75">
      <c r="A71" s="512">
        <v>3</v>
      </c>
      <c r="B71" s="511" t="s">
        <v>868</v>
      </c>
      <c r="C71" s="514">
        <f t="shared" si="6"/>
        <v>20621235</v>
      </c>
      <c r="D71" s="514">
        <f t="shared" si="6"/>
        <v>25521629</v>
      </c>
      <c r="E71" s="514">
        <f t="shared" si="7"/>
        <v>4900394</v>
      </c>
    </row>
    <row r="72" spans="1:5" s="506" customFormat="1" ht="12.75">
      <c r="A72" s="512">
        <v>4</v>
      </c>
      <c r="B72" s="511" t="s">
        <v>869</v>
      </c>
      <c r="C72" s="514">
        <f t="shared" si="6"/>
        <v>16419447</v>
      </c>
      <c r="D72" s="514">
        <f t="shared" si="6"/>
        <v>21860705</v>
      </c>
      <c r="E72" s="514">
        <f t="shared" si="7"/>
        <v>5441258</v>
      </c>
    </row>
    <row r="73" spans="1:5" s="506" customFormat="1" ht="12.75">
      <c r="A73" s="512">
        <v>5</v>
      </c>
      <c r="B73" s="511" t="s">
        <v>870</v>
      </c>
      <c r="C73" s="514">
        <f t="shared" si="6"/>
        <v>4201788</v>
      </c>
      <c r="D73" s="514">
        <f t="shared" si="6"/>
        <v>3660924</v>
      </c>
      <c r="E73" s="514">
        <f t="shared" si="7"/>
        <v>-540864</v>
      </c>
    </row>
    <row r="74" spans="1:5" s="506" customFormat="1" ht="12.75">
      <c r="A74" s="512">
        <v>6</v>
      </c>
      <c r="B74" s="511" t="s">
        <v>871</v>
      </c>
      <c r="C74" s="514">
        <f t="shared" si="6"/>
        <v>161950</v>
      </c>
      <c r="D74" s="514">
        <f t="shared" si="6"/>
        <v>180460</v>
      </c>
      <c r="E74" s="514">
        <f t="shared" si="7"/>
        <v>18510</v>
      </c>
    </row>
    <row r="75" spans="1:5" s="506" customFormat="1" ht="12.75">
      <c r="A75" s="512">
        <v>7</v>
      </c>
      <c r="B75" s="511" t="s">
        <v>872</v>
      </c>
      <c r="C75" s="514">
        <f t="shared" si="6"/>
        <v>2697781</v>
      </c>
      <c r="D75" s="514">
        <f t="shared" si="6"/>
        <v>2237759</v>
      </c>
      <c r="E75" s="514">
        <f t="shared" si="7"/>
        <v>-460022</v>
      </c>
    </row>
    <row r="76" spans="1:5" s="506" customFormat="1" ht="12.75">
      <c r="A76" s="512"/>
      <c r="B76" s="516" t="s">
        <v>878</v>
      </c>
      <c r="C76" s="517">
        <f>SUM(C70+C71+C74)</f>
        <v>112795134</v>
      </c>
      <c r="D76" s="517">
        <f>SUM(D70+D71+D74)</f>
        <v>121735658</v>
      </c>
      <c r="E76" s="517">
        <f t="shared" si="7"/>
        <v>8940524</v>
      </c>
    </row>
    <row r="77" spans="1:5" s="506" customFormat="1" ht="12.75">
      <c r="A77" s="512"/>
      <c r="B77" s="516" t="s">
        <v>812</v>
      </c>
      <c r="C77" s="517">
        <f>SUM(C69+C76)</f>
        <v>344681610</v>
      </c>
      <c r="D77" s="517">
        <f>SUM(D69+D76)</f>
        <v>381456277</v>
      </c>
      <c r="E77" s="517">
        <f t="shared" si="7"/>
        <v>36774667</v>
      </c>
    </row>
    <row r="78" spans="1:5" s="506" customFormat="1" ht="12.75">
      <c r="A78" s="505"/>
      <c r="B78" s="510"/>
      <c r="C78" s="491"/>
      <c r="D78" s="491"/>
      <c r="E78" s="511"/>
    </row>
    <row r="79" spans="1:5" s="506" customFormat="1" ht="15.75" customHeight="1">
      <c r="A79" s="500" t="s">
        <v>159</v>
      </c>
      <c r="B79" s="501" t="s">
        <v>879</v>
      </c>
      <c r="C79" s="340"/>
      <c r="D79" s="340"/>
      <c r="E79" s="511"/>
    </row>
    <row r="80" spans="1:5" s="506" customFormat="1" ht="12.75">
      <c r="A80" s="505"/>
      <c r="B80" s="510"/>
      <c r="C80" s="340"/>
      <c r="D80" s="340"/>
      <c r="E80" s="511"/>
    </row>
    <row r="81" spans="1:5" s="506" customFormat="1" ht="12.75">
      <c r="A81" s="508" t="s">
        <v>129</v>
      </c>
      <c r="B81" s="522" t="s">
        <v>880</v>
      </c>
      <c r="C81" s="510"/>
      <c r="D81" s="510"/>
      <c r="E81" s="511"/>
    </row>
    <row r="82" spans="1:5" s="506" customFormat="1" ht="12.75">
      <c r="A82" s="512"/>
      <c r="B82" s="511"/>
      <c r="C82" s="514"/>
      <c r="D82" s="514"/>
      <c r="E82" s="511"/>
    </row>
    <row r="83" spans="1:5" s="506" customFormat="1" ht="12.75">
      <c r="A83" s="512">
        <v>1</v>
      </c>
      <c r="B83" s="511" t="s">
        <v>737</v>
      </c>
      <c r="C83" s="523">
        <f aca="true" t="shared" si="8" ref="C83:D89">IF(C$44=0,0,C14/C$44)</f>
        <v>0.1883372093062369</v>
      </c>
      <c r="D83" s="523">
        <f t="shared" si="8"/>
        <v>0.1719206556073375</v>
      </c>
      <c r="E83" s="523">
        <f aca="true" t="shared" si="9" ref="E83:E91">D83-C83</f>
        <v>-0.01641655369889941</v>
      </c>
    </row>
    <row r="84" spans="1:5" s="506" customFormat="1" ht="12.75">
      <c r="A84" s="512">
        <v>2</v>
      </c>
      <c r="B84" s="511" t="s">
        <v>716</v>
      </c>
      <c r="C84" s="523">
        <f t="shared" si="8"/>
        <v>0.23565674640256673</v>
      </c>
      <c r="D84" s="523">
        <f t="shared" si="8"/>
        <v>0.21235415342484162</v>
      </c>
      <c r="E84" s="523">
        <f t="shared" si="9"/>
        <v>-0.023302592977725106</v>
      </c>
    </row>
    <row r="85" spans="1:5" s="506" customFormat="1" ht="12.75">
      <c r="A85" s="512">
        <v>3</v>
      </c>
      <c r="B85" s="511" t="s">
        <v>862</v>
      </c>
      <c r="C85" s="523">
        <f t="shared" si="8"/>
        <v>0.05483437863168697</v>
      </c>
      <c r="D85" s="523">
        <f t="shared" si="8"/>
        <v>0.06411415988897999</v>
      </c>
      <c r="E85" s="523">
        <f t="shared" si="9"/>
        <v>0.009279781257293021</v>
      </c>
    </row>
    <row r="86" spans="1:5" s="506" customFormat="1" ht="12.75">
      <c r="A86" s="512">
        <v>4</v>
      </c>
      <c r="B86" s="511" t="s">
        <v>229</v>
      </c>
      <c r="C86" s="523">
        <f t="shared" si="8"/>
        <v>0.03922746869322524</v>
      </c>
      <c r="D86" s="523">
        <f t="shared" si="8"/>
        <v>0.04588374124009327</v>
      </c>
      <c r="E86" s="523">
        <f t="shared" si="9"/>
        <v>0.006656272546868028</v>
      </c>
    </row>
    <row r="87" spans="1:5" s="506" customFormat="1" ht="12.75">
      <c r="A87" s="512">
        <v>5</v>
      </c>
      <c r="B87" s="511" t="s">
        <v>829</v>
      </c>
      <c r="C87" s="523">
        <f t="shared" si="8"/>
        <v>0.01560690993846173</v>
      </c>
      <c r="D87" s="523">
        <f t="shared" si="8"/>
        <v>0.018230418648886717</v>
      </c>
      <c r="E87" s="523">
        <f t="shared" si="9"/>
        <v>0.0026235087104249863</v>
      </c>
    </row>
    <row r="88" spans="1:5" s="506" customFormat="1" ht="12.75">
      <c r="A88" s="512">
        <v>6</v>
      </c>
      <c r="B88" s="511" t="s">
        <v>533</v>
      </c>
      <c r="C88" s="523">
        <f t="shared" si="8"/>
        <v>0.0003764035112794499</v>
      </c>
      <c r="D88" s="523">
        <f t="shared" si="8"/>
        <v>0.0002033245288180057</v>
      </c>
      <c r="E88" s="523">
        <f t="shared" si="9"/>
        <v>-0.00017307898246144422</v>
      </c>
    </row>
    <row r="89" spans="1:5" s="506" customFormat="1" ht="12.75">
      <c r="A89" s="512">
        <v>7</v>
      </c>
      <c r="B89" s="511" t="s">
        <v>844</v>
      </c>
      <c r="C89" s="523">
        <f t="shared" si="8"/>
        <v>0.017249390824926124</v>
      </c>
      <c r="D89" s="523">
        <f t="shared" si="8"/>
        <v>0.01857064086991756</v>
      </c>
      <c r="E89" s="523">
        <f t="shared" si="9"/>
        <v>0.0013212500449914372</v>
      </c>
    </row>
    <row r="90" spans="1:5" s="506" customFormat="1" ht="12.75">
      <c r="A90" s="512"/>
      <c r="B90" s="516" t="s">
        <v>881</v>
      </c>
      <c r="C90" s="524">
        <f>SUM(C84+C85+C88)</f>
        <v>0.2908675285455331</v>
      </c>
      <c r="D90" s="524">
        <f>SUM(D84+D85+D88)</f>
        <v>0.2766716378426396</v>
      </c>
      <c r="E90" s="525">
        <f t="shared" si="9"/>
        <v>-0.01419589070289351</v>
      </c>
    </row>
    <row r="91" spans="1:5" s="506" customFormat="1" ht="12.75">
      <c r="A91" s="512"/>
      <c r="B91" s="516" t="s">
        <v>882</v>
      </c>
      <c r="C91" s="524">
        <f>SUM(C83+C90)</f>
        <v>0.47920473785177</v>
      </c>
      <c r="D91" s="524">
        <f>SUM(D83+D90)</f>
        <v>0.4485922934499771</v>
      </c>
      <c r="E91" s="525">
        <f t="shared" si="9"/>
        <v>-0.030612444401792893</v>
      </c>
    </row>
    <row r="92" spans="1:5" s="506" customFormat="1" ht="12.75">
      <c r="A92" s="512"/>
      <c r="B92" s="499"/>
      <c r="C92" s="526"/>
      <c r="D92" s="526"/>
      <c r="E92" s="516"/>
    </row>
    <row r="93" spans="1:5" s="506" customFormat="1" ht="12.75">
      <c r="A93" s="508" t="s">
        <v>141</v>
      </c>
      <c r="B93" s="522" t="s">
        <v>883</v>
      </c>
      <c r="C93" s="526"/>
      <c r="D93" s="526"/>
      <c r="E93" s="516"/>
    </row>
    <row r="94" spans="1:5" s="506" customFormat="1" ht="12.75">
      <c r="A94" s="512"/>
      <c r="B94" s="511"/>
      <c r="C94" s="526"/>
      <c r="D94" s="526"/>
      <c r="E94" s="516"/>
    </row>
    <row r="95" spans="1:5" s="506" customFormat="1" ht="12.75">
      <c r="A95" s="512">
        <v>1</v>
      </c>
      <c r="B95" s="511" t="s">
        <v>737</v>
      </c>
      <c r="C95" s="523">
        <f aca="true" t="shared" si="10" ref="C95:D101">IF(C$44=0,0,C25/C$44)</f>
        <v>0.3363106927037473</v>
      </c>
      <c r="D95" s="523">
        <f t="shared" si="10"/>
        <v>0.34689871403851674</v>
      </c>
      <c r="E95" s="523">
        <f aca="true" t="shared" si="11" ref="E95:E103">D95-C95</f>
        <v>0.010588021334769437</v>
      </c>
    </row>
    <row r="96" spans="1:5" s="506" customFormat="1" ht="12.75">
      <c r="A96" s="512">
        <v>2</v>
      </c>
      <c r="B96" s="511" t="s">
        <v>716</v>
      </c>
      <c r="C96" s="523">
        <f t="shared" si="10"/>
        <v>0.14221130088924527</v>
      </c>
      <c r="D96" s="523">
        <f t="shared" si="10"/>
        <v>0.15403370113615578</v>
      </c>
      <c r="E96" s="523">
        <f t="shared" si="11"/>
        <v>0.011822400246910503</v>
      </c>
    </row>
    <row r="97" spans="1:5" s="506" customFormat="1" ht="12.75">
      <c r="A97" s="512">
        <v>3</v>
      </c>
      <c r="B97" s="511" t="s">
        <v>862</v>
      </c>
      <c r="C97" s="523">
        <f t="shared" si="10"/>
        <v>0.04213118337136344</v>
      </c>
      <c r="D97" s="523">
        <f t="shared" si="10"/>
        <v>0.05018001748777635</v>
      </c>
      <c r="E97" s="523">
        <f t="shared" si="11"/>
        <v>0.008048834116412905</v>
      </c>
    </row>
    <row r="98" spans="1:5" s="506" customFormat="1" ht="12.75">
      <c r="A98" s="512">
        <v>4</v>
      </c>
      <c r="B98" s="511" t="s">
        <v>229</v>
      </c>
      <c r="C98" s="523">
        <f t="shared" si="10"/>
        <v>0.03443950608697079</v>
      </c>
      <c r="D98" s="523">
        <f t="shared" si="10"/>
        <v>0.03964301353544223</v>
      </c>
      <c r="E98" s="523">
        <f t="shared" si="11"/>
        <v>0.005203507448471437</v>
      </c>
    </row>
    <row r="99" spans="1:5" s="506" customFormat="1" ht="12.75">
      <c r="A99" s="512">
        <v>5</v>
      </c>
      <c r="B99" s="511" t="s">
        <v>829</v>
      </c>
      <c r="C99" s="523">
        <f t="shared" si="10"/>
        <v>0.00769167728439265</v>
      </c>
      <c r="D99" s="523">
        <f t="shared" si="10"/>
        <v>0.010537003952334117</v>
      </c>
      <c r="E99" s="523">
        <f t="shared" si="11"/>
        <v>0.0028453266679414673</v>
      </c>
    </row>
    <row r="100" spans="1:5" s="506" customFormat="1" ht="12.75">
      <c r="A100" s="512">
        <v>6</v>
      </c>
      <c r="B100" s="511" t="s">
        <v>533</v>
      </c>
      <c r="C100" s="523">
        <f t="shared" si="10"/>
        <v>0.00014208518387391023</v>
      </c>
      <c r="D100" s="523">
        <f t="shared" si="10"/>
        <v>0.0002952738875740574</v>
      </c>
      <c r="E100" s="523">
        <f t="shared" si="11"/>
        <v>0.00015318870370014718</v>
      </c>
    </row>
    <row r="101" spans="1:5" s="506" customFormat="1" ht="12.75">
      <c r="A101" s="512">
        <v>7</v>
      </c>
      <c r="B101" s="511" t="s">
        <v>844</v>
      </c>
      <c r="C101" s="523">
        <f t="shared" si="10"/>
        <v>0.03566668529451308</v>
      </c>
      <c r="D101" s="523">
        <f t="shared" si="10"/>
        <v>0.0329709413777804</v>
      </c>
      <c r="E101" s="523">
        <f t="shared" si="11"/>
        <v>-0.0026957439167326763</v>
      </c>
    </row>
    <row r="102" spans="1:5" s="506" customFormat="1" ht="12.75">
      <c r="A102" s="512"/>
      <c r="B102" s="516" t="s">
        <v>884</v>
      </c>
      <c r="C102" s="524">
        <f>SUM(C96+C97+C100)</f>
        <v>0.18448456944448263</v>
      </c>
      <c r="D102" s="524">
        <f>SUM(D96+D97+D100)</f>
        <v>0.20450899251150617</v>
      </c>
      <c r="E102" s="525">
        <f t="shared" si="11"/>
        <v>0.02002442306702354</v>
      </c>
    </row>
    <row r="103" spans="1:5" s="506" customFormat="1" ht="12.75">
      <c r="A103" s="512"/>
      <c r="B103" s="516" t="s">
        <v>885</v>
      </c>
      <c r="C103" s="524">
        <f>SUM(C95+C102)</f>
        <v>0.5207952621482299</v>
      </c>
      <c r="D103" s="524">
        <f>SUM(D95+D102)</f>
        <v>0.5514077065500229</v>
      </c>
      <c r="E103" s="525">
        <f t="shared" si="11"/>
        <v>0.030612444401793004</v>
      </c>
    </row>
    <row r="104" spans="1:5" s="506" customFormat="1" ht="12.75">
      <c r="A104" s="505"/>
      <c r="B104" s="527"/>
      <c r="C104" s="525"/>
      <c r="D104" s="523"/>
      <c r="E104" s="524"/>
    </row>
    <row r="105" spans="1:5" s="506" customFormat="1" ht="12.75">
      <c r="A105" s="505"/>
      <c r="B105" s="527" t="s">
        <v>886</v>
      </c>
      <c r="C105" s="525">
        <f>C91+C103</f>
        <v>0.9999999999999999</v>
      </c>
      <c r="D105" s="525">
        <f>D91+D103</f>
        <v>1</v>
      </c>
      <c r="E105" s="525">
        <f>D105-C105</f>
        <v>0</v>
      </c>
    </row>
    <row r="106" spans="1:5" s="506" customFormat="1" ht="12.75">
      <c r="A106" s="508"/>
      <c r="B106" s="510"/>
      <c r="C106" s="528"/>
      <c r="D106" s="528"/>
      <c r="E106" s="524"/>
    </row>
    <row r="107" spans="1:5" s="506" customFormat="1" ht="12.75">
      <c r="A107" s="508" t="s">
        <v>151</v>
      </c>
      <c r="B107" s="522" t="s">
        <v>887</v>
      </c>
      <c r="C107" s="528"/>
      <c r="D107" s="528"/>
      <c r="E107" s="524"/>
    </row>
    <row r="108" spans="1:5" s="506" customFormat="1" ht="12.75">
      <c r="A108" s="508"/>
      <c r="B108" s="510"/>
      <c r="C108" s="528"/>
      <c r="D108" s="528"/>
      <c r="E108" s="524"/>
    </row>
    <row r="109" spans="1:5" s="506" customFormat="1" ht="12.75">
      <c r="A109" s="512">
        <v>1</v>
      </c>
      <c r="B109" s="511" t="s">
        <v>737</v>
      </c>
      <c r="C109" s="523">
        <f aca="true" t="shared" si="12" ref="C109:D115">IF(C$77=0,0,C47/C$77)</f>
        <v>0.21477268253447</v>
      </c>
      <c r="D109" s="523">
        <f t="shared" si="12"/>
        <v>0.19870955485679423</v>
      </c>
      <c r="E109" s="523">
        <f aca="true" t="shared" si="13" ref="E109:E117">D109-C109</f>
        <v>-0.01606312767767576</v>
      </c>
    </row>
    <row r="110" spans="1:5" s="506" customFormat="1" ht="12.75">
      <c r="A110" s="512">
        <v>2</v>
      </c>
      <c r="B110" s="511" t="s">
        <v>716</v>
      </c>
      <c r="C110" s="523">
        <f t="shared" si="12"/>
        <v>0.20036951492712363</v>
      </c>
      <c r="D110" s="523">
        <f t="shared" si="12"/>
        <v>0.18308951827787068</v>
      </c>
      <c r="E110" s="523">
        <f t="shared" si="13"/>
        <v>-0.01727999664925295</v>
      </c>
    </row>
    <row r="111" spans="1:5" s="506" customFormat="1" ht="12.75">
      <c r="A111" s="512">
        <v>3</v>
      </c>
      <c r="B111" s="511" t="s">
        <v>862</v>
      </c>
      <c r="C111" s="523">
        <f t="shared" si="12"/>
        <v>0.03930297586807721</v>
      </c>
      <c r="D111" s="523">
        <f t="shared" si="12"/>
        <v>0.0420519308953461</v>
      </c>
      <c r="E111" s="523">
        <f t="shared" si="13"/>
        <v>0.002748955027268886</v>
      </c>
    </row>
    <row r="112" spans="1:5" s="506" customFormat="1" ht="12.75">
      <c r="A112" s="512">
        <v>4</v>
      </c>
      <c r="B112" s="511" t="s">
        <v>229</v>
      </c>
      <c r="C112" s="523">
        <f t="shared" si="12"/>
        <v>0.02976467761073763</v>
      </c>
      <c r="D112" s="523">
        <f t="shared" si="12"/>
        <v>0.03636975935776776</v>
      </c>
      <c r="E112" s="523">
        <f t="shared" si="13"/>
        <v>0.006605081747030131</v>
      </c>
    </row>
    <row r="113" spans="1:5" s="506" customFormat="1" ht="12.75">
      <c r="A113" s="512">
        <v>5</v>
      </c>
      <c r="B113" s="511" t="s">
        <v>829</v>
      </c>
      <c r="C113" s="523">
        <f t="shared" si="12"/>
        <v>0.009538298257339577</v>
      </c>
      <c r="D113" s="523">
        <f t="shared" si="12"/>
        <v>0.005682171537578342</v>
      </c>
      <c r="E113" s="523">
        <f t="shared" si="13"/>
        <v>-0.0038561267197612355</v>
      </c>
    </row>
    <row r="114" spans="1:5" s="506" customFormat="1" ht="12.75">
      <c r="A114" s="512">
        <v>6</v>
      </c>
      <c r="B114" s="511" t="s">
        <v>533</v>
      </c>
      <c r="C114" s="523">
        <f t="shared" si="12"/>
        <v>0.00024183477615762557</v>
      </c>
      <c r="D114" s="523">
        <f t="shared" si="12"/>
        <v>0.00014119835810173336</v>
      </c>
      <c r="E114" s="523">
        <f t="shared" si="13"/>
        <v>-0.00010063641805589221</v>
      </c>
    </row>
    <row r="115" spans="1:5" s="506" customFormat="1" ht="12.75">
      <c r="A115" s="512">
        <v>7</v>
      </c>
      <c r="B115" s="511" t="s">
        <v>844</v>
      </c>
      <c r="C115" s="523">
        <f t="shared" si="12"/>
        <v>0.0022283405256230526</v>
      </c>
      <c r="D115" s="523">
        <f t="shared" si="12"/>
        <v>0.0012411959864013459</v>
      </c>
      <c r="E115" s="523">
        <f t="shared" si="13"/>
        <v>-0.0009871445392217067</v>
      </c>
    </row>
    <row r="116" spans="1:5" s="506" customFormat="1" ht="12.75">
      <c r="A116" s="512"/>
      <c r="B116" s="516" t="s">
        <v>881</v>
      </c>
      <c r="C116" s="524">
        <f>SUM(C110+C111+C114)</f>
        <v>0.23991432557135847</v>
      </c>
      <c r="D116" s="524">
        <f>SUM(D110+D111+D114)</f>
        <v>0.2252826475313185</v>
      </c>
      <c r="E116" s="525">
        <f t="shared" si="13"/>
        <v>-0.01463167804003998</v>
      </c>
    </row>
    <row r="117" spans="1:5" s="506" customFormat="1" ht="12.75">
      <c r="A117" s="512"/>
      <c r="B117" s="516" t="s">
        <v>882</v>
      </c>
      <c r="C117" s="524">
        <f>SUM(C109+C116)</f>
        <v>0.45468700810582846</v>
      </c>
      <c r="D117" s="524">
        <f>SUM(D109+D116)</f>
        <v>0.42399220238811275</v>
      </c>
      <c r="E117" s="525">
        <f t="shared" si="13"/>
        <v>-0.030694805717715712</v>
      </c>
    </row>
    <row r="118" spans="1:5" s="506" customFormat="1" ht="12.75">
      <c r="A118" s="508"/>
      <c r="B118" s="510"/>
      <c r="C118" s="526"/>
      <c r="D118" s="526"/>
      <c r="E118" s="524"/>
    </row>
    <row r="119" spans="1:5" s="506" customFormat="1" ht="12.75">
      <c r="A119" s="508" t="s">
        <v>436</v>
      </c>
      <c r="B119" s="522" t="s">
        <v>888</v>
      </c>
      <c r="C119" s="526"/>
      <c r="D119" s="526"/>
      <c r="E119" s="524"/>
    </row>
    <row r="120" spans="1:5" s="506" customFormat="1" ht="12.75">
      <c r="A120" s="508"/>
      <c r="B120" s="510"/>
      <c r="C120" s="526"/>
      <c r="D120" s="526"/>
      <c r="E120" s="524"/>
    </row>
    <row r="121" spans="1:5" s="506" customFormat="1" ht="12.75">
      <c r="A121" s="512">
        <v>1</v>
      </c>
      <c r="B121" s="511" t="s">
        <v>737</v>
      </c>
      <c r="C121" s="523">
        <f aca="true" t="shared" si="14" ref="C121:D127">IF(C$77=0,0,C58/C$77)</f>
        <v>0.4579828961574132</v>
      </c>
      <c r="D121" s="523">
        <f t="shared" si="14"/>
        <v>0.48215647005855927</v>
      </c>
      <c r="E121" s="523">
        <f aca="true" t="shared" si="15" ref="E121:E129">D121-C121</f>
        <v>0.02417357390114605</v>
      </c>
    </row>
    <row r="122" spans="1:5" s="506" customFormat="1" ht="12.75">
      <c r="A122" s="512">
        <v>2</v>
      </c>
      <c r="B122" s="511" t="s">
        <v>716</v>
      </c>
      <c r="C122" s="523">
        <f t="shared" si="14"/>
        <v>0.06657814439244379</v>
      </c>
      <c r="D122" s="523">
        <f t="shared" si="14"/>
        <v>0.06866559702725773</v>
      </c>
      <c r="E122" s="523">
        <f t="shared" si="15"/>
        <v>0.002087452634813941</v>
      </c>
    </row>
    <row r="123" spans="1:5" s="506" customFormat="1" ht="12.75">
      <c r="A123" s="512">
        <v>3</v>
      </c>
      <c r="B123" s="511" t="s">
        <v>862</v>
      </c>
      <c r="C123" s="523">
        <f t="shared" si="14"/>
        <v>0.02052393221674925</v>
      </c>
      <c r="D123" s="523">
        <f t="shared" si="14"/>
        <v>0.024853847142224376</v>
      </c>
      <c r="E123" s="523">
        <f t="shared" si="15"/>
        <v>0.004329914925475128</v>
      </c>
    </row>
    <row r="124" spans="1:5" s="506" customFormat="1" ht="12.75">
      <c r="A124" s="512">
        <v>4</v>
      </c>
      <c r="B124" s="511" t="s">
        <v>229</v>
      </c>
      <c r="C124" s="523">
        <f t="shared" si="14"/>
        <v>0.0178718847228316</v>
      </c>
      <c r="D124" s="523">
        <f t="shared" si="14"/>
        <v>0.020938787697547836</v>
      </c>
      <c r="E124" s="523">
        <f t="shared" si="15"/>
        <v>0.0030669029747162346</v>
      </c>
    </row>
    <row r="125" spans="1:5" s="506" customFormat="1" ht="12.75">
      <c r="A125" s="512">
        <v>5</v>
      </c>
      <c r="B125" s="511" t="s">
        <v>829</v>
      </c>
      <c r="C125" s="523">
        <f t="shared" si="14"/>
        <v>0.0026520474939176475</v>
      </c>
      <c r="D125" s="523">
        <f t="shared" si="14"/>
        <v>0.003915059444676539</v>
      </c>
      <c r="E125" s="523">
        <f t="shared" si="15"/>
        <v>0.0012630119507588914</v>
      </c>
    </row>
    <row r="126" spans="1:5" s="506" customFormat="1" ht="12.75">
      <c r="A126" s="512">
        <v>6</v>
      </c>
      <c r="B126" s="511" t="s">
        <v>533</v>
      </c>
      <c r="C126" s="523">
        <f t="shared" si="14"/>
        <v>0.00022801912756529135</v>
      </c>
      <c r="D126" s="523">
        <f t="shared" si="14"/>
        <v>0.0003318833838458503</v>
      </c>
      <c r="E126" s="523">
        <f t="shared" si="15"/>
        <v>0.00010386425628055893</v>
      </c>
    </row>
    <row r="127" spans="1:5" s="506" customFormat="1" ht="12.75">
      <c r="A127" s="512">
        <v>7</v>
      </c>
      <c r="B127" s="511" t="s">
        <v>844</v>
      </c>
      <c r="C127" s="523">
        <f t="shared" si="14"/>
        <v>0.005598537734577716</v>
      </c>
      <c r="D127" s="523">
        <f t="shared" si="14"/>
        <v>0.004625161798032229</v>
      </c>
      <c r="E127" s="523">
        <f t="shared" si="15"/>
        <v>-0.0009733759365454873</v>
      </c>
    </row>
    <row r="128" spans="1:5" s="506" customFormat="1" ht="12.75">
      <c r="A128" s="512"/>
      <c r="B128" s="516" t="s">
        <v>884</v>
      </c>
      <c r="C128" s="524">
        <f>SUM(C122+C123+C126)</f>
        <v>0.08733009573675833</v>
      </c>
      <c r="D128" s="524">
        <f>SUM(D122+D123+D126)</f>
        <v>0.09385132755332795</v>
      </c>
      <c r="E128" s="525">
        <f t="shared" si="15"/>
        <v>0.00652123181656962</v>
      </c>
    </row>
    <row r="129" spans="1:5" s="506" customFormat="1" ht="12.75">
      <c r="A129" s="512"/>
      <c r="B129" s="516" t="s">
        <v>885</v>
      </c>
      <c r="C129" s="524">
        <f>SUM(C121+C128)</f>
        <v>0.5453129918941716</v>
      </c>
      <c r="D129" s="524">
        <f>SUM(D121+D128)</f>
        <v>0.5760077976118873</v>
      </c>
      <c r="E129" s="525">
        <f t="shared" si="15"/>
        <v>0.030694805717715656</v>
      </c>
    </row>
    <row r="130" spans="1:5" s="506" customFormat="1" ht="12.75">
      <c r="A130" s="512"/>
      <c r="B130" s="516"/>
      <c r="C130" s="525"/>
      <c r="D130" s="523"/>
      <c r="E130" s="524"/>
    </row>
    <row r="131" spans="1:5" s="506" customFormat="1" ht="12.75">
      <c r="A131" s="512"/>
      <c r="B131" s="527" t="s">
        <v>889</v>
      </c>
      <c r="C131" s="525">
        <f>C117+C129</f>
        <v>1</v>
      </c>
      <c r="D131" s="525">
        <f>D117+D129</f>
        <v>1</v>
      </c>
      <c r="E131" s="525">
        <f>D131-C131</f>
        <v>0</v>
      </c>
    </row>
    <row r="132" spans="1:5" s="506" customFormat="1" ht="12.75">
      <c r="A132" s="512"/>
      <c r="B132" s="511"/>
      <c r="C132" s="514"/>
      <c r="D132" s="514"/>
      <c r="E132" s="511"/>
    </row>
    <row r="133" spans="1:5" s="506" customFormat="1" ht="15.75" customHeight="1">
      <c r="A133" s="529" t="s">
        <v>250</v>
      </c>
      <c r="B133" s="501" t="s">
        <v>890</v>
      </c>
      <c r="C133" s="491"/>
      <c r="D133" s="491"/>
      <c r="E133" s="516"/>
    </row>
    <row r="134" spans="1:5" s="506" customFormat="1" ht="12.75">
      <c r="A134" s="512"/>
      <c r="B134" s="511"/>
      <c r="C134" s="340"/>
      <c r="D134" s="340"/>
      <c r="E134" s="511"/>
    </row>
    <row r="135" spans="1:5" s="506" customFormat="1" ht="12.75">
      <c r="A135" s="508" t="s">
        <v>129</v>
      </c>
      <c r="B135" s="509" t="s">
        <v>891</v>
      </c>
      <c r="C135" s="340"/>
      <c r="D135" s="340"/>
      <c r="E135" s="511"/>
    </row>
    <row r="136" spans="1:5" s="506" customFormat="1" ht="12.75">
      <c r="A136" s="512"/>
      <c r="B136" s="511"/>
      <c r="C136" s="511"/>
      <c r="D136" s="511"/>
      <c r="E136" s="511"/>
    </row>
    <row r="137" spans="1:5" s="506" customFormat="1" ht="12.75">
      <c r="A137" s="512">
        <v>1</v>
      </c>
      <c r="B137" s="511" t="s">
        <v>737</v>
      </c>
      <c r="C137" s="530">
        <v>7456</v>
      </c>
      <c r="D137" s="530">
        <v>7028</v>
      </c>
      <c r="E137" s="531">
        <f aca="true" t="shared" si="16" ref="E137:E145">D137-C137</f>
        <v>-428</v>
      </c>
    </row>
    <row r="138" spans="1:5" s="506" customFormat="1" ht="12.75">
      <c r="A138" s="512">
        <v>2</v>
      </c>
      <c r="B138" s="511" t="s">
        <v>716</v>
      </c>
      <c r="C138" s="530">
        <v>5763</v>
      </c>
      <c r="D138" s="530">
        <v>5093</v>
      </c>
      <c r="E138" s="531">
        <f t="shared" si="16"/>
        <v>-670</v>
      </c>
    </row>
    <row r="139" spans="1:5" s="506" customFormat="1" ht="12.75">
      <c r="A139" s="512">
        <v>3</v>
      </c>
      <c r="B139" s="511" t="s">
        <v>862</v>
      </c>
      <c r="C139" s="530">
        <f>C140+C141</f>
        <v>2630</v>
      </c>
      <c r="D139" s="530">
        <f>D140+D141</f>
        <v>2756</v>
      </c>
      <c r="E139" s="531">
        <f t="shared" si="16"/>
        <v>126</v>
      </c>
    </row>
    <row r="140" spans="1:5" s="506" customFormat="1" ht="12.75">
      <c r="A140" s="512">
        <v>4</v>
      </c>
      <c r="B140" s="511" t="s">
        <v>229</v>
      </c>
      <c r="C140" s="530">
        <v>2209</v>
      </c>
      <c r="D140" s="530">
        <v>2285</v>
      </c>
      <c r="E140" s="531">
        <f t="shared" si="16"/>
        <v>76</v>
      </c>
    </row>
    <row r="141" spans="1:5" s="506" customFormat="1" ht="12.75">
      <c r="A141" s="512">
        <v>5</v>
      </c>
      <c r="B141" s="511" t="s">
        <v>829</v>
      </c>
      <c r="C141" s="530">
        <v>421</v>
      </c>
      <c r="D141" s="530">
        <v>471</v>
      </c>
      <c r="E141" s="531">
        <f t="shared" si="16"/>
        <v>50</v>
      </c>
    </row>
    <row r="142" spans="1:5" s="506" customFormat="1" ht="12.75">
      <c r="A142" s="512">
        <v>6</v>
      </c>
      <c r="B142" s="511" t="s">
        <v>533</v>
      </c>
      <c r="C142" s="530">
        <v>7</v>
      </c>
      <c r="D142" s="530">
        <v>11</v>
      </c>
      <c r="E142" s="531">
        <f t="shared" si="16"/>
        <v>4</v>
      </c>
    </row>
    <row r="143" spans="1:5" s="506" customFormat="1" ht="12.75">
      <c r="A143" s="512">
        <v>7</v>
      </c>
      <c r="B143" s="511" t="s">
        <v>844</v>
      </c>
      <c r="C143" s="530">
        <v>590</v>
      </c>
      <c r="D143" s="530">
        <v>590</v>
      </c>
      <c r="E143" s="531">
        <f t="shared" si="16"/>
        <v>0</v>
      </c>
    </row>
    <row r="144" spans="1:5" s="506" customFormat="1" ht="12.75">
      <c r="A144" s="512"/>
      <c r="B144" s="516" t="s">
        <v>892</v>
      </c>
      <c r="C144" s="532">
        <f>SUM(C138+C139+C142)</f>
        <v>8400</v>
      </c>
      <c r="D144" s="532">
        <f>SUM(D138+D139+D142)</f>
        <v>7860</v>
      </c>
      <c r="E144" s="533">
        <f t="shared" si="16"/>
        <v>-540</v>
      </c>
    </row>
    <row r="145" spans="1:5" s="506" customFormat="1" ht="12.75">
      <c r="A145" s="512"/>
      <c r="B145" s="516" t="s">
        <v>806</v>
      </c>
      <c r="C145" s="532">
        <f>SUM(C137+C144)</f>
        <v>15856</v>
      </c>
      <c r="D145" s="532">
        <f>SUM(D137+D144)</f>
        <v>14888</v>
      </c>
      <c r="E145" s="533">
        <f t="shared" si="16"/>
        <v>-968</v>
      </c>
    </row>
    <row r="146" spans="1:5" s="506" customFormat="1" ht="12.75">
      <c r="A146" s="512"/>
      <c r="B146" s="511"/>
      <c r="C146" s="534"/>
      <c r="D146" s="534"/>
      <c r="E146" s="511"/>
    </row>
    <row r="147" spans="1:5" s="506" customFormat="1" ht="12.75">
      <c r="A147" s="508" t="s">
        <v>141</v>
      </c>
      <c r="B147" s="509" t="s">
        <v>254</v>
      </c>
      <c r="C147" s="534"/>
      <c r="D147" s="534"/>
      <c r="E147" s="511"/>
    </row>
    <row r="148" spans="1:5" s="506" customFormat="1" ht="12.75">
      <c r="A148" s="512"/>
      <c r="B148" s="511"/>
      <c r="C148" s="534"/>
      <c r="D148" s="534"/>
      <c r="E148" s="511"/>
    </row>
    <row r="149" spans="1:5" s="506" customFormat="1" ht="12.75">
      <c r="A149" s="512">
        <v>1</v>
      </c>
      <c r="B149" s="511" t="s">
        <v>737</v>
      </c>
      <c r="C149" s="534">
        <v>29274</v>
      </c>
      <c r="D149" s="534">
        <v>27630</v>
      </c>
      <c r="E149" s="531">
        <f aca="true" t="shared" si="17" ref="E149:E157">D149-C149</f>
        <v>-1644</v>
      </c>
    </row>
    <row r="150" spans="1:5" s="506" customFormat="1" ht="12.75">
      <c r="A150" s="512">
        <v>2</v>
      </c>
      <c r="B150" s="511" t="s">
        <v>716</v>
      </c>
      <c r="C150" s="534">
        <v>35679</v>
      </c>
      <c r="D150" s="534">
        <v>34020</v>
      </c>
      <c r="E150" s="531">
        <f t="shared" si="17"/>
        <v>-1659</v>
      </c>
    </row>
    <row r="151" spans="1:5" s="506" customFormat="1" ht="12.75">
      <c r="A151" s="512">
        <v>3</v>
      </c>
      <c r="B151" s="511" t="s">
        <v>862</v>
      </c>
      <c r="C151" s="534">
        <f>C152+C153</f>
        <v>11964</v>
      </c>
      <c r="D151" s="534">
        <f>D152+D153</f>
        <v>13588</v>
      </c>
      <c r="E151" s="531">
        <f t="shared" si="17"/>
        <v>1624</v>
      </c>
    </row>
    <row r="152" spans="1:5" s="506" customFormat="1" ht="12.75">
      <c r="A152" s="512">
        <v>4</v>
      </c>
      <c r="B152" s="511" t="s">
        <v>229</v>
      </c>
      <c r="C152" s="534">
        <v>8888</v>
      </c>
      <c r="D152" s="534">
        <v>10144</v>
      </c>
      <c r="E152" s="531">
        <f t="shared" si="17"/>
        <v>1256</v>
      </c>
    </row>
    <row r="153" spans="1:5" s="506" customFormat="1" ht="12.75">
      <c r="A153" s="512">
        <v>5</v>
      </c>
      <c r="B153" s="511" t="s">
        <v>829</v>
      </c>
      <c r="C153" s="535">
        <v>3076</v>
      </c>
      <c r="D153" s="534">
        <v>3444</v>
      </c>
      <c r="E153" s="531">
        <f t="shared" si="17"/>
        <v>368</v>
      </c>
    </row>
    <row r="154" spans="1:5" s="506" customFormat="1" ht="12.75">
      <c r="A154" s="512">
        <v>6</v>
      </c>
      <c r="B154" s="511" t="s">
        <v>533</v>
      </c>
      <c r="C154" s="534">
        <v>54</v>
      </c>
      <c r="D154" s="534">
        <v>34</v>
      </c>
      <c r="E154" s="531">
        <f t="shared" si="17"/>
        <v>-20</v>
      </c>
    </row>
    <row r="155" spans="1:5" s="506" customFormat="1" ht="12.75">
      <c r="A155" s="512">
        <v>7</v>
      </c>
      <c r="B155" s="511" t="s">
        <v>844</v>
      </c>
      <c r="C155" s="534">
        <v>2335</v>
      </c>
      <c r="D155" s="534">
        <v>2636</v>
      </c>
      <c r="E155" s="531">
        <f t="shared" si="17"/>
        <v>301</v>
      </c>
    </row>
    <row r="156" spans="1:5" s="506" customFormat="1" ht="12.75">
      <c r="A156" s="512"/>
      <c r="B156" s="516" t="s">
        <v>893</v>
      </c>
      <c r="C156" s="532">
        <f>SUM(C150+C151+C154)</f>
        <v>47697</v>
      </c>
      <c r="D156" s="532">
        <f>SUM(D150+D151+D154)</f>
        <v>47642</v>
      </c>
      <c r="E156" s="533">
        <f t="shared" si="17"/>
        <v>-55</v>
      </c>
    </row>
    <row r="157" spans="1:5" s="506" customFormat="1" ht="12.75">
      <c r="A157" s="512"/>
      <c r="B157" s="516" t="s">
        <v>894</v>
      </c>
      <c r="C157" s="532">
        <f>SUM(C149+C156)</f>
        <v>76971</v>
      </c>
      <c r="D157" s="532">
        <f>SUM(D149+D156)</f>
        <v>75272</v>
      </c>
      <c r="E157" s="533">
        <f t="shared" si="17"/>
        <v>-1699</v>
      </c>
    </row>
    <row r="158" spans="1:5" s="506" customFormat="1" ht="12.75">
      <c r="A158" s="512"/>
      <c r="B158" s="511"/>
      <c r="C158" s="534"/>
      <c r="D158" s="534"/>
      <c r="E158" s="511"/>
    </row>
    <row r="159" spans="1:5" s="506" customFormat="1" ht="12.75">
      <c r="A159" s="508" t="s">
        <v>151</v>
      </c>
      <c r="B159" s="509" t="s">
        <v>895</v>
      </c>
      <c r="C159" s="534"/>
      <c r="D159" s="534"/>
      <c r="E159" s="511"/>
    </row>
    <row r="160" spans="1:5" s="506" customFormat="1" ht="12.75">
      <c r="A160" s="512"/>
      <c r="B160" s="511"/>
      <c r="C160" s="534"/>
      <c r="D160" s="534"/>
      <c r="E160" s="511"/>
    </row>
    <row r="161" spans="1:5" s="506" customFormat="1" ht="12.75">
      <c r="A161" s="512">
        <v>1</v>
      </c>
      <c r="B161" s="511" t="s">
        <v>737</v>
      </c>
      <c r="C161" s="536">
        <f aca="true" t="shared" si="18" ref="C161:D169">IF(C137=0,0,C149/C137)</f>
        <v>3.9262339055793993</v>
      </c>
      <c r="D161" s="536">
        <f t="shared" si="18"/>
        <v>3.9314171883893</v>
      </c>
      <c r="E161" s="537">
        <f aca="true" t="shared" si="19" ref="E161:E169">D161-C161</f>
        <v>0.005183282809900547</v>
      </c>
    </row>
    <row r="162" spans="1:5" s="506" customFormat="1" ht="12.75">
      <c r="A162" s="512">
        <v>2</v>
      </c>
      <c r="B162" s="511" t="s">
        <v>716</v>
      </c>
      <c r="C162" s="536">
        <f t="shared" si="18"/>
        <v>6.191046330036439</v>
      </c>
      <c r="D162" s="536">
        <f t="shared" si="18"/>
        <v>6.679756528568624</v>
      </c>
      <c r="E162" s="537">
        <f t="shared" si="19"/>
        <v>0.48871019853218467</v>
      </c>
    </row>
    <row r="163" spans="1:5" s="506" customFormat="1" ht="12.75">
      <c r="A163" s="512">
        <v>3</v>
      </c>
      <c r="B163" s="511" t="s">
        <v>862</v>
      </c>
      <c r="C163" s="536">
        <f t="shared" si="18"/>
        <v>4.549049429657795</v>
      </c>
      <c r="D163" s="536">
        <f t="shared" si="18"/>
        <v>4.93033381712627</v>
      </c>
      <c r="E163" s="537">
        <f t="shared" si="19"/>
        <v>0.38128438746847504</v>
      </c>
    </row>
    <row r="164" spans="1:5" s="506" customFormat="1" ht="12.75">
      <c r="A164" s="512">
        <v>4</v>
      </c>
      <c r="B164" s="511" t="s">
        <v>229</v>
      </c>
      <c r="C164" s="536">
        <f t="shared" si="18"/>
        <v>4.0235400633770935</v>
      </c>
      <c r="D164" s="536">
        <f t="shared" si="18"/>
        <v>4.439387308533917</v>
      </c>
      <c r="E164" s="537">
        <f t="shared" si="19"/>
        <v>0.41584724515682314</v>
      </c>
    </row>
    <row r="165" spans="1:5" s="506" customFormat="1" ht="12.75">
      <c r="A165" s="512">
        <v>5</v>
      </c>
      <c r="B165" s="511" t="s">
        <v>829</v>
      </c>
      <c r="C165" s="536">
        <f t="shared" si="18"/>
        <v>7.306413301662708</v>
      </c>
      <c r="D165" s="536">
        <f t="shared" si="18"/>
        <v>7.312101910828026</v>
      </c>
      <c r="E165" s="537">
        <f t="shared" si="19"/>
        <v>0.0056886091653174375</v>
      </c>
    </row>
    <row r="166" spans="1:5" s="506" customFormat="1" ht="12.75">
      <c r="A166" s="512">
        <v>6</v>
      </c>
      <c r="B166" s="511" t="s">
        <v>533</v>
      </c>
      <c r="C166" s="536">
        <f t="shared" si="18"/>
        <v>7.714285714285714</v>
      </c>
      <c r="D166" s="536">
        <f t="shared" si="18"/>
        <v>3.090909090909091</v>
      </c>
      <c r="E166" s="537">
        <f t="shared" si="19"/>
        <v>-4.623376623376624</v>
      </c>
    </row>
    <row r="167" spans="1:5" s="506" customFormat="1" ht="12.75">
      <c r="A167" s="512">
        <v>7</v>
      </c>
      <c r="B167" s="511" t="s">
        <v>844</v>
      </c>
      <c r="C167" s="536">
        <f t="shared" si="18"/>
        <v>3.957627118644068</v>
      </c>
      <c r="D167" s="536">
        <f t="shared" si="18"/>
        <v>4.467796610169492</v>
      </c>
      <c r="E167" s="537">
        <f t="shared" si="19"/>
        <v>0.5101694915254238</v>
      </c>
    </row>
    <row r="168" spans="1:5" s="506" customFormat="1" ht="12.75">
      <c r="A168" s="512"/>
      <c r="B168" s="516" t="s">
        <v>896</v>
      </c>
      <c r="C168" s="538">
        <f t="shared" si="18"/>
        <v>5.678214285714286</v>
      </c>
      <c r="D168" s="538">
        <f t="shared" si="18"/>
        <v>6.061323155216285</v>
      </c>
      <c r="E168" s="539">
        <f t="shared" si="19"/>
        <v>0.3831088695019993</v>
      </c>
    </row>
    <row r="169" spans="1:5" s="506" customFormat="1" ht="12.75">
      <c r="A169" s="512"/>
      <c r="B169" s="516" t="s">
        <v>830</v>
      </c>
      <c r="C169" s="538">
        <f t="shared" si="18"/>
        <v>4.854376892028254</v>
      </c>
      <c r="D169" s="538">
        <f t="shared" si="18"/>
        <v>5.055883933369157</v>
      </c>
      <c r="E169" s="539">
        <f t="shared" si="19"/>
        <v>0.20150704134090258</v>
      </c>
    </row>
    <row r="170" spans="1:5" s="506" customFormat="1" ht="12.75">
      <c r="A170" s="512"/>
      <c r="B170" s="511"/>
      <c r="C170" s="534"/>
      <c r="D170" s="534"/>
      <c r="E170" s="540"/>
    </row>
    <row r="171" spans="1:5" s="506" customFormat="1" ht="12.75">
      <c r="A171" s="508" t="s">
        <v>436</v>
      </c>
      <c r="B171" s="509" t="s">
        <v>897</v>
      </c>
      <c r="C171" s="511"/>
      <c r="D171" s="511"/>
      <c r="E171" s="540"/>
    </row>
    <row r="172" spans="1:5" s="506" customFormat="1" ht="12.75">
      <c r="A172" s="512"/>
      <c r="B172" s="511"/>
      <c r="C172" s="511"/>
      <c r="D172" s="511"/>
      <c r="E172" s="540"/>
    </row>
    <row r="173" spans="1:5" s="506" customFormat="1" ht="12.75">
      <c r="A173" s="512">
        <v>1</v>
      </c>
      <c r="B173" s="511" t="s">
        <v>737</v>
      </c>
      <c r="C173" s="541">
        <f aca="true" t="shared" si="20" ref="C173:D181">IF(C137=0,0,C203/C137)</f>
        <v>1.0412</v>
      </c>
      <c r="D173" s="541">
        <f t="shared" si="20"/>
        <v>1.04837</v>
      </c>
      <c r="E173" s="542">
        <f aca="true" t="shared" si="21" ref="E173:E181">D173-C173</f>
        <v>0.007170000000000121</v>
      </c>
    </row>
    <row r="174" spans="1:5" s="506" customFormat="1" ht="12.75">
      <c r="A174" s="512">
        <v>2</v>
      </c>
      <c r="B174" s="511" t="s">
        <v>716</v>
      </c>
      <c r="C174" s="541">
        <f t="shared" si="20"/>
        <v>1.54308</v>
      </c>
      <c r="D174" s="541">
        <f t="shared" si="20"/>
        <v>1.57669</v>
      </c>
      <c r="E174" s="542">
        <f t="shared" si="21"/>
        <v>0.03360999999999992</v>
      </c>
    </row>
    <row r="175" spans="1:5" s="506" customFormat="1" ht="12.75">
      <c r="A175" s="512">
        <v>0</v>
      </c>
      <c r="B175" s="511" t="s">
        <v>862</v>
      </c>
      <c r="C175" s="541">
        <f t="shared" si="20"/>
        <v>0.9141323460076046</v>
      </c>
      <c r="D175" s="541">
        <f t="shared" si="20"/>
        <v>0.9668197024673439</v>
      </c>
      <c r="E175" s="542">
        <f t="shared" si="21"/>
        <v>0.05268735645973932</v>
      </c>
    </row>
    <row r="176" spans="1:5" s="506" customFormat="1" ht="12.75">
      <c r="A176" s="512">
        <v>4</v>
      </c>
      <c r="B176" s="511" t="s">
        <v>229</v>
      </c>
      <c r="C176" s="541">
        <f t="shared" si="20"/>
        <v>0.85699</v>
      </c>
      <c r="D176" s="541">
        <f t="shared" si="20"/>
        <v>0.88259</v>
      </c>
      <c r="E176" s="542">
        <f t="shared" si="21"/>
        <v>0.025599999999999956</v>
      </c>
    </row>
    <row r="177" spans="1:5" s="506" customFormat="1" ht="12.75">
      <c r="A177" s="512">
        <v>5</v>
      </c>
      <c r="B177" s="511" t="s">
        <v>829</v>
      </c>
      <c r="C177" s="541">
        <f t="shared" si="20"/>
        <v>1.21396</v>
      </c>
      <c r="D177" s="541">
        <f t="shared" si="20"/>
        <v>1.37545</v>
      </c>
      <c r="E177" s="542">
        <f t="shared" si="21"/>
        <v>0.16149000000000013</v>
      </c>
    </row>
    <row r="178" spans="1:5" s="506" customFormat="1" ht="12.75">
      <c r="A178" s="512">
        <v>6</v>
      </c>
      <c r="B178" s="511" t="s">
        <v>533</v>
      </c>
      <c r="C178" s="541">
        <f t="shared" si="20"/>
        <v>1.30937</v>
      </c>
      <c r="D178" s="541">
        <f t="shared" si="20"/>
        <v>1.02872</v>
      </c>
      <c r="E178" s="542">
        <f t="shared" si="21"/>
        <v>-0.28064999999999984</v>
      </c>
    </row>
    <row r="179" spans="1:5" s="506" customFormat="1" ht="12.75">
      <c r="A179" s="512">
        <v>7</v>
      </c>
      <c r="B179" s="511" t="s">
        <v>844</v>
      </c>
      <c r="C179" s="541">
        <f t="shared" si="20"/>
        <v>1.13722</v>
      </c>
      <c r="D179" s="541">
        <f t="shared" si="20"/>
        <v>1.23076</v>
      </c>
      <c r="E179" s="542">
        <f t="shared" si="21"/>
        <v>0.09354000000000018</v>
      </c>
    </row>
    <row r="180" spans="1:5" s="506" customFormat="1" ht="12.75">
      <c r="A180" s="512"/>
      <c r="B180" s="516" t="s">
        <v>898</v>
      </c>
      <c r="C180" s="543">
        <f t="shared" si="20"/>
        <v>1.3459647261904761</v>
      </c>
      <c r="D180" s="543">
        <f t="shared" si="20"/>
        <v>1.3620805585241729</v>
      </c>
      <c r="E180" s="544">
        <f t="shared" si="21"/>
        <v>0.016115832333696734</v>
      </c>
    </row>
    <row r="181" spans="1:5" s="506" customFormat="1" ht="12.75">
      <c r="A181" s="512"/>
      <c r="B181" s="516" t="s">
        <v>807</v>
      </c>
      <c r="C181" s="543">
        <f t="shared" si="20"/>
        <v>1.2026545724016144</v>
      </c>
      <c r="D181" s="543">
        <f t="shared" si="20"/>
        <v>1.2139909692369693</v>
      </c>
      <c r="E181" s="544">
        <f t="shared" si="21"/>
        <v>0.011336396835354812</v>
      </c>
    </row>
    <row r="182" spans="1:5" s="506" customFormat="1" ht="12.75">
      <c r="A182" s="508"/>
      <c r="B182" s="511"/>
      <c r="C182" s="545"/>
      <c r="D182" s="545"/>
      <c r="E182" s="511"/>
    </row>
    <row r="183" spans="1:5" s="506" customFormat="1" ht="12.75">
      <c r="A183" s="508" t="s">
        <v>457</v>
      </c>
      <c r="B183" s="509" t="s">
        <v>899</v>
      </c>
      <c r="C183" s="340"/>
      <c r="D183" s="340"/>
      <c r="E183" s="511"/>
    </row>
    <row r="184" spans="1:5" s="506" customFormat="1" ht="12.75">
      <c r="A184" s="505"/>
      <c r="B184" s="511"/>
      <c r="C184" s="545"/>
      <c r="D184" s="545"/>
      <c r="E184" s="511"/>
    </row>
    <row r="185" spans="1:5" s="506" customFormat="1" ht="12.75">
      <c r="A185" s="512">
        <v>1</v>
      </c>
      <c r="B185" s="511" t="s">
        <v>900</v>
      </c>
      <c r="C185" s="513">
        <v>448979147</v>
      </c>
      <c r="D185" s="513">
        <v>520905477</v>
      </c>
      <c r="E185" s="514">
        <f>D185-C185</f>
        <v>71926330</v>
      </c>
    </row>
    <row r="186" spans="1:5" s="506" customFormat="1" ht="25.5">
      <c r="A186" s="512">
        <v>2</v>
      </c>
      <c r="B186" s="511" t="s">
        <v>901</v>
      </c>
      <c r="C186" s="513">
        <v>236677914</v>
      </c>
      <c r="D186" s="513">
        <v>285258976</v>
      </c>
      <c r="E186" s="514">
        <f>D186-C186</f>
        <v>48581062</v>
      </c>
    </row>
    <row r="187" spans="1:5" s="506" customFormat="1" ht="12.75">
      <c r="A187" s="512"/>
      <c r="B187" s="511" t="s">
        <v>749</v>
      </c>
      <c r="C187" s="510"/>
      <c r="D187" s="510"/>
      <c r="E187" s="511"/>
    </row>
    <row r="188" spans="1:5" s="506" customFormat="1" ht="12.75">
      <c r="A188" s="512">
        <v>3</v>
      </c>
      <c r="B188" s="511" t="s">
        <v>833</v>
      </c>
      <c r="C188" s="546">
        <f>+C185-C186</f>
        <v>212301233</v>
      </c>
      <c r="D188" s="546">
        <f>+D185-D186</f>
        <v>235646501</v>
      </c>
      <c r="E188" s="514">
        <f aca="true" t="shared" si="22" ref="E188:E197">D188-C188</f>
        <v>23345268</v>
      </c>
    </row>
    <row r="189" spans="1:5" s="506" customFormat="1" ht="12.75">
      <c r="A189" s="512">
        <v>4</v>
      </c>
      <c r="B189" s="511" t="s">
        <v>751</v>
      </c>
      <c r="C189" s="547">
        <f>IF(C185=0,0,+C188/C185)</f>
        <v>0.4728532147173419</v>
      </c>
      <c r="D189" s="547">
        <f>IF(D185=0,0,+D188/D185)</f>
        <v>0.452378620315409</v>
      </c>
      <c r="E189" s="523">
        <f t="shared" si="22"/>
        <v>-0.02047459440193289</v>
      </c>
    </row>
    <row r="190" spans="1:5" s="506" customFormat="1" ht="12.75">
      <c r="A190" s="512">
        <v>5</v>
      </c>
      <c r="B190" s="511" t="s">
        <v>848</v>
      </c>
      <c r="C190" s="513">
        <v>17205916</v>
      </c>
      <c r="D190" s="513">
        <v>19743013</v>
      </c>
      <c r="E190" s="546">
        <f t="shared" si="22"/>
        <v>2537097</v>
      </c>
    </row>
    <row r="191" spans="1:5" s="506" customFormat="1" ht="12.75">
      <c r="A191" s="512">
        <v>6</v>
      </c>
      <c r="B191" s="511" t="s">
        <v>834</v>
      </c>
      <c r="C191" s="513">
        <v>10338294</v>
      </c>
      <c r="D191" s="513">
        <v>12159825</v>
      </c>
      <c r="E191" s="546">
        <f t="shared" si="22"/>
        <v>1821531</v>
      </c>
    </row>
    <row r="192" spans="1:5" ht="29.25">
      <c r="A192" s="512">
        <v>7</v>
      </c>
      <c r="B192" s="548" t="s">
        <v>902</v>
      </c>
      <c r="C192" s="513">
        <v>3030349</v>
      </c>
      <c r="D192" s="513">
        <v>2936412</v>
      </c>
      <c r="E192" s="546">
        <f t="shared" si="22"/>
        <v>-93937</v>
      </c>
    </row>
    <row r="193" spans="1:5" s="506" customFormat="1" ht="12.75">
      <c r="A193" s="512">
        <v>8</v>
      </c>
      <c r="B193" s="511" t="s">
        <v>903</v>
      </c>
      <c r="C193" s="513">
        <v>15715201</v>
      </c>
      <c r="D193" s="513">
        <v>11909791</v>
      </c>
      <c r="E193" s="546">
        <f t="shared" si="22"/>
        <v>-3805410</v>
      </c>
    </row>
    <row r="194" spans="1:5" s="506" customFormat="1" ht="12.75">
      <c r="A194" s="512">
        <v>9</v>
      </c>
      <c r="B194" s="511" t="s">
        <v>904</v>
      </c>
      <c r="C194" s="513">
        <v>44824866</v>
      </c>
      <c r="D194" s="513">
        <v>47934677</v>
      </c>
      <c r="E194" s="546">
        <f t="shared" si="22"/>
        <v>3109811</v>
      </c>
    </row>
    <row r="195" spans="1:5" s="506" customFormat="1" ht="12.75">
      <c r="A195" s="512">
        <v>10</v>
      </c>
      <c r="B195" s="511" t="s">
        <v>905</v>
      </c>
      <c r="C195" s="513">
        <f>+C193+C194</f>
        <v>60540067</v>
      </c>
      <c r="D195" s="513">
        <f>+D193+D194</f>
        <v>59844468</v>
      </c>
      <c r="E195" s="549">
        <f t="shared" si="22"/>
        <v>-695599</v>
      </c>
    </row>
    <row r="196" spans="1:5" s="506" customFormat="1" ht="12.75">
      <c r="A196" s="512">
        <v>11</v>
      </c>
      <c r="B196" s="511" t="s">
        <v>906</v>
      </c>
      <c r="C196" s="513">
        <v>448979147</v>
      </c>
      <c r="D196" s="513">
        <v>520905477</v>
      </c>
      <c r="E196" s="546">
        <f t="shared" si="22"/>
        <v>71926330</v>
      </c>
    </row>
    <row r="197" spans="1:5" s="506" customFormat="1" ht="12.75">
      <c r="A197" s="512">
        <v>12</v>
      </c>
      <c r="B197" s="511" t="s">
        <v>791</v>
      </c>
      <c r="C197" s="513">
        <v>389133838</v>
      </c>
      <c r="D197" s="513">
        <v>425519879</v>
      </c>
      <c r="E197" s="546">
        <f t="shared" si="22"/>
        <v>36386041</v>
      </c>
    </row>
    <row r="198" spans="1:5" s="506" customFormat="1" ht="12.75">
      <c r="A198" s="512"/>
      <c r="B198" s="511"/>
      <c r="C198" s="513"/>
      <c r="D198" s="513"/>
      <c r="E198" s="510"/>
    </row>
    <row r="199" spans="1:5" s="506" customFormat="1" ht="15.75" customHeight="1">
      <c r="A199" s="529" t="s">
        <v>259</v>
      </c>
      <c r="B199" s="550" t="s">
        <v>907</v>
      </c>
      <c r="C199" s="510"/>
      <c r="D199" s="510"/>
      <c r="E199" s="510"/>
    </row>
    <row r="200" spans="1:5" s="506" customFormat="1" ht="12.75">
      <c r="A200" s="508"/>
      <c r="B200" s="551"/>
      <c r="C200" s="510"/>
      <c r="D200" s="510"/>
      <c r="E200" s="510"/>
    </row>
    <row r="201" spans="1:5" s="506" customFormat="1" ht="12.75">
      <c r="A201" s="508" t="s">
        <v>129</v>
      </c>
      <c r="B201" s="509" t="s">
        <v>908</v>
      </c>
      <c r="C201" s="510"/>
      <c r="D201" s="510"/>
      <c r="E201" s="510"/>
    </row>
    <row r="202" spans="2:5" s="506" customFormat="1" ht="12.75">
      <c r="B202" s="552"/>
      <c r="C202" s="510"/>
      <c r="D202" s="510"/>
      <c r="E202" s="510"/>
    </row>
    <row r="203" spans="1:5" s="506" customFormat="1" ht="12.75">
      <c r="A203" s="512">
        <v>1</v>
      </c>
      <c r="B203" s="511" t="s">
        <v>737</v>
      </c>
      <c r="C203" s="553">
        <v>7763.187199999999</v>
      </c>
      <c r="D203" s="553">
        <v>7367.94436</v>
      </c>
      <c r="E203" s="554">
        <f aca="true" t="shared" si="23" ref="E203:E211">D203-C203</f>
        <v>-395.242839999999</v>
      </c>
    </row>
    <row r="204" spans="1:5" s="506" customFormat="1" ht="12.75">
      <c r="A204" s="512">
        <v>2</v>
      </c>
      <c r="B204" s="511" t="s">
        <v>716</v>
      </c>
      <c r="C204" s="553">
        <v>8892.77004</v>
      </c>
      <c r="D204" s="553">
        <v>8030.08217</v>
      </c>
      <c r="E204" s="554">
        <f t="shared" si="23"/>
        <v>-862.6878699999997</v>
      </c>
    </row>
    <row r="205" spans="1:5" s="506" customFormat="1" ht="12.75">
      <c r="A205" s="512">
        <v>3</v>
      </c>
      <c r="B205" s="511" t="s">
        <v>862</v>
      </c>
      <c r="C205" s="553">
        <f>C206+C207</f>
        <v>2404.16807</v>
      </c>
      <c r="D205" s="553">
        <f>D206+D207</f>
        <v>2664.5551</v>
      </c>
      <c r="E205" s="554">
        <f t="shared" si="23"/>
        <v>260.38702999999987</v>
      </c>
    </row>
    <row r="206" spans="1:5" s="506" customFormat="1" ht="12.75">
      <c r="A206" s="512">
        <v>4</v>
      </c>
      <c r="B206" s="511" t="s">
        <v>229</v>
      </c>
      <c r="C206" s="553">
        <v>1893.0909100000001</v>
      </c>
      <c r="D206" s="553">
        <v>2016.71815</v>
      </c>
      <c r="E206" s="554">
        <f t="shared" si="23"/>
        <v>123.6272399999998</v>
      </c>
    </row>
    <row r="207" spans="1:5" s="506" customFormat="1" ht="12.75">
      <c r="A207" s="512">
        <v>5</v>
      </c>
      <c r="B207" s="511" t="s">
        <v>829</v>
      </c>
      <c r="C207" s="553">
        <v>511.07716</v>
      </c>
      <c r="D207" s="553">
        <v>647.83695</v>
      </c>
      <c r="E207" s="554">
        <f t="shared" si="23"/>
        <v>136.75979</v>
      </c>
    </row>
    <row r="208" spans="1:5" s="506" customFormat="1" ht="12.75">
      <c r="A208" s="512">
        <v>6</v>
      </c>
      <c r="B208" s="511" t="s">
        <v>533</v>
      </c>
      <c r="C208" s="553">
        <v>9.16559</v>
      </c>
      <c r="D208" s="553">
        <v>11.31592</v>
      </c>
      <c r="E208" s="554">
        <f t="shared" si="23"/>
        <v>2.1503300000000003</v>
      </c>
    </row>
    <row r="209" spans="1:5" s="506" customFormat="1" ht="12.75">
      <c r="A209" s="512">
        <v>7</v>
      </c>
      <c r="B209" s="511" t="s">
        <v>844</v>
      </c>
      <c r="C209" s="553">
        <v>670.9598</v>
      </c>
      <c r="D209" s="553">
        <v>726.1484</v>
      </c>
      <c r="E209" s="554">
        <f t="shared" si="23"/>
        <v>55.188600000000065</v>
      </c>
    </row>
    <row r="210" spans="1:5" s="506" customFormat="1" ht="12.75">
      <c r="A210" s="512"/>
      <c r="B210" s="516" t="s">
        <v>909</v>
      </c>
      <c r="C210" s="555">
        <f>C204+C205+C208</f>
        <v>11306.1037</v>
      </c>
      <c r="D210" s="555">
        <f>D204+D205+D208</f>
        <v>10705.953189999998</v>
      </c>
      <c r="E210" s="556">
        <f t="shared" si="23"/>
        <v>-600.1505100000013</v>
      </c>
    </row>
    <row r="211" spans="1:5" s="506" customFormat="1" ht="12.75">
      <c r="A211" s="512"/>
      <c r="B211" s="516" t="s">
        <v>808</v>
      </c>
      <c r="C211" s="555">
        <f>C210+C203</f>
        <v>19069.2909</v>
      </c>
      <c r="D211" s="555">
        <f>D210+D203</f>
        <v>18073.897549999998</v>
      </c>
      <c r="E211" s="556">
        <f t="shared" si="23"/>
        <v>-995.3933500000021</v>
      </c>
    </row>
    <row r="212" spans="1:5" s="506" customFormat="1" ht="12.75">
      <c r="A212" s="512"/>
      <c r="B212" s="551"/>
      <c r="C212" s="510"/>
      <c r="D212" s="510"/>
      <c r="E212" s="555"/>
    </row>
    <row r="213" spans="1:5" s="506" customFormat="1" ht="12.75">
      <c r="A213" s="508" t="s">
        <v>141</v>
      </c>
      <c r="B213" s="509" t="s">
        <v>910</v>
      </c>
      <c r="C213" s="510"/>
      <c r="D213" s="510"/>
      <c r="E213" s="555"/>
    </row>
    <row r="214" spans="1:5" s="506" customFormat="1" ht="12.75">
      <c r="A214" s="505"/>
      <c r="B214" s="551"/>
      <c r="C214" s="510"/>
      <c r="D214" s="510"/>
      <c r="E214" s="510"/>
    </row>
    <row r="215" spans="1:5" s="506" customFormat="1" ht="12.75">
      <c r="A215" s="512">
        <v>1</v>
      </c>
      <c r="B215" s="511" t="s">
        <v>737</v>
      </c>
      <c r="C215" s="557">
        <f>IF(C14*C137=0,0,C25/C14*C137)</f>
        <v>13314.057981616814</v>
      </c>
      <c r="D215" s="557">
        <f>IF(D14*D137=0,0,D25/D14*D137)</f>
        <v>14180.984557382311</v>
      </c>
      <c r="E215" s="557">
        <f aca="true" t="shared" si="24" ref="E215:E223">D215-C215</f>
        <v>866.9265757654975</v>
      </c>
    </row>
    <row r="216" spans="1:5" s="506" customFormat="1" ht="12.75">
      <c r="A216" s="512">
        <v>2</v>
      </c>
      <c r="B216" s="511" t="s">
        <v>716</v>
      </c>
      <c r="C216" s="557">
        <f>IF(C15*C138=0,0,C26/C15*C138)</f>
        <v>3477.785972758359</v>
      </c>
      <c r="D216" s="557">
        <f>IF(D15*D138=0,0,D26/D15*D138)</f>
        <v>3694.2702896748224</v>
      </c>
      <c r="E216" s="557">
        <f t="shared" si="24"/>
        <v>216.48431691646329</v>
      </c>
    </row>
    <row r="217" spans="1:5" s="506" customFormat="1" ht="12.75">
      <c r="A217" s="512">
        <v>3</v>
      </c>
      <c r="B217" s="511" t="s">
        <v>862</v>
      </c>
      <c r="C217" s="557">
        <f>C218+C219</f>
        <v>2146.8622400491527</v>
      </c>
      <c r="D217" s="557">
        <f>D218+D219</f>
        <v>2246.44656361272</v>
      </c>
      <c r="E217" s="557">
        <f t="shared" si="24"/>
        <v>99.58432356356752</v>
      </c>
    </row>
    <row r="218" spans="1:5" s="506" customFormat="1" ht="12.75">
      <c r="A218" s="512">
        <v>4</v>
      </c>
      <c r="B218" s="511" t="s">
        <v>229</v>
      </c>
      <c r="C218" s="557">
        <f aca="true" t="shared" si="25" ref="C218:D221">IF(C17*C140=0,0,C28/C17*C140)</f>
        <v>1939.377468912678</v>
      </c>
      <c r="D218" s="557">
        <f t="shared" si="25"/>
        <v>1974.2131631004152</v>
      </c>
      <c r="E218" s="557">
        <f t="shared" si="24"/>
        <v>34.83569418773709</v>
      </c>
    </row>
    <row r="219" spans="1:5" s="506" customFormat="1" ht="12.75">
      <c r="A219" s="512">
        <v>5</v>
      </c>
      <c r="B219" s="511" t="s">
        <v>829</v>
      </c>
      <c r="C219" s="557">
        <f t="shared" si="25"/>
        <v>207.48477113647476</v>
      </c>
      <c r="D219" s="557">
        <f t="shared" si="25"/>
        <v>272.23340051230485</v>
      </c>
      <c r="E219" s="557">
        <f t="shared" si="24"/>
        <v>64.74862937583009</v>
      </c>
    </row>
    <row r="220" spans="1:5" s="506" customFormat="1" ht="12.75">
      <c r="A220" s="512">
        <v>6</v>
      </c>
      <c r="B220" s="511" t="s">
        <v>533</v>
      </c>
      <c r="C220" s="557">
        <f t="shared" si="25"/>
        <v>2.642367186577498</v>
      </c>
      <c r="D220" s="557">
        <f t="shared" si="25"/>
        <v>15.97452497343252</v>
      </c>
      <c r="E220" s="557">
        <f t="shared" si="24"/>
        <v>13.33215778685502</v>
      </c>
    </row>
    <row r="221" spans="1:5" s="506" customFormat="1" ht="12.75">
      <c r="A221" s="512">
        <v>7</v>
      </c>
      <c r="B221" s="511" t="s">
        <v>844</v>
      </c>
      <c r="C221" s="557">
        <f t="shared" si="25"/>
        <v>1219.9471005871212</v>
      </c>
      <c r="D221" s="557">
        <f t="shared" si="25"/>
        <v>1047.5058749535117</v>
      </c>
      <c r="E221" s="557">
        <f t="shared" si="24"/>
        <v>-172.44122563360952</v>
      </c>
    </row>
    <row r="222" spans="1:5" s="506" customFormat="1" ht="12.75">
      <c r="A222" s="512"/>
      <c r="B222" s="516" t="s">
        <v>911</v>
      </c>
      <c r="C222" s="558">
        <f>C216+C218+C219+C220</f>
        <v>5627.290579994089</v>
      </c>
      <c r="D222" s="558">
        <f>D216+D218+D219+D220</f>
        <v>5956.6913782609745</v>
      </c>
      <c r="E222" s="558">
        <f t="shared" si="24"/>
        <v>329.40079826688543</v>
      </c>
    </row>
    <row r="223" spans="1:5" s="506" customFormat="1" ht="12.75">
      <c r="A223" s="512"/>
      <c r="B223" s="516" t="s">
        <v>912</v>
      </c>
      <c r="C223" s="558">
        <f>C215+C222</f>
        <v>18941.348561610903</v>
      </c>
      <c r="D223" s="558">
        <f>D215+D222</f>
        <v>20137.675935643285</v>
      </c>
      <c r="E223" s="558">
        <f t="shared" si="24"/>
        <v>1196.327374032382</v>
      </c>
    </row>
    <row r="224" spans="1:5" s="506" customFormat="1" ht="12.75">
      <c r="A224" s="505"/>
      <c r="B224" s="551"/>
      <c r="C224" s="510"/>
      <c r="D224" s="510"/>
      <c r="E224" s="559"/>
    </row>
    <row r="225" spans="1:5" s="506" customFormat="1" ht="12.75">
      <c r="A225" s="508" t="s">
        <v>151</v>
      </c>
      <c r="B225" s="509" t="s">
        <v>913</v>
      </c>
      <c r="C225" s="510"/>
      <c r="D225" s="510"/>
      <c r="E225" s="559"/>
    </row>
    <row r="226" spans="1:5" s="506" customFormat="1" ht="12.75">
      <c r="A226" s="505"/>
      <c r="B226" s="551"/>
      <c r="C226" s="510"/>
      <c r="D226" s="510"/>
      <c r="E226" s="559"/>
    </row>
    <row r="227" spans="1:5" s="506" customFormat="1" ht="12.75">
      <c r="A227" s="512">
        <v>1</v>
      </c>
      <c r="B227" s="511" t="s">
        <v>737</v>
      </c>
      <c r="C227" s="560">
        <f aca="true" t="shared" si="26" ref="C227:D235">IF(C203=0,0,C47/C203)</f>
        <v>9535.799162488314</v>
      </c>
      <c r="D227" s="560">
        <f t="shared" si="26"/>
        <v>10287.673643615843</v>
      </c>
      <c r="E227" s="560">
        <f aca="true" t="shared" si="27" ref="E227:E235">D227-C227</f>
        <v>751.8744811275283</v>
      </c>
    </row>
    <row r="228" spans="1:5" s="506" customFormat="1" ht="12.75">
      <c r="A228" s="512">
        <v>2</v>
      </c>
      <c r="B228" s="511" t="s">
        <v>716</v>
      </c>
      <c r="C228" s="560">
        <f t="shared" si="26"/>
        <v>7766.273803252423</v>
      </c>
      <c r="D228" s="560">
        <f t="shared" si="26"/>
        <v>8697.376256113703</v>
      </c>
      <c r="E228" s="560">
        <f t="shared" si="27"/>
        <v>931.1024528612797</v>
      </c>
    </row>
    <row r="229" spans="1:5" s="506" customFormat="1" ht="12.75">
      <c r="A229" s="512">
        <v>3</v>
      </c>
      <c r="B229" s="511" t="s">
        <v>862</v>
      </c>
      <c r="C229" s="560">
        <f t="shared" si="26"/>
        <v>5634.802811435724</v>
      </c>
      <c r="D229" s="560">
        <f t="shared" si="26"/>
        <v>6020.131841146764</v>
      </c>
      <c r="E229" s="560">
        <f t="shared" si="27"/>
        <v>385.32902971103977</v>
      </c>
    </row>
    <row r="230" spans="1:5" s="506" customFormat="1" ht="12.75">
      <c r="A230" s="512">
        <v>4</v>
      </c>
      <c r="B230" s="511" t="s">
        <v>229</v>
      </c>
      <c r="C230" s="560">
        <f t="shared" si="26"/>
        <v>5419.357805695659</v>
      </c>
      <c r="D230" s="560">
        <f t="shared" si="26"/>
        <v>6879.232479759256</v>
      </c>
      <c r="E230" s="560">
        <f t="shared" si="27"/>
        <v>1459.874674063597</v>
      </c>
    </row>
    <row r="231" spans="1:5" s="506" customFormat="1" ht="12.75">
      <c r="A231" s="512">
        <v>5</v>
      </c>
      <c r="B231" s="511" t="s">
        <v>829</v>
      </c>
      <c r="C231" s="560">
        <f t="shared" si="26"/>
        <v>6432.836873398921</v>
      </c>
      <c r="D231" s="560">
        <f t="shared" si="26"/>
        <v>3345.749266076904</v>
      </c>
      <c r="E231" s="560">
        <f t="shared" si="27"/>
        <v>-3087.087607322017</v>
      </c>
    </row>
    <row r="232" spans="1:5" s="506" customFormat="1" ht="12.75">
      <c r="A232" s="512">
        <v>6</v>
      </c>
      <c r="B232" s="511" t="s">
        <v>533</v>
      </c>
      <c r="C232" s="560">
        <f t="shared" si="26"/>
        <v>9094.450002673042</v>
      </c>
      <c r="D232" s="560">
        <f t="shared" si="26"/>
        <v>4759.754399112047</v>
      </c>
      <c r="E232" s="560">
        <f t="shared" si="27"/>
        <v>-4334.695603560995</v>
      </c>
    </row>
    <row r="233" spans="1:5" s="506" customFormat="1" ht="12.75">
      <c r="A233" s="512">
        <v>7</v>
      </c>
      <c r="B233" s="511" t="s">
        <v>844</v>
      </c>
      <c r="C233" s="560">
        <f t="shared" si="26"/>
        <v>1144.730280413223</v>
      </c>
      <c r="D233" s="560">
        <f t="shared" si="26"/>
        <v>652.018237594409</v>
      </c>
      <c r="E233" s="560">
        <f t="shared" si="27"/>
        <v>-492.712042818814</v>
      </c>
    </row>
    <row r="234" spans="1:5" ht="12.75">
      <c r="A234" s="512"/>
      <c r="B234" s="516" t="s">
        <v>914</v>
      </c>
      <c r="C234" s="561">
        <f t="shared" si="26"/>
        <v>7314.107334784131</v>
      </c>
      <c r="D234" s="561">
        <f t="shared" si="26"/>
        <v>8026.88732846963</v>
      </c>
      <c r="E234" s="561">
        <f t="shared" si="27"/>
        <v>712.779993685499</v>
      </c>
    </row>
    <row r="235" spans="1:5" s="506" customFormat="1" ht="12.75">
      <c r="A235" s="512"/>
      <c r="B235" s="516" t="s">
        <v>915</v>
      </c>
      <c r="C235" s="561">
        <f t="shared" si="26"/>
        <v>8218.56726722859</v>
      </c>
      <c r="D235" s="561">
        <f t="shared" si="26"/>
        <v>8948.511883094083</v>
      </c>
      <c r="E235" s="561">
        <f t="shared" si="27"/>
        <v>729.9446158654937</v>
      </c>
    </row>
    <row r="236" spans="1:5" s="506" customFormat="1" ht="12.75">
      <c r="A236" s="505"/>
      <c r="B236" s="551"/>
      <c r="C236" s="510"/>
      <c r="D236" s="510"/>
      <c r="E236" s="561"/>
    </row>
    <row r="237" spans="1:5" s="506" customFormat="1" ht="12.75">
      <c r="A237" s="508" t="s">
        <v>436</v>
      </c>
      <c r="B237" s="509" t="s">
        <v>916</v>
      </c>
      <c r="C237" s="340"/>
      <c r="D237" s="340"/>
      <c r="E237" s="561"/>
    </row>
    <row r="238" spans="1:5" s="506" customFormat="1" ht="12.75">
      <c r="A238" s="505"/>
      <c r="B238" s="519"/>
      <c r="C238" s="520"/>
      <c r="D238" s="520"/>
      <c r="E238" s="520"/>
    </row>
    <row r="239" spans="1:5" s="506" customFormat="1" ht="12.75">
      <c r="A239" s="512">
        <v>1</v>
      </c>
      <c r="B239" s="511" t="s">
        <v>737</v>
      </c>
      <c r="C239" s="560">
        <f aca="true" t="shared" si="28" ref="C239:D247">IF(C215=0,0,C58/C215)</f>
        <v>11856.511532243623</v>
      </c>
      <c r="D239" s="560">
        <f t="shared" si="28"/>
        <v>12969.593983815068</v>
      </c>
      <c r="E239" s="562">
        <f aca="true" t="shared" si="29" ref="E239:E247">D239-C239</f>
        <v>1113.0824515714448</v>
      </c>
    </row>
    <row r="240" spans="1:5" s="506" customFormat="1" ht="12.75">
      <c r="A240" s="512">
        <v>2</v>
      </c>
      <c r="B240" s="511" t="s">
        <v>716</v>
      </c>
      <c r="C240" s="560">
        <f t="shared" si="28"/>
        <v>6598.526240474452</v>
      </c>
      <c r="D240" s="560">
        <f t="shared" si="28"/>
        <v>7090.14797136177</v>
      </c>
      <c r="E240" s="562">
        <f t="shared" si="29"/>
        <v>491.62173088731834</v>
      </c>
    </row>
    <row r="241" spans="1:5" ht="12.75">
      <c r="A241" s="512">
        <v>3</v>
      </c>
      <c r="B241" s="511" t="s">
        <v>862</v>
      </c>
      <c r="C241" s="560">
        <f t="shared" si="28"/>
        <v>3295.144824866841</v>
      </c>
      <c r="D241" s="560">
        <f t="shared" si="28"/>
        <v>4220.290014267365</v>
      </c>
      <c r="E241" s="562">
        <f t="shared" si="29"/>
        <v>925.145189400524</v>
      </c>
    </row>
    <row r="242" spans="1:5" ht="12.75">
      <c r="A242" s="512">
        <v>4</v>
      </c>
      <c r="B242" s="511" t="s">
        <v>229</v>
      </c>
      <c r="C242" s="560">
        <f t="shared" si="28"/>
        <v>3176.333694055803</v>
      </c>
      <c r="D242" s="560">
        <f t="shared" si="28"/>
        <v>4045.7799336401963</v>
      </c>
      <c r="E242" s="562">
        <f t="shared" si="29"/>
        <v>869.4462395843934</v>
      </c>
    </row>
    <row r="243" spans="1:5" ht="12.75">
      <c r="A243" s="512">
        <v>5</v>
      </c>
      <c r="B243" s="511" t="s">
        <v>829</v>
      </c>
      <c r="C243" s="560">
        <f t="shared" si="28"/>
        <v>4405.682378485193</v>
      </c>
      <c r="D243" s="560">
        <f t="shared" si="28"/>
        <v>5485.822082042787</v>
      </c>
      <c r="E243" s="562">
        <f t="shared" si="29"/>
        <v>1080.1397035575937</v>
      </c>
    </row>
    <row r="244" spans="1:5" ht="12.75">
      <c r="A244" s="512">
        <v>6</v>
      </c>
      <c r="B244" s="511" t="s">
        <v>533</v>
      </c>
      <c r="C244" s="560">
        <f t="shared" si="28"/>
        <v>29743.784436635455</v>
      </c>
      <c r="D244" s="560">
        <f t="shared" si="28"/>
        <v>7925.055687762157</v>
      </c>
      <c r="E244" s="562">
        <f t="shared" si="29"/>
        <v>-21818.728748873298</v>
      </c>
    </row>
    <row r="245" spans="1:5" ht="12.75">
      <c r="A245" s="512">
        <v>7</v>
      </c>
      <c r="B245" s="511" t="s">
        <v>844</v>
      </c>
      <c r="C245" s="560">
        <f t="shared" si="28"/>
        <v>1581.8005543611614</v>
      </c>
      <c r="D245" s="560">
        <f t="shared" si="28"/>
        <v>1684.2836323741856</v>
      </c>
      <c r="E245" s="562">
        <f t="shared" si="29"/>
        <v>102.48307801302417</v>
      </c>
    </row>
    <row r="246" spans="1:5" ht="25.5">
      <c r="A246" s="512"/>
      <c r="B246" s="516" t="s">
        <v>917</v>
      </c>
      <c r="C246" s="561">
        <f t="shared" si="28"/>
        <v>5349.124515981831</v>
      </c>
      <c r="D246" s="561">
        <f t="shared" si="28"/>
        <v>6010.077696933105</v>
      </c>
      <c r="E246" s="563">
        <f t="shared" si="29"/>
        <v>660.9531809512737</v>
      </c>
    </row>
    <row r="247" spans="1:5" ht="12.75">
      <c r="A247" s="512"/>
      <c r="B247" s="516" t="s">
        <v>918</v>
      </c>
      <c r="C247" s="561">
        <f t="shared" si="28"/>
        <v>9923.230090435263</v>
      </c>
      <c r="D247" s="561">
        <f t="shared" si="28"/>
        <v>10910.980527355534</v>
      </c>
      <c r="E247" s="563">
        <f t="shared" si="29"/>
        <v>987.7504369202707</v>
      </c>
    </row>
    <row r="248" spans="1:5" ht="12.75">
      <c r="A248" s="505"/>
      <c r="B248" s="519"/>
      <c r="C248" s="560"/>
      <c r="D248" s="560"/>
      <c r="E248" s="563"/>
    </row>
    <row r="249" spans="1:5" s="506" customFormat="1" ht="15.75" customHeight="1">
      <c r="A249" s="529" t="s">
        <v>846</v>
      </c>
      <c r="B249" s="550" t="s">
        <v>843</v>
      </c>
      <c r="C249" s="520"/>
      <c r="D249" s="520"/>
      <c r="E249" s="561"/>
    </row>
    <row r="250" spans="1:5" ht="12.75">
      <c r="A250" s="505"/>
      <c r="B250" s="519"/>
      <c r="C250" s="560"/>
      <c r="D250" s="560"/>
      <c r="E250" s="561"/>
    </row>
    <row r="251" spans="1:5" ht="12.75">
      <c r="A251" s="512">
        <v>1</v>
      </c>
      <c r="B251" s="511" t="s">
        <v>229</v>
      </c>
      <c r="C251" s="546">
        <f>((IF((IF(C15=0,0,C26/C15)*C138)=0,0,C59/(IF(C15=0,0,C26/C15)*C138)))-(IF((IF(C17=0,0,C28/C17)*C140)=0,0,C61/(IF(C17=0,0,C28/C17)*C140))))*(IF(C17=0,0,C28/C17)*C140)</f>
        <v>6636923.1188052315</v>
      </c>
      <c r="D251" s="546">
        <f>((IF((IF(D15=0,0,D26/D15)*D138)=0,0,D59/(IF(D15=0,0,D26/D15)*D138)))-(IF((IF(D17=0,0,D28/D17)*D140)=0,0,D61/(IF(D17=0,0,D28/D17)*D140))))*(IF(D17=0,0,D28/D17)*D140)</f>
        <v>6010231.453392112</v>
      </c>
      <c r="E251" s="546">
        <f>D251-C251</f>
        <v>-626691.6654131198</v>
      </c>
    </row>
    <row r="252" spans="1:5" ht="12.75">
      <c r="A252" s="512">
        <v>2</v>
      </c>
      <c r="B252" s="511" t="s">
        <v>829</v>
      </c>
      <c r="C252" s="546">
        <f>IF(C231=0,0,(C228-C231)*C207)+IF(C243=0,0,(C240-C243)*C219)</f>
        <v>1136470.8659915118</v>
      </c>
      <c r="D252" s="546">
        <f>IF(D231=0,0,(D228-D231)*D207)+IF(D243=0,0,(D240-D243)*D219)</f>
        <v>3903732.7991423546</v>
      </c>
      <c r="E252" s="546">
        <f>D252-C252</f>
        <v>2767261.933150843</v>
      </c>
    </row>
    <row r="253" spans="1:5" ht="12.75">
      <c r="A253" s="512">
        <v>3</v>
      </c>
      <c r="B253" s="511" t="s">
        <v>844</v>
      </c>
      <c r="C253" s="546">
        <f>IF(C233=0,0,(C228-C233)*C209+IF(C221=0,0,(C240-C245)*C221))</f>
        <v>10562929.47299033</v>
      </c>
      <c r="D253" s="546">
        <f>IF(D233=0,0,(D228-D233)*D209+IF(D221=0,0,(D240-D245)*D221))</f>
        <v>11504798.506866131</v>
      </c>
      <c r="E253" s="546">
        <f>D253-C253</f>
        <v>941869.0338758007</v>
      </c>
    </row>
    <row r="254" spans="1:5" ht="15" customHeight="1">
      <c r="A254" s="512"/>
      <c r="B254" s="516" t="s">
        <v>845</v>
      </c>
      <c r="C254" s="564">
        <f>+C251+C252+C253</f>
        <v>18336323.457787074</v>
      </c>
      <c r="D254" s="564">
        <f>+D251+D252+D253</f>
        <v>21418762.7594006</v>
      </c>
      <c r="E254" s="564">
        <f>D254-C254</f>
        <v>3082439.3016135246</v>
      </c>
    </row>
    <row r="255" spans="1:5" ht="12.75">
      <c r="A255" s="502"/>
      <c r="B255" s="519"/>
      <c r="C255" s="520"/>
      <c r="D255" s="520"/>
      <c r="E255" s="564"/>
    </row>
    <row r="256" spans="1:5" ht="15.75" customHeight="1">
      <c r="A256" s="529" t="s">
        <v>919</v>
      </c>
      <c r="B256" s="550" t="s">
        <v>920</v>
      </c>
      <c r="C256" s="520"/>
      <c r="D256" s="520"/>
      <c r="E256" s="564"/>
    </row>
    <row r="257" spans="1:5" ht="11.25" customHeight="1">
      <c r="A257" s="502"/>
      <c r="B257" s="519"/>
      <c r="C257" s="520"/>
      <c r="D257" s="520"/>
      <c r="E257" s="520"/>
    </row>
    <row r="258" spans="1:5" ht="12.75">
      <c r="A258" s="512">
        <v>1</v>
      </c>
      <c r="B258" s="511" t="s">
        <v>811</v>
      </c>
      <c r="C258" s="546">
        <f>+C44</f>
        <v>989969511</v>
      </c>
      <c r="D258" s="549">
        <f>+D44</f>
        <v>1157017313</v>
      </c>
      <c r="E258" s="546">
        <f aca="true" t="shared" si="30" ref="E258:E271">D258-C258</f>
        <v>167047802</v>
      </c>
    </row>
    <row r="259" spans="1:5" ht="12.75">
      <c r="A259" s="512">
        <v>2</v>
      </c>
      <c r="B259" s="511" t="s">
        <v>828</v>
      </c>
      <c r="C259" s="546">
        <f>+(C43-C76)</f>
        <v>357788950</v>
      </c>
      <c r="D259" s="549">
        <f>+(D43-D76)</f>
        <v>434998662</v>
      </c>
      <c r="E259" s="546">
        <f t="shared" si="30"/>
        <v>77209712</v>
      </c>
    </row>
    <row r="260" spans="1:5" ht="12.75">
      <c r="A260" s="512">
        <v>3</v>
      </c>
      <c r="B260" s="511" t="s">
        <v>832</v>
      </c>
      <c r="C260" s="546">
        <f>C195</f>
        <v>60540067</v>
      </c>
      <c r="D260" s="546">
        <f>D195</f>
        <v>59844468</v>
      </c>
      <c r="E260" s="546">
        <f t="shared" si="30"/>
        <v>-695599</v>
      </c>
    </row>
    <row r="261" spans="1:5" ht="12.75">
      <c r="A261" s="512">
        <v>4</v>
      </c>
      <c r="B261" s="511" t="s">
        <v>833</v>
      </c>
      <c r="C261" s="546">
        <f>C188</f>
        <v>212301233</v>
      </c>
      <c r="D261" s="546">
        <f>D188</f>
        <v>235646501</v>
      </c>
      <c r="E261" s="546">
        <f t="shared" si="30"/>
        <v>23345268</v>
      </c>
    </row>
    <row r="262" spans="1:5" ht="12.75">
      <c r="A262" s="512">
        <v>5</v>
      </c>
      <c r="B262" s="511" t="s">
        <v>834</v>
      </c>
      <c r="C262" s="546">
        <f>C191</f>
        <v>10338294</v>
      </c>
      <c r="D262" s="546">
        <f>D191</f>
        <v>12159825</v>
      </c>
      <c r="E262" s="546">
        <f t="shared" si="30"/>
        <v>1821531</v>
      </c>
    </row>
    <row r="263" spans="1:5" ht="12.75">
      <c r="A263" s="512">
        <v>6</v>
      </c>
      <c r="B263" s="511" t="s">
        <v>835</v>
      </c>
      <c r="C263" s="546">
        <f>+C259+C260+C261+C262</f>
        <v>640968544</v>
      </c>
      <c r="D263" s="546">
        <f>+D259+D260+D261+D262</f>
        <v>742649456</v>
      </c>
      <c r="E263" s="546">
        <f t="shared" si="30"/>
        <v>101680912</v>
      </c>
    </row>
    <row r="264" spans="1:5" ht="12.75">
      <c r="A264" s="512">
        <v>7</v>
      </c>
      <c r="B264" s="511" t="s">
        <v>735</v>
      </c>
      <c r="C264" s="546">
        <f>+C258-C263</f>
        <v>349000967</v>
      </c>
      <c r="D264" s="546">
        <f>+D258-D263</f>
        <v>414367857</v>
      </c>
      <c r="E264" s="546">
        <f t="shared" si="30"/>
        <v>65366890</v>
      </c>
    </row>
    <row r="265" spans="1:5" ht="12.75">
      <c r="A265" s="512">
        <v>8</v>
      </c>
      <c r="B265" s="511" t="s">
        <v>921</v>
      </c>
      <c r="C265" s="565">
        <f>C192</f>
        <v>3030349</v>
      </c>
      <c r="D265" s="565">
        <f>D192</f>
        <v>2936412</v>
      </c>
      <c r="E265" s="546">
        <f t="shared" si="30"/>
        <v>-93937</v>
      </c>
    </row>
    <row r="266" spans="1:5" ht="12.75">
      <c r="A266" s="512">
        <v>9</v>
      </c>
      <c r="B266" s="511" t="s">
        <v>922</v>
      </c>
      <c r="C266" s="546">
        <f>+C264+C265</f>
        <v>352031316</v>
      </c>
      <c r="D266" s="546">
        <f>+D264+D265</f>
        <v>417304269</v>
      </c>
      <c r="E266" s="565">
        <f t="shared" si="30"/>
        <v>65272953</v>
      </c>
    </row>
    <row r="267" spans="1:5" ht="12.75">
      <c r="A267" s="512">
        <v>10</v>
      </c>
      <c r="B267" s="511" t="s">
        <v>923</v>
      </c>
      <c r="C267" s="566">
        <f>IF(C258=0,0,C266/C258)</f>
        <v>0.3555981392239059</v>
      </c>
      <c r="D267" s="566">
        <f>IF(D258=0,0,D266/D258)</f>
        <v>0.36067245002409054</v>
      </c>
      <c r="E267" s="567">
        <f t="shared" si="30"/>
        <v>0.005074310800184667</v>
      </c>
    </row>
    <row r="268" spans="1:5" ht="12.75">
      <c r="A268" s="512">
        <v>11</v>
      </c>
      <c r="B268" s="511" t="s">
        <v>797</v>
      </c>
      <c r="C268" s="546">
        <f>+C260*C267</f>
        <v>21527935.17369059</v>
      </c>
      <c r="D268" s="568">
        <f>+D260*D267</f>
        <v>21584250.893948287</v>
      </c>
      <c r="E268" s="546">
        <f t="shared" si="30"/>
        <v>56315.720257695764</v>
      </c>
    </row>
    <row r="269" spans="1:5" ht="12.75">
      <c r="A269" s="512">
        <v>12</v>
      </c>
      <c r="B269" s="511" t="s">
        <v>924</v>
      </c>
      <c r="C269" s="546">
        <f>((C17+C18+C28+C29)*C267)-(C50+C51+C61+C62)</f>
        <v>13513679.398613438</v>
      </c>
      <c r="D269" s="568">
        <f>((D17+D18+D28+D29)*D267)-(D50+D51+D61+D62)</f>
        <v>22173819.14116364</v>
      </c>
      <c r="E269" s="546">
        <f t="shared" si="30"/>
        <v>8660139.742550202</v>
      </c>
    </row>
    <row r="270" spans="1:5" s="569" customFormat="1" ht="12.75">
      <c r="A270" s="570">
        <v>13</v>
      </c>
      <c r="B270" s="571" t="s">
        <v>925</v>
      </c>
      <c r="C270" s="572">
        <v>-3352894</v>
      </c>
      <c r="D270" s="572">
        <v>0</v>
      </c>
      <c r="E270" s="546">
        <f t="shared" si="30"/>
        <v>3352894</v>
      </c>
    </row>
    <row r="271" spans="1:5" ht="12.75">
      <c r="A271" s="512">
        <v>14</v>
      </c>
      <c r="B271" s="511" t="s">
        <v>926</v>
      </c>
      <c r="C271" s="546">
        <f>+C268+C269+C270</f>
        <v>31688720.572304025</v>
      </c>
      <c r="D271" s="546">
        <f>+D268+D269+D270</f>
        <v>43758070.03511193</v>
      </c>
      <c r="E271" s="549">
        <f t="shared" si="30"/>
        <v>12069349.462807901</v>
      </c>
    </row>
    <row r="272" spans="1:5" ht="12.75">
      <c r="A272" s="512"/>
      <c r="B272" s="511"/>
      <c r="C272" s="546"/>
      <c r="D272" s="546"/>
      <c r="E272" s="564"/>
    </row>
    <row r="273" spans="1:5" ht="15.75" customHeight="1">
      <c r="A273" s="500" t="s">
        <v>927</v>
      </c>
      <c r="B273" s="550" t="s">
        <v>928</v>
      </c>
      <c r="C273" s="546"/>
      <c r="D273" s="546"/>
      <c r="E273" s="564"/>
    </row>
    <row r="274" spans="1:5" ht="15.75" customHeight="1">
      <c r="A274" s="508"/>
      <c r="B274" s="573"/>
      <c r="C274" s="546"/>
      <c r="D274" s="546"/>
      <c r="E274" s="564"/>
    </row>
    <row r="275" spans="1:5" ht="12.75">
      <c r="A275" s="340" t="s">
        <v>129</v>
      </c>
      <c r="B275" s="509" t="s">
        <v>929</v>
      </c>
      <c r="C275" s="340"/>
      <c r="D275" s="340"/>
      <c r="E275" s="520"/>
    </row>
    <row r="276" spans="1:5" ht="12.75">
      <c r="A276" s="512">
        <v>1</v>
      </c>
      <c r="B276" s="511" t="s">
        <v>737</v>
      </c>
      <c r="C276" s="547">
        <f aca="true" t="shared" si="31" ref="C276:D284">IF(C14=0,0,+C47/C14)</f>
        <v>0.39704451793942974</v>
      </c>
      <c r="D276" s="547">
        <f t="shared" si="31"/>
        <v>0.38106196271853066</v>
      </c>
      <c r="E276" s="574">
        <f aca="true" t="shared" si="32" ref="E276:E284">D276-C276</f>
        <v>-0.015982555220899086</v>
      </c>
    </row>
    <row r="277" spans="1:5" ht="12.75">
      <c r="A277" s="512">
        <v>2</v>
      </c>
      <c r="B277" s="511" t="s">
        <v>716</v>
      </c>
      <c r="C277" s="547">
        <f t="shared" si="31"/>
        <v>0.29603840996613895</v>
      </c>
      <c r="D277" s="547">
        <f t="shared" si="31"/>
        <v>0.28425468443642504</v>
      </c>
      <c r="E277" s="574">
        <f t="shared" si="32"/>
        <v>-0.011783725529713907</v>
      </c>
    </row>
    <row r="278" spans="1:5" ht="12.75">
      <c r="A278" s="512">
        <v>3</v>
      </c>
      <c r="B278" s="511" t="s">
        <v>862</v>
      </c>
      <c r="C278" s="547">
        <f t="shared" si="31"/>
        <v>0.24955645145914304</v>
      </c>
      <c r="D278" s="547">
        <f t="shared" si="31"/>
        <v>0.21624042902626275</v>
      </c>
      <c r="E278" s="574">
        <f t="shared" si="32"/>
        <v>-0.03331602243288029</v>
      </c>
    </row>
    <row r="279" spans="1:5" ht="12.75">
      <c r="A279" s="512">
        <v>4</v>
      </c>
      <c r="B279" s="511" t="s">
        <v>229</v>
      </c>
      <c r="C279" s="547">
        <f t="shared" si="31"/>
        <v>0.2641844138736372</v>
      </c>
      <c r="D279" s="547">
        <f t="shared" si="31"/>
        <v>0.26132834245176095</v>
      </c>
      <c r="E279" s="574">
        <f t="shared" si="32"/>
        <v>-0.0028560714218762717</v>
      </c>
    </row>
    <row r="280" spans="1:5" ht="12.75">
      <c r="A280" s="512">
        <v>5</v>
      </c>
      <c r="B280" s="511" t="s">
        <v>829</v>
      </c>
      <c r="C280" s="547">
        <f t="shared" si="31"/>
        <v>0.21278953604008707</v>
      </c>
      <c r="D280" s="547">
        <f t="shared" si="31"/>
        <v>0.10275964767308067</v>
      </c>
      <c r="E280" s="574">
        <f t="shared" si="32"/>
        <v>-0.1100298883670064</v>
      </c>
    </row>
    <row r="281" spans="1:5" ht="12.75">
      <c r="A281" s="512">
        <v>6</v>
      </c>
      <c r="B281" s="511" t="s">
        <v>533</v>
      </c>
      <c r="C281" s="547">
        <f t="shared" si="31"/>
        <v>0.22369762873428728</v>
      </c>
      <c r="D281" s="547">
        <f t="shared" si="31"/>
        <v>0.22895217853347502</v>
      </c>
      <c r="E281" s="574">
        <f t="shared" si="32"/>
        <v>0.005254549799187741</v>
      </c>
    </row>
    <row r="282" spans="1:5" ht="12.75">
      <c r="A282" s="512">
        <v>7</v>
      </c>
      <c r="B282" s="511" t="s">
        <v>844</v>
      </c>
      <c r="C282" s="547">
        <f t="shared" si="31"/>
        <v>0.04497840905424226</v>
      </c>
      <c r="D282" s="547">
        <f t="shared" si="31"/>
        <v>0.022035270152453025</v>
      </c>
      <c r="E282" s="574">
        <f t="shared" si="32"/>
        <v>-0.022943138901789235</v>
      </c>
    </row>
    <row r="283" spans="1:5" ht="29.25" customHeight="1">
      <c r="A283" s="512"/>
      <c r="B283" s="516" t="s">
        <v>930</v>
      </c>
      <c r="C283" s="575">
        <f t="shared" si="31"/>
        <v>0.287182011834451</v>
      </c>
      <c r="D283" s="575">
        <f t="shared" si="31"/>
        <v>0.26845284353888127</v>
      </c>
      <c r="E283" s="576">
        <f t="shared" si="32"/>
        <v>-0.018729168295569754</v>
      </c>
    </row>
    <row r="284" spans="1:5" ht="12.75">
      <c r="A284" s="512"/>
      <c r="B284" s="516" t="s">
        <v>931</v>
      </c>
      <c r="C284" s="575">
        <f t="shared" si="31"/>
        <v>0.3303602114072637</v>
      </c>
      <c r="D284" s="575">
        <f t="shared" si="31"/>
        <v>0.3116097008442976</v>
      </c>
      <c r="E284" s="576">
        <f t="shared" si="32"/>
        <v>-0.01875051056296606</v>
      </c>
    </row>
    <row r="285" spans="1:5" ht="11.25" customHeight="1">
      <c r="A285" s="502"/>
      <c r="B285" s="519"/>
      <c r="C285" s="520"/>
      <c r="D285" s="520"/>
      <c r="E285" s="520"/>
    </row>
    <row r="286" spans="1:5" ht="12.75">
      <c r="A286" s="340" t="s">
        <v>141</v>
      </c>
      <c r="B286" s="509" t="s">
        <v>932</v>
      </c>
      <c r="C286" s="520"/>
      <c r="D286" s="520"/>
      <c r="E286" s="520"/>
    </row>
    <row r="287" spans="1:5" ht="12.75">
      <c r="A287" s="512">
        <v>1</v>
      </c>
      <c r="B287" s="511" t="s">
        <v>737</v>
      </c>
      <c r="C287" s="547">
        <f aca="true" t="shared" si="33" ref="C287:D295">IF(C25=0,0,+C58/C25)</f>
        <v>0.47413812398785005</v>
      </c>
      <c r="D287" s="547">
        <f t="shared" si="33"/>
        <v>0.45823706772624206</v>
      </c>
      <c r="E287" s="574">
        <f aca="true" t="shared" si="34" ref="E287:E295">D287-C287</f>
        <v>-0.015901056261607982</v>
      </c>
    </row>
    <row r="288" spans="1:5" ht="12.75">
      <c r="A288" s="512">
        <v>2</v>
      </c>
      <c r="B288" s="511" t="s">
        <v>716</v>
      </c>
      <c r="C288" s="547">
        <f t="shared" si="33"/>
        <v>0.1630023519859935</v>
      </c>
      <c r="D288" s="547">
        <f t="shared" si="33"/>
        <v>0.14696988618971604</v>
      </c>
      <c r="E288" s="574">
        <f t="shared" si="34"/>
        <v>-0.016032465796277456</v>
      </c>
    </row>
    <row r="289" spans="1:5" ht="12.75">
      <c r="A289" s="512">
        <v>3</v>
      </c>
      <c r="B289" s="511" t="s">
        <v>862</v>
      </c>
      <c r="C289" s="547">
        <f t="shared" si="33"/>
        <v>0.16961068472542595</v>
      </c>
      <c r="D289" s="547">
        <f t="shared" si="33"/>
        <v>0.16329305825684767</v>
      </c>
      <c r="E289" s="574">
        <f t="shared" si="34"/>
        <v>-0.00631762646857828</v>
      </c>
    </row>
    <row r="290" spans="1:5" ht="12.75">
      <c r="A290" s="512">
        <v>4</v>
      </c>
      <c r="B290" s="511" t="s">
        <v>229</v>
      </c>
      <c r="C290" s="547">
        <f t="shared" si="33"/>
        <v>0.18067985506332027</v>
      </c>
      <c r="D290" s="547">
        <f t="shared" si="33"/>
        <v>0.17413648786433436</v>
      </c>
      <c r="E290" s="574">
        <f t="shared" si="34"/>
        <v>-0.0065433671989859055</v>
      </c>
    </row>
    <row r="291" spans="1:5" ht="12.75">
      <c r="A291" s="512">
        <v>5</v>
      </c>
      <c r="B291" s="511" t="s">
        <v>829</v>
      </c>
      <c r="C291" s="547">
        <f t="shared" si="33"/>
        <v>0.12004844424984562</v>
      </c>
      <c r="D291" s="547">
        <f t="shared" si="33"/>
        <v>0.12249718984446208</v>
      </c>
      <c r="E291" s="574">
        <f t="shared" si="34"/>
        <v>0.0024487455946164555</v>
      </c>
    </row>
    <row r="292" spans="1:5" ht="12.75">
      <c r="A292" s="512">
        <v>6</v>
      </c>
      <c r="B292" s="511" t="s">
        <v>533</v>
      </c>
      <c r="C292" s="547">
        <f t="shared" si="33"/>
        <v>0.5587515996018768</v>
      </c>
      <c r="D292" s="547">
        <f t="shared" si="33"/>
        <v>0.370565834496849</v>
      </c>
      <c r="E292" s="574">
        <f t="shared" si="34"/>
        <v>-0.18818576510502782</v>
      </c>
    </row>
    <row r="293" spans="1:5" ht="12.75">
      <c r="A293" s="512">
        <v>7</v>
      </c>
      <c r="B293" s="511" t="s">
        <v>844</v>
      </c>
      <c r="C293" s="547">
        <f t="shared" si="33"/>
        <v>0.054652263474076854</v>
      </c>
      <c r="D293" s="547">
        <f t="shared" si="33"/>
        <v>0.04624880236028411</v>
      </c>
      <c r="E293" s="574">
        <f t="shared" si="34"/>
        <v>-0.008403461113792747</v>
      </c>
    </row>
    <row r="294" spans="1:5" ht="29.25" customHeight="1">
      <c r="A294" s="512"/>
      <c r="B294" s="516" t="s">
        <v>933</v>
      </c>
      <c r="C294" s="575">
        <f t="shared" si="33"/>
        <v>0.16481630848136414</v>
      </c>
      <c r="D294" s="575">
        <f t="shared" si="33"/>
        <v>0.15129790665383966</v>
      </c>
      <c r="E294" s="576">
        <f t="shared" si="34"/>
        <v>-0.013518401827524479</v>
      </c>
    </row>
    <row r="295" spans="1:5" ht="12.75">
      <c r="A295" s="512"/>
      <c r="B295" s="516" t="s">
        <v>934</v>
      </c>
      <c r="C295" s="575">
        <f t="shared" si="33"/>
        <v>0.36456511881473896</v>
      </c>
      <c r="D295" s="575">
        <f t="shared" si="33"/>
        <v>0.34439785610914914</v>
      </c>
      <c r="E295" s="576">
        <f t="shared" si="34"/>
        <v>-0.020167262705589828</v>
      </c>
    </row>
    <row r="296" spans="1:5" ht="12.75">
      <c r="A296" s="502"/>
      <c r="B296" s="519"/>
      <c r="C296" s="519"/>
      <c r="D296" s="520"/>
      <c r="E296" s="576"/>
    </row>
    <row r="297" spans="1:5" ht="15.75" customHeight="1">
      <c r="A297" s="500" t="s">
        <v>935</v>
      </c>
      <c r="B297" s="501" t="s">
        <v>936</v>
      </c>
      <c r="C297" s="340"/>
      <c r="E297" s="576"/>
    </row>
    <row r="298" spans="1:5" ht="15.75" customHeight="1">
      <c r="A298" s="340"/>
      <c r="B298" s="577"/>
      <c r="C298" s="499"/>
      <c r="E298" s="576"/>
    </row>
    <row r="299" spans="1:5" ht="12.75">
      <c r="A299" s="508" t="s">
        <v>129</v>
      </c>
      <c r="B299" s="509" t="s">
        <v>937</v>
      </c>
      <c r="C299" s="510"/>
      <c r="D299" s="510"/>
      <c r="E299" s="576"/>
    </row>
    <row r="300" spans="1:5" ht="12.75">
      <c r="A300" s="511"/>
      <c r="B300" s="511"/>
      <c r="C300" s="510"/>
      <c r="D300" s="510"/>
      <c r="E300" s="576"/>
    </row>
    <row r="301" spans="1:5" ht="12.75">
      <c r="A301" s="512">
        <v>1</v>
      </c>
      <c r="B301" s="511" t="s">
        <v>735</v>
      </c>
      <c r="C301" s="514">
        <f>+C48+C47+C50+C51+C52+C59+C58+C61+C62+C63</f>
        <v>344681610</v>
      </c>
      <c r="D301" s="514">
        <f>+D48+D47+D50+D51+D52+D59+D58+D61+D62+D63</f>
        <v>381456277</v>
      </c>
      <c r="E301" s="514">
        <f>D301-C301</f>
        <v>36774667</v>
      </c>
    </row>
    <row r="302" spans="1:5" ht="25.5">
      <c r="A302" s="512">
        <v>2</v>
      </c>
      <c r="B302" s="511" t="s">
        <v>938</v>
      </c>
      <c r="C302" s="546">
        <f>C265</f>
        <v>3030349</v>
      </c>
      <c r="D302" s="546">
        <f>D265</f>
        <v>2936412</v>
      </c>
      <c r="E302" s="514">
        <f>D302-C302</f>
        <v>-93937</v>
      </c>
    </row>
    <row r="303" spans="1:5" ht="12.75">
      <c r="A303" s="512"/>
      <c r="B303" s="516" t="s">
        <v>939</v>
      </c>
      <c r="C303" s="517">
        <f>+C301+C302</f>
        <v>347711959</v>
      </c>
      <c r="D303" s="517">
        <f>+D301+D302</f>
        <v>384392689</v>
      </c>
      <c r="E303" s="517">
        <f>D303-C303</f>
        <v>36680730</v>
      </c>
    </row>
    <row r="304" spans="1:5" ht="12.75">
      <c r="A304" s="512"/>
      <c r="B304" s="511"/>
      <c r="C304" s="511"/>
      <c r="D304" s="511"/>
      <c r="E304" s="514"/>
    </row>
    <row r="305" spans="1:5" ht="12.75">
      <c r="A305" s="512">
        <v>3</v>
      </c>
      <c r="B305" s="511" t="s">
        <v>940</v>
      </c>
      <c r="C305" s="513">
        <v>36618093</v>
      </c>
      <c r="D305" s="578">
        <v>32545056</v>
      </c>
      <c r="E305" s="579">
        <f>D305-C305</f>
        <v>-4073037</v>
      </c>
    </row>
    <row r="306" spans="1:5" ht="12.75">
      <c r="A306" s="512">
        <v>4</v>
      </c>
      <c r="B306" s="516" t="s">
        <v>941</v>
      </c>
      <c r="C306" s="580">
        <f>+C303+C305+C194+C190-C191</f>
        <v>436022540</v>
      </c>
      <c r="D306" s="580">
        <f>+D303+D305</f>
        <v>416937745</v>
      </c>
      <c r="E306" s="580">
        <f>D306-C306</f>
        <v>-19084795</v>
      </c>
    </row>
    <row r="307" spans="1:5" ht="12.75">
      <c r="A307" s="512"/>
      <c r="B307" s="510"/>
      <c r="C307" s="510"/>
      <c r="D307" s="510"/>
      <c r="E307" s="514"/>
    </row>
    <row r="308" spans="1:5" ht="25.5">
      <c r="A308" s="512">
        <v>5</v>
      </c>
      <c r="B308" s="511" t="s">
        <v>942</v>
      </c>
      <c r="C308" s="513">
        <v>384330000</v>
      </c>
      <c r="D308" s="513">
        <v>416938000</v>
      </c>
      <c r="E308" s="514">
        <f>D308-C308</f>
        <v>32608000</v>
      </c>
    </row>
    <row r="309" spans="1:5" ht="12.75">
      <c r="A309" s="512"/>
      <c r="B309" s="511"/>
      <c r="C309" s="511"/>
      <c r="D309" s="511"/>
      <c r="E309" s="514"/>
    </row>
    <row r="310" spans="1:5" ht="12.75">
      <c r="A310" s="512">
        <v>6</v>
      </c>
      <c r="B310" s="516" t="s">
        <v>943</v>
      </c>
      <c r="C310" s="581">
        <f>C306-C308</f>
        <v>51692540</v>
      </c>
      <c r="D310" s="582">
        <f>D306-D308</f>
        <v>-255</v>
      </c>
      <c r="E310" s="580">
        <f>D310-C310</f>
        <v>-51692795</v>
      </c>
    </row>
    <row r="311" spans="1:5" ht="12.75">
      <c r="A311" s="512"/>
      <c r="B311" s="511"/>
      <c r="C311" s="511"/>
      <c r="D311" s="511"/>
      <c r="E311" s="514"/>
    </row>
    <row r="312" spans="1:5" ht="12.75">
      <c r="A312" s="340" t="s">
        <v>141</v>
      </c>
      <c r="B312" s="509" t="s">
        <v>944</v>
      </c>
      <c r="C312" s="510"/>
      <c r="D312" s="510"/>
      <c r="E312" s="514"/>
    </row>
    <row r="313" spans="1:5" ht="12.75">
      <c r="A313" s="510"/>
      <c r="B313" s="551"/>
      <c r="C313" s="510"/>
      <c r="D313" s="510"/>
      <c r="E313" s="514"/>
    </row>
    <row r="314" spans="1:5" ht="12.75">
      <c r="A314" s="512">
        <v>1</v>
      </c>
      <c r="B314" s="511" t="s">
        <v>945</v>
      </c>
      <c r="C314" s="514">
        <f>+C14+C15+C16+C19+C25+C26+C27+C30</f>
        <v>989969511</v>
      </c>
      <c r="D314" s="514">
        <f>+D14+D15+D16+D19+D25+D26+D27+D30</f>
        <v>1157017313</v>
      </c>
      <c r="E314" s="514">
        <f>D314-C314</f>
        <v>167047802</v>
      </c>
    </row>
    <row r="315" spans="1:5" ht="12.75">
      <c r="A315" s="512">
        <v>2</v>
      </c>
      <c r="B315" s="583" t="s">
        <v>946</v>
      </c>
      <c r="C315" s="513">
        <v>5391425</v>
      </c>
      <c r="D315" s="513">
        <v>0</v>
      </c>
      <c r="E315" s="514">
        <f>D315-C315</f>
        <v>-5391425</v>
      </c>
    </row>
    <row r="316" spans="1:5" ht="12.75">
      <c r="A316" s="512"/>
      <c r="B316" s="516" t="s">
        <v>947</v>
      </c>
      <c r="C316" s="581">
        <f>C314+C315</f>
        <v>995360936</v>
      </c>
      <c r="D316" s="581">
        <f>D314+D315</f>
        <v>1157017313</v>
      </c>
      <c r="E316" s="517">
        <f>D316-C316</f>
        <v>161656377</v>
      </c>
    </row>
    <row r="317" spans="1:5" ht="12.75">
      <c r="A317" s="512"/>
      <c r="B317" s="510"/>
      <c r="C317" s="513"/>
      <c r="D317" s="513"/>
      <c r="E317" s="514"/>
    </row>
    <row r="318" spans="1:5" ht="25.5">
      <c r="A318" s="512">
        <v>3</v>
      </c>
      <c r="B318" s="511" t="s">
        <v>948</v>
      </c>
      <c r="C318" s="513">
        <v>995361000</v>
      </c>
      <c r="D318" s="513">
        <v>1157017000</v>
      </c>
      <c r="E318" s="514">
        <f>D318-C318</f>
        <v>161656000</v>
      </c>
    </row>
    <row r="319" spans="1:5" ht="12.75">
      <c r="A319" s="512"/>
      <c r="B319" s="511"/>
      <c r="C319" s="513"/>
      <c r="D319" s="513"/>
      <c r="E319" s="514"/>
    </row>
    <row r="320" spans="1:5" ht="12.75">
      <c r="A320" s="512">
        <v>4</v>
      </c>
      <c r="B320" s="516" t="s">
        <v>943</v>
      </c>
      <c r="C320" s="581">
        <f>C316-C318</f>
        <v>-64</v>
      </c>
      <c r="D320" s="581">
        <f>D316-D318</f>
        <v>313</v>
      </c>
      <c r="E320" s="517">
        <f>D320-C320</f>
        <v>377</v>
      </c>
    </row>
    <row r="321" spans="1:5" ht="12.75">
      <c r="A321" s="511"/>
      <c r="B321" s="510"/>
      <c r="C321" s="510"/>
      <c r="D321" s="510"/>
      <c r="E321" s="514"/>
    </row>
    <row r="322" spans="1:5" ht="12.75">
      <c r="A322" s="508" t="s">
        <v>151</v>
      </c>
      <c r="B322" s="509" t="s">
        <v>949</v>
      </c>
      <c r="C322" s="510"/>
      <c r="D322" s="510"/>
      <c r="E322" s="514"/>
    </row>
    <row r="323" spans="1:5" ht="12.75">
      <c r="A323" s="510"/>
      <c r="B323" s="551"/>
      <c r="C323" s="510"/>
      <c r="D323" s="510"/>
      <c r="E323" s="514"/>
    </row>
    <row r="324" spans="1:5" ht="12.75">
      <c r="A324" s="512">
        <v>1</v>
      </c>
      <c r="B324" s="511" t="s">
        <v>950</v>
      </c>
      <c r="C324" s="513">
        <f>+C193+C194</f>
        <v>60540067</v>
      </c>
      <c r="D324" s="513">
        <f>+D193+D194</f>
        <v>59844468</v>
      </c>
      <c r="E324" s="514">
        <f>D324-C324</f>
        <v>-695599</v>
      </c>
    </row>
    <row r="325" spans="1:5" ht="12.75">
      <c r="A325" s="512">
        <v>2</v>
      </c>
      <c r="B325" s="511" t="s">
        <v>951</v>
      </c>
      <c r="C325" s="513">
        <v>0</v>
      </c>
      <c r="D325" s="513">
        <v>0</v>
      </c>
      <c r="E325" s="514">
        <f>D325-C325</f>
        <v>0</v>
      </c>
    </row>
    <row r="326" spans="1:5" ht="12.75">
      <c r="A326" s="512"/>
      <c r="B326" s="516" t="s">
        <v>952</v>
      </c>
      <c r="C326" s="581">
        <f>C324+C325</f>
        <v>60540067</v>
      </c>
      <c r="D326" s="581">
        <f>D324+D325</f>
        <v>59844468</v>
      </c>
      <c r="E326" s="517">
        <f>D326-C326</f>
        <v>-695599</v>
      </c>
    </row>
    <row r="327" spans="1:5" ht="12.75">
      <c r="A327" s="512"/>
      <c r="B327" s="510"/>
      <c r="C327" s="513"/>
      <c r="D327" s="513"/>
      <c r="E327" s="514"/>
    </row>
    <row r="328" spans="1:5" ht="25.5">
      <c r="A328" s="512">
        <v>3</v>
      </c>
      <c r="B328" s="511" t="s">
        <v>953</v>
      </c>
      <c r="C328" s="513">
        <v>60540067</v>
      </c>
      <c r="D328" s="513">
        <v>59844900</v>
      </c>
      <c r="E328" s="514">
        <f>D328-C328</f>
        <v>-695167</v>
      </c>
    </row>
    <row r="329" spans="1:5" ht="12.75">
      <c r="A329" s="512"/>
      <c r="B329" s="511"/>
      <c r="C329" s="513"/>
      <c r="D329" s="513"/>
      <c r="E329" s="514"/>
    </row>
    <row r="330" spans="1:5" ht="12.75">
      <c r="A330" s="512">
        <v>4</v>
      </c>
      <c r="B330" s="516" t="s">
        <v>954</v>
      </c>
      <c r="C330" s="581">
        <f>C326-C328</f>
        <v>0</v>
      </c>
      <c r="D330" s="581">
        <f>D326-D328</f>
        <v>-432</v>
      </c>
      <c r="E330" s="517">
        <f>D330-C330</f>
        <v>-432</v>
      </c>
    </row>
    <row r="331" ht="12.75">
      <c r="E331" s="514"/>
    </row>
    <row r="332" ht="12.75">
      <c r="E332" s="514"/>
    </row>
    <row r="333" ht="12.75">
      <c r="E333" s="517"/>
    </row>
  </sheetData>
  <sheetProtection/>
  <mergeCells count="5">
    <mergeCell ref="A6:E6"/>
    <mergeCell ref="A2:E2"/>
    <mergeCell ref="A3:E3"/>
    <mergeCell ref="A4:E4"/>
    <mergeCell ref="A5:E5"/>
  </mergeCells>
  <printOptions gridLines="1"/>
  <pageMargins left="0.5" right="0.5" top="0.5" bottom="0.5" header="0.25" footer="0.25"/>
  <pageSetup horizontalDpi="1200" verticalDpi="1200" orientation="portrait" scale="70"/>
  <headerFooter alignWithMargins="0">
    <oddHeader>&amp;LOFFICE OF HEALTH CARE ACCESS&amp;CTWELVE MONTHS ACTUAL FILING&amp;RSTAMFORD HOSPITAL</oddHeader>
    <oddFooter>&amp;LREPORT 550&amp;CPAGE &amp;P of &amp;N&amp;R&amp;D, &amp;T</oddFooter>
  </headerFooter>
  <rowBreaks count="5" manualBreakCount="5">
    <brk id="78" max="255" man="1"/>
    <brk id="132" max="255" man="1"/>
    <brk id="198" max="255" man="1"/>
    <brk id="248" max="255" man="1"/>
    <brk id="29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2:BF143"/>
  <sheetViews>
    <sheetView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 customWidth="1"/>
    <col min="44" max="44" width="9.140625" style="331" customWidth="1"/>
    <col min="45" max="16384" width="9.140625" style="330" customWidth="1"/>
  </cols>
  <sheetData>
    <row r="2" spans="1:4" s="338" customFormat="1" ht="15.75" customHeight="1">
      <c r="A2" s="705" t="s">
        <v>115</v>
      </c>
      <c r="B2" s="705"/>
      <c r="C2" s="705"/>
      <c r="D2" s="585"/>
    </row>
    <row r="3" spans="1:4" s="338" customFormat="1" ht="15.75" customHeight="1">
      <c r="A3" s="695" t="s">
        <v>707</v>
      </c>
      <c r="B3" s="696"/>
      <c r="C3" s="697"/>
      <c r="D3" s="585"/>
    </row>
    <row r="4" spans="1:4" s="338" customFormat="1" ht="15.75" customHeight="1">
      <c r="A4" s="695" t="s">
        <v>117</v>
      </c>
      <c r="B4" s="696"/>
      <c r="C4" s="697"/>
      <c r="D4" s="585"/>
    </row>
    <row r="5" spans="1:4" s="338" customFormat="1" ht="15.75" customHeight="1">
      <c r="A5" s="695" t="s">
        <v>955</v>
      </c>
      <c r="B5" s="696"/>
      <c r="C5" s="697"/>
      <c r="D5" s="585"/>
    </row>
    <row r="6" spans="1:4" s="338" customFormat="1" ht="15.75" customHeight="1">
      <c r="A6" s="695" t="s">
        <v>956</v>
      </c>
      <c r="B6" s="696"/>
      <c r="C6" s="697"/>
      <c r="D6" s="585"/>
    </row>
    <row r="7" spans="1:4" s="338" customFormat="1" ht="15.75" customHeight="1">
      <c r="A7" s="709"/>
      <c r="B7" s="709"/>
      <c r="C7" s="709"/>
      <c r="D7" s="585"/>
    </row>
    <row r="8" spans="1:4" s="338" customFormat="1" ht="15.75" customHeight="1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>
      <c r="A9" s="587" t="s">
        <v>123</v>
      </c>
      <c r="B9" s="493" t="s">
        <v>124</v>
      </c>
      <c r="C9" s="494" t="s">
        <v>957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>
      <c r="A11" s="500" t="s">
        <v>127</v>
      </c>
      <c r="B11" s="501" t="s">
        <v>958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ht="12.75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ht="12.75">
      <c r="A13" s="508" t="s">
        <v>129</v>
      </c>
      <c r="B13" s="509" t="s">
        <v>861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ht="12.75">
      <c r="A14" s="512">
        <v>1</v>
      </c>
      <c r="B14" s="511" t="s">
        <v>737</v>
      </c>
      <c r="C14" s="513">
        <v>198915175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ht="12.75">
      <c r="A15" s="512">
        <v>2</v>
      </c>
      <c r="B15" s="511" t="s">
        <v>716</v>
      </c>
      <c r="C15" s="515">
        <v>245697432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ht="12.75">
      <c r="A16" s="512">
        <v>3</v>
      </c>
      <c r="B16" s="511" t="s">
        <v>862</v>
      </c>
      <c r="C16" s="515">
        <v>74181193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ht="12.75">
      <c r="A17" s="512">
        <v>4</v>
      </c>
      <c r="B17" s="511" t="s">
        <v>229</v>
      </c>
      <c r="C17" s="515">
        <v>53088283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ht="12.75">
      <c r="A18" s="512">
        <v>5</v>
      </c>
      <c r="B18" s="511" t="s">
        <v>829</v>
      </c>
      <c r="C18" s="515">
        <v>21092910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ht="12.75">
      <c r="A19" s="512">
        <v>6</v>
      </c>
      <c r="B19" s="511" t="s">
        <v>533</v>
      </c>
      <c r="C19" s="515">
        <v>235250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ht="12.75">
      <c r="A20" s="512">
        <v>7</v>
      </c>
      <c r="B20" s="511" t="s">
        <v>844</v>
      </c>
      <c r="C20" s="515">
        <v>21486553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ht="12.75">
      <c r="A21" s="512"/>
      <c r="B21" s="516" t="s">
        <v>863</v>
      </c>
      <c r="C21" s="517">
        <f>SUM(C15+C16+C19)</f>
        <v>320113875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ht="12.75">
      <c r="A22" s="512"/>
      <c r="B22" s="516" t="s">
        <v>803</v>
      </c>
      <c r="C22" s="517">
        <f>SUM(C14+C21)</f>
        <v>519029050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ht="12.75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ht="12.75">
      <c r="A24" s="508" t="s">
        <v>141</v>
      </c>
      <c r="B24" s="509" t="s">
        <v>864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ht="12.75">
      <c r="A25" s="512">
        <v>1</v>
      </c>
      <c r="B25" s="511" t="s">
        <v>737</v>
      </c>
      <c r="C25" s="513">
        <v>401367818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ht="12.75">
      <c r="A26" s="512">
        <v>2</v>
      </c>
      <c r="B26" s="511" t="s">
        <v>716</v>
      </c>
      <c r="C26" s="515">
        <v>178219659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ht="12.75">
      <c r="A27" s="512">
        <v>3</v>
      </c>
      <c r="B27" s="511" t="s">
        <v>862</v>
      </c>
      <c r="C27" s="515">
        <v>58059149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ht="12.75">
      <c r="A28" s="512">
        <v>4</v>
      </c>
      <c r="B28" s="511" t="s">
        <v>229</v>
      </c>
      <c r="C28" s="515">
        <v>45867653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ht="12.75">
      <c r="A29" s="512">
        <v>5</v>
      </c>
      <c r="B29" s="511" t="s">
        <v>829</v>
      </c>
      <c r="C29" s="515">
        <v>12191496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ht="12.75">
      <c r="A30" s="512">
        <v>6</v>
      </c>
      <c r="B30" s="511" t="s">
        <v>533</v>
      </c>
      <c r="C30" s="515">
        <v>341637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ht="12.75">
      <c r="A31" s="512">
        <v>7</v>
      </c>
      <c r="B31" s="511" t="s">
        <v>844</v>
      </c>
      <c r="C31" s="518">
        <v>38147950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ht="12.75">
      <c r="A32" s="512"/>
      <c r="B32" s="516" t="s">
        <v>865</v>
      </c>
      <c r="C32" s="517">
        <f>SUM(C26+C27+C30)</f>
        <v>236620445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ht="12.75">
      <c r="A33" s="512"/>
      <c r="B33" s="516" t="s">
        <v>809</v>
      </c>
      <c r="C33" s="517">
        <f>SUM(C25+C32)</f>
        <v>637988263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ht="12.75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ht="12.75">
      <c r="A35" s="508" t="s">
        <v>151</v>
      </c>
      <c r="B35" s="509" t="s">
        <v>734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ht="12.75">
      <c r="A36" s="512">
        <v>1</v>
      </c>
      <c r="B36" s="511" t="s">
        <v>959</v>
      </c>
      <c r="C36" s="514">
        <f>SUM(C14+C25)</f>
        <v>600282993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ht="12.75">
      <c r="A37" s="512">
        <v>2</v>
      </c>
      <c r="B37" s="511" t="s">
        <v>960</v>
      </c>
      <c r="C37" s="518">
        <f>SUM(C21+C32)</f>
        <v>556734320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ht="12.75">
      <c r="A38" s="512"/>
      <c r="B38" s="516" t="s">
        <v>734</v>
      </c>
      <c r="C38" s="517">
        <f>SUM(+C36+C37)</f>
        <v>1157017313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ht="12.75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ht="12.75">
      <c r="A40" s="508" t="s">
        <v>436</v>
      </c>
      <c r="B40" s="509" t="s">
        <v>874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>
      <c r="A41" s="512">
        <v>1</v>
      </c>
      <c r="B41" s="511" t="s">
        <v>737</v>
      </c>
      <c r="C41" s="513">
        <v>75799007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ht="12.75">
      <c r="A42" s="512">
        <v>2</v>
      </c>
      <c r="B42" s="511" t="s">
        <v>716</v>
      </c>
      <c r="C42" s="515">
        <v>69840646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ht="12.75">
      <c r="A43" s="512">
        <v>3</v>
      </c>
      <c r="B43" s="511" t="s">
        <v>862</v>
      </c>
      <c r="C43" s="515">
        <v>16040973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ht="12.75">
      <c r="A44" s="512">
        <v>4</v>
      </c>
      <c r="B44" s="511" t="s">
        <v>229</v>
      </c>
      <c r="C44" s="515">
        <v>13873473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ht="12.75">
      <c r="A45" s="512">
        <v>5</v>
      </c>
      <c r="B45" s="511" t="s">
        <v>829</v>
      </c>
      <c r="C45" s="515">
        <v>2167500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ht="12.75">
      <c r="A46" s="512">
        <v>6</v>
      </c>
      <c r="B46" s="511" t="s">
        <v>533</v>
      </c>
      <c r="C46" s="515">
        <v>53861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ht="12.75">
      <c r="A47" s="512">
        <v>7</v>
      </c>
      <c r="B47" s="511" t="s">
        <v>844</v>
      </c>
      <c r="C47" s="515">
        <v>473462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ht="12.75">
      <c r="A48" s="512"/>
      <c r="B48" s="516" t="s">
        <v>875</v>
      </c>
      <c r="C48" s="517">
        <f>SUM(C42+C43+C46)</f>
        <v>85935480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ht="12.75">
      <c r="A49" s="512"/>
      <c r="B49" s="516" t="s">
        <v>804</v>
      </c>
      <c r="C49" s="517">
        <f>SUM(C41+C48)</f>
        <v>161734487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ht="12.75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ht="12.75">
      <c r="A51" s="508" t="s">
        <v>457</v>
      </c>
      <c r="B51" s="509" t="s">
        <v>876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ht="12.75">
      <c r="A52" s="512">
        <v>1</v>
      </c>
      <c r="B52" s="511" t="s">
        <v>737</v>
      </c>
      <c r="C52" s="513">
        <v>183921612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ht="12.75">
      <c r="A53" s="512">
        <v>2</v>
      </c>
      <c r="B53" s="511" t="s">
        <v>716</v>
      </c>
      <c r="C53" s="515">
        <v>26192923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ht="12.75">
      <c r="A54" s="512">
        <v>3</v>
      </c>
      <c r="B54" s="511" t="s">
        <v>862</v>
      </c>
      <c r="C54" s="515">
        <v>9480656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ht="12.75">
      <c r="A55" s="512">
        <v>4</v>
      </c>
      <c r="B55" s="511" t="s">
        <v>229</v>
      </c>
      <c r="C55" s="515">
        <v>7987232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ht="12.75">
      <c r="A56" s="512">
        <v>5</v>
      </c>
      <c r="B56" s="511" t="s">
        <v>829</v>
      </c>
      <c r="C56" s="515">
        <v>1493424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ht="12.75">
      <c r="A57" s="512">
        <v>6</v>
      </c>
      <c r="B57" s="511" t="s">
        <v>533</v>
      </c>
      <c r="C57" s="515">
        <v>126599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ht="12.75">
      <c r="A58" s="512">
        <v>7</v>
      </c>
      <c r="B58" s="511" t="s">
        <v>844</v>
      </c>
      <c r="C58" s="515">
        <v>1764297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ht="12.75">
      <c r="A59" s="512"/>
      <c r="B59" s="516" t="s">
        <v>877</v>
      </c>
      <c r="C59" s="517">
        <f>SUM(C53+C54+C57)</f>
        <v>35800178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ht="12.75">
      <c r="A60" s="512"/>
      <c r="B60" s="516" t="s">
        <v>810</v>
      </c>
      <c r="C60" s="517">
        <f>SUM(C52+C59)</f>
        <v>219721790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3" ht="12.75">
      <c r="A61" s="520"/>
      <c r="B61" s="519"/>
      <c r="C61" s="520"/>
    </row>
    <row r="62" spans="1:58" s="506" customFormat="1" ht="12.75">
      <c r="A62" s="508" t="s">
        <v>469</v>
      </c>
      <c r="B62" s="521" t="s">
        <v>735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ht="12.75">
      <c r="A63" s="512">
        <v>1</v>
      </c>
      <c r="B63" s="511" t="s">
        <v>961</v>
      </c>
      <c r="C63" s="514">
        <f>SUM(C41+C52)</f>
        <v>259720619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ht="12.75">
      <c r="A64" s="512">
        <v>2</v>
      </c>
      <c r="B64" s="511" t="s">
        <v>962</v>
      </c>
      <c r="C64" s="518">
        <f>SUM(C48+C59)</f>
        <v>121735658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ht="12.75">
      <c r="A65" s="512"/>
      <c r="B65" s="516" t="s">
        <v>735</v>
      </c>
      <c r="C65" s="517">
        <f>SUM(+C63+C64)</f>
        <v>381456277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ht="12.75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>
      <c r="A67" s="335" t="s">
        <v>159</v>
      </c>
      <c r="B67" s="501" t="s">
        <v>963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ht="12.75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ht="12.75">
      <c r="A69" s="508" t="s">
        <v>129</v>
      </c>
      <c r="B69" s="509" t="s">
        <v>964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ht="12.75">
      <c r="A70" s="512">
        <v>1</v>
      </c>
      <c r="B70" s="511" t="s">
        <v>737</v>
      </c>
      <c r="C70" s="530">
        <v>7028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ht="12.75">
      <c r="A71" s="512">
        <v>2</v>
      </c>
      <c r="B71" s="511" t="s">
        <v>716</v>
      </c>
      <c r="C71" s="530">
        <v>5093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ht="12.75">
      <c r="A72" s="512">
        <v>3</v>
      </c>
      <c r="B72" s="511" t="s">
        <v>862</v>
      </c>
      <c r="C72" s="530">
        <v>2756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ht="12.75">
      <c r="A73" s="512">
        <v>4</v>
      </c>
      <c r="B73" s="511" t="s">
        <v>229</v>
      </c>
      <c r="C73" s="530">
        <v>2285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ht="12.75">
      <c r="A74" s="512">
        <v>5</v>
      </c>
      <c r="B74" s="511" t="s">
        <v>829</v>
      </c>
      <c r="C74" s="530">
        <v>471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ht="12.75">
      <c r="A75" s="512">
        <v>6</v>
      </c>
      <c r="B75" s="511" t="s">
        <v>533</v>
      </c>
      <c r="C75" s="545">
        <v>11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ht="12.75">
      <c r="A76" s="512">
        <v>7</v>
      </c>
      <c r="B76" s="511" t="s">
        <v>844</v>
      </c>
      <c r="C76" s="545">
        <v>590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ht="12.75">
      <c r="A77" s="512"/>
      <c r="B77" s="516" t="s">
        <v>892</v>
      </c>
      <c r="C77" s="532">
        <f>SUM(C71+C72+C75)</f>
        <v>7860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ht="12.75">
      <c r="A78" s="512"/>
      <c r="B78" s="516" t="s">
        <v>806</v>
      </c>
      <c r="C78" s="596">
        <f>SUM(C70+C77)</f>
        <v>14888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ht="12.75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ht="12.75">
      <c r="A80" s="508" t="s">
        <v>141</v>
      </c>
      <c r="B80" s="509" t="s">
        <v>897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ht="12.75">
      <c r="A81" s="512">
        <v>1</v>
      </c>
      <c r="B81" s="511" t="s">
        <v>737</v>
      </c>
      <c r="C81" s="541">
        <v>1.04837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ht="12.75">
      <c r="A82" s="512">
        <v>2</v>
      </c>
      <c r="B82" s="511" t="s">
        <v>716</v>
      </c>
      <c r="C82" s="541">
        <v>1.57669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ht="12.75">
      <c r="A83" s="512">
        <v>3</v>
      </c>
      <c r="B83" s="511" t="s">
        <v>862</v>
      </c>
      <c r="C83" s="541">
        <f>((C73*C84)+(C74*C85))/(C73+C74)</f>
        <v>0.9668197024673439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ht="12.75">
      <c r="A84" s="512">
        <v>4</v>
      </c>
      <c r="B84" s="511" t="s">
        <v>229</v>
      </c>
      <c r="C84" s="541">
        <v>0.88259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ht="12.75">
      <c r="A85" s="512">
        <v>5</v>
      </c>
      <c r="B85" s="511" t="s">
        <v>829</v>
      </c>
      <c r="C85" s="541">
        <v>1.37545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ht="12.75">
      <c r="A86" s="512">
        <v>6</v>
      </c>
      <c r="B86" s="511" t="s">
        <v>533</v>
      </c>
      <c r="C86" s="541">
        <v>1.02872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ht="12.75">
      <c r="A87" s="512">
        <v>7</v>
      </c>
      <c r="B87" s="511" t="s">
        <v>844</v>
      </c>
      <c r="C87" s="541">
        <v>1.23076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ht="12.75">
      <c r="A88" s="512"/>
      <c r="B88" s="516" t="s">
        <v>898</v>
      </c>
      <c r="C88" s="543">
        <f>((C71*C82)+(C73*C84)+(C74*C85)+(C75*C86))/(C71+C73+C74+C75)</f>
        <v>1.362080558524173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ht="12.75">
      <c r="A89" s="512"/>
      <c r="B89" s="516" t="s">
        <v>807</v>
      </c>
      <c r="C89" s="543">
        <f>((C70*C81)+(C71*C82)+(C73*C84)+(C74*C85)+(C75*C86))/(C70+C71+C73+C74+C75)</f>
        <v>1.2139909692369695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ht="12.75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ht="12.75">
      <c r="A91" s="508" t="s">
        <v>151</v>
      </c>
      <c r="B91" s="509" t="s">
        <v>899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ht="12.75">
      <c r="A92" s="512">
        <v>1</v>
      </c>
      <c r="B92" s="511" t="s">
        <v>900</v>
      </c>
      <c r="C92" s="513">
        <v>520905477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ht="12.75">
      <c r="A93" s="512">
        <v>2</v>
      </c>
      <c r="B93" s="511" t="s">
        <v>901</v>
      </c>
      <c r="C93" s="546">
        <v>285258976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ht="12.75">
      <c r="A94" s="512"/>
      <c r="B94" s="511" t="s">
        <v>749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ht="12.75">
      <c r="A95" s="512">
        <v>3</v>
      </c>
      <c r="B95" s="511" t="s">
        <v>833</v>
      </c>
      <c r="C95" s="513">
        <f>+C92-C93</f>
        <v>235646501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ht="12.75">
      <c r="A96" s="512">
        <v>4</v>
      </c>
      <c r="B96" s="511" t="s">
        <v>751</v>
      </c>
      <c r="C96" s="597">
        <f>(+C92-C93)/C92</f>
        <v>0.452378620315409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ht="12.75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ht="12.75">
      <c r="A98" s="512">
        <v>5</v>
      </c>
      <c r="B98" s="511" t="s">
        <v>848</v>
      </c>
      <c r="C98" s="513">
        <v>19743013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ht="12.75">
      <c r="A99" s="512">
        <v>6</v>
      </c>
      <c r="B99" s="511" t="s">
        <v>834</v>
      </c>
      <c r="C99" s="513">
        <v>12159825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ht="12.75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>
      <c r="A101" s="512">
        <v>7</v>
      </c>
      <c r="B101" s="548" t="s">
        <v>965</v>
      </c>
      <c r="C101" s="513">
        <v>2936412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ht="12.75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ht="12.75">
      <c r="A103" s="512">
        <v>8</v>
      </c>
      <c r="B103" s="511" t="s">
        <v>903</v>
      </c>
      <c r="C103" s="513">
        <v>11909791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ht="12.75">
      <c r="A104" s="512">
        <v>9</v>
      </c>
      <c r="B104" s="511" t="s">
        <v>904</v>
      </c>
      <c r="C104" s="513">
        <v>47934677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ht="12.75">
      <c r="A105" s="570">
        <v>10</v>
      </c>
      <c r="B105" s="571" t="s">
        <v>905</v>
      </c>
      <c r="C105" s="578">
        <f>+C103+C104</f>
        <v>59844468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ht="12.75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ht="12.75">
      <c r="A107" s="512">
        <v>11</v>
      </c>
      <c r="B107" s="511" t="s">
        <v>906</v>
      </c>
      <c r="C107" s="513">
        <v>23523556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ht="12.75">
      <c r="A108" s="512">
        <v>12</v>
      </c>
      <c r="B108" s="511" t="s">
        <v>791</v>
      </c>
      <c r="C108" s="513">
        <v>425519879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ht="12.75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>
      <c r="A110" s="500" t="s">
        <v>250</v>
      </c>
      <c r="B110" s="501" t="s">
        <v>936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ht="12.75">
      <c r="A112" s="508" t="s">
        <v>129</v>
      </c>
      <c r="B112" s="509" t="s">
        <v>937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ht="12.75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ht="12.75">
      <c r="A114" s="512">
        <v>1</v>
      </c>
      <c r="B114" s="511" t="s">
        <v>735</v>
      </c>
      <c r="C114" s="514">
        <f>+C65</f>
        <v>381456277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ht="12.75">
      <c r="A115" s="512">
        <v>2</v>
      </c>
      <c r="B115" s="511" t="s">
        <v>938</v>
      </c>
      <c r="C115" s="546">
        <f>+C101</f>
        <v>2936412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ht="12.75">
      <c r="A116" s="512"/>
      <c r="B116" s="516" t="s">
        <v>939</v>
      </c>
      <c r="C116" s="517">
        <f>+C114+C115</f>
        <v>384392689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ht="12.75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ht="12.75">
      <c r="A118" s="512">
        <v>3</v>
      </c>
      <c r="B118" s="511" t="s">
        <v>940</v>
      </c>
      <c r="C118" s="578">
        <v>32545056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ht="12.75">
      <c r="A119" s="512"/>
      <c r="B119" s="516" t="s">
        <v>941</v>
      </c>
      <c r="C119" s="580">
        <f>+C116+C118</f>
        <v>416937745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ht="12.75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ht="12.75">
      <c r="A121" s="512">
        <v>4</v>
      </c>
      <c r="B121" s="511" t="s">
        <v>942</v>
      </c>
      <c r="C121" s="513">
        <v>416938000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ht="12.75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ht="12.75">
      <c r="A123" s="512"/>
      <c r="B123" s="516" t="s">
        <v>943</v>
      </c>
      <c r="C123" s="582">
        <f>C119-C121</f>
        <v>-255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ht="12.75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ht="12.75">
      <c r="A125" s="340" t="s">
        <v>141</v>
      </c>
      <c r="B125" s="509" t="s">
        <v>944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ht="12.75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44" s="506" customFormat="1" ht="12.75">
      <c r="A127" s="512">
        <v>1</v>
      </c>
      <c r="B127" s="511" t="s">
        <v>945</v>
      </c>
      <c r="C127" s="514">
        <f>+C38</f>
        <v>1157017313</v>
      </c>
      <c r="D127" s="588"/>
      <c r="AR127" s="507"/>
    </row>
    <row r="128" spans="1:44" s="506" customFormat="1" ht="12.75">
      <c r="A128" s="512">
        <v>2</v>
      </c>
      <c r="B128" s="583" t="s">
        <v>946</v>
      </c>
      <c r="C128" s="513">
        <v>0</v>
      </c>
      <c r="D128" s="588"/>
      <c r="AR128" s="507"/>
    </row>
    <row r="129" spans="1:44" s="506" customFormat="1" ht="12.75">
      <c r="A129" s="512"/>
      <c r="B129" s="516" t="s">
        <v>947</v>
      </c>
      <c r="C129" s="581">
        <f>C127+C128</f>
        <v>1157017313</v>
      </c>
      <c r="D129" s="588"/>
      <c r="AR129" s="507"/>
    </row>
    <row r="130" spans="1:44" s="506" customFormat="1" ht="12.75">
      <c r="A130" s="512"/>
      <c r="B130" s="510"/>
      <c r="C130" s="513"/>
      <c r="D130" s="588"/>
      <c r="AR130" s="507"/>
    </row>
    <row r="131" spans="1:44" s="506" customFormat="1" ht="12.75">
      <c r="A131" s="512">
        <v>3</v>
      </c>
      <c r="B131" s="511" t="s">
        <v>948</v>
      </c>
      <c r="C131" s="513">
        <v>1157017000</v>
      </c>
      <c r="D131" s="588"/>
      <c r="AR131" s="507"/>
    </row>
    <row r="132" spans="1:44" s="506" customFormat="1" ht="12.75">
      <c r="A132" s="512"/>
      <c r="B132" s="511"/>
      <c r="C132" s="513"/>
      <c r="D132" s="588"/>
      <c r="AR132" s="507"/>
    </row>
    <row r="133" spans="1:44" s="506" customFormat="1" ht="12.75">
      <c r="A133" s="512"/>
      <c r="B133" s="516" t="s">
        <v>943</v>
      </c>
      <c r="C133" s="581">
        <f>C129-C131</f>
        <v>313</v>
      </c>
      <c r="D133" s="588"/>
      <c r="AR133" s="507"/>
    </row>
    <row r="134" spans="1:44" s="506" customFormat="1" ht="12.75">
      <c r="A134" s="511"/>
      <c r="B134" s="510"/>
      <c r="C134" s="510"/>
      <c r="D134" s="588"/>
      <c r="AR134" s="507"/>
    </row>
    <row r="135" spans="1:44" s="506" customFormat="1" ht="12.75">
      <c r="A135" s="508" t="s">
        <v>151</v>
      </c>
      <c r="B135" s="509" t="s">
        <v>949</v>
      </c>
      <c r="C135" s="510"/>
      <c r="D135" s="588"/>
      <c r="AR135" s="507"/>
    </row>
    <row r="136" spans="1:44" s="506" customFormat="1" ht="12.75">
      <c r="A136" s="510"/>
      <c r="B136" s="551"/>
      <c r="C136" s="510"/>
      <c r="D136" s="588"/>
      <c r="AR136" s="507"/>
    </row>
    <row r="137" spans="1:44" s="506" customFormat="1" ht="12.75">
      <c r="A137" s="512">
        <v>1</v>
      </c>
      <c r="B137" s="511" t="s">
        <v>950</v>
      </c>
      <c r="C137" s="513">
        <f>C105</f>
        <v>59844468</v>
      </c>
      <c r="D137" s="588"/>
      <c r="AR137" s="507"/>
    </row>
    <row r="138" spans="1:44" s="506" customFormat="1" ht="12.75">
      <c r="A138" s="512">
        <v>2</v>
      </c>
      <c r="B138" s="511" t="s">
        <v>966</v>
      </c>
      <c r="C138" s="513">
        <v>0</v>
      </c>
      <c r="D138" s="588"/>
      <c r="AR138" s="507"/>
    </row>
    <row r="139" spans="1:44" s="506" customFormat="1" ht="12.75">
      <c r="A139" s="512"/>
      <c r="B139" s="516" t="s">
        <v>952</v>
      </c>
      <c r="C139" s="581">
        <f>C137+C138</f>
        <v>59844468</v>
      </c>
      <c r="D139" s="588"/>
      <c r="AR139" s="507"/>
    </row>
    <row r="140" spans="1:44" s="506" customFormat="1" ht="12.75">
      <c r="A140" s="512"/>
      <c r="B140" s="510"/>
      <c r="C140" s="513"/>
      <c r="D140" s="588"/>
      <c r="AR140" s="507"/>
    </row>
    <row r="141" spans="1:44" s="506" customFormat="1" ht="12.75">
      <c r="A141" s="512">
        <v>3</v>
      </c>
      <c r="B141" s="511" t="s">
        <v>967</v>
      </c>
      <c r="C141" s="513">
        <v>59844900</v>
      </c>
      <c r="D141" s="588"/>
      <c r="AR141" s="507"/>
    </row>
    <row r="142" spans="1:44" s="506" customFormat="1" ht="12.75">
      <c r="A142" s="512"/>
      <c r="B142" s="511"/>
      <c r="C142" s="513"/>
      <c r="D142" s="588"/>
      <c r="AR142" s="507"/>
    </row>
    <row r="143" spans="1:44" s="506" customFormat="1" ht="12.75">
      <c r="A143" s="512"/>
      <c r="B143" s="516" t="s">
        <v>954</v>
      </c>
      <c r="C143" s="581">
        <f>C139-C141</f>
        <v>-432</v>
      </c>
      <c r="D143" s="588"/>
      <c r="AR143" s="507"/>
    </row>
  </sheetData>
  <sheetProtection/>
  <mergeCells count="6">
    <mergeCell ref="A6:C6"/>
    <mergeCell ref="A7:C7"/>
    <mergeCell ref="A2:C2"/>
    <mergeCell ref="A3:C3"/>
    <mergeCell ref="A4:C4"/>
    <mergeCell ref="A5:C5"/>
  </mergeCells>
  <printOptions gridLines="1"/>
  <pageMargins left="0.5" right="0.5" top="0.5" bottom="0.5" header="0.25" footer="0.25"/>
  <pageSetup horizontalDpi="1200" verticalDpi="1200" orientation="portrait" scale="74"/>
  <headerFooter alignWithMargins="0">
    <oddHeader>&amp;LOFFICE OF HEALTH CARE ACCESS&amp;CTWELVE MONTHS ACTUAL FILING&amp;RSTAMFORD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="75" zoomScaleNormal="75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.00390625" style="307" bestFit="1" customWidth="1"/>
    <col min="12" max="12" width="12.8515625" style="307" bestFit="1" customWidth="1"/>
    <col min="13" max="13" width="12.00390625" style="307" bestFit="1" customWidth="1"/>
    <col min="14" max="14" width="9.8515625" style="307" customWidth="1"/>
    <col min="15" max="16384" width="9.140625" style="307" customWidth="1"/>
  </cols>
  <sheetData>
    <row r="1" spans="1:6" ht="15.75" customHeight="1">
      <c r="A1" s="602"/>
      <c r="B1" s="602"/>
      <c r="C1" s="35"/>
      <c r="D1" s="602"/>
      <c r="E1" s="602"/>
      <c r="F1" s="602"/>
    </row>
    <row r="2" spans="1:6" ht="15.75" customHeight="1">
      <c r="A2" s="714" t="s">
        <v>115</v>
      </c>
      <c r="B2" s="715"/>
      <c r="C2" s="715"/>
      <c r="D2" s="715"/>
      <c r="E2" s="715"/>
      <c r="F2" s="716"/>
    </row>
    <row r="3" spans="1:6" ht="15.75" customHeight="1">
      <c r="A3" s="714" t="s">
        <v>707</v>
      </c>
      <c r="B3" s="715"/>
      <c r="C3" s="715"/>
      <c r="D3" s="715"/>
      <c r="E3" s="715"/>
      <c r="F3" s="716"/>
    </row>
    <row r="4" spans="1:6" ht="15.75" customHeight="1">
      <c r="A4" s="714" t="s">
        <v>708</v>
      </c>
      <c r="B4" s="715"/>
      <c r="C4" s="715"/>
      <c r="D4" s="715"/>
      <c r="E4" s="715"/>
      <c r="F4" s="716"/>
    </row>
    <row r="5" spans="1:6" ht="15.75" customHeight="1">
      <c r="A5" s="714" t="s">
        <v>968</v>
      </c>
      <c r="B5" s="715"/>
      <c r="C5" s="715"/>
      <c r="D5" s="715"/>
      <c r="E5" s="715"/>
      <c r="F5" s="716"/>
    </row>
    <row r="6" spans="1:13" ht="15.75" customHeight="1">
      <c r="A6" s="602"/>
      <c r="B6" s="602"/>
      <c r="C6" s="35"/>
      <c r="D6" s="35"/>
      <c r="E6" s="602"/>
      <c r="F6" s="602"/>
      <c r="M6" s="122"/>
    </row>
    <row r="7" spans="1:6" ht="15.75" customHeight="1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3" ht="15.75" customHeight="1">
      <c r="A8" s="602"/>
      <c r="B8" s="305"/>
      <c r="C8" s="35" t="s">
        <v>711</v>
      </c>
      <c r="D8" s="35" t="s">
        <v>711</v>
      </c>
      <c r="E8" s="35" t="s">
        <v>121</v>
      </c>
      <c r="F8" s="35" t="s">
        <v>122</v>
      </c>
      <c r="G8" s="604"/>
      <c r="H8" s="289"/>
      <c r="I8" s="308"/>
      <c r="J8" s="308"/>
      <c r="K8" s="308"/>
      <c r="L8" s="308"/>
      <c r="M8" s="308"/>
    </row>
    <row r="9" spans="1:14" ht="15.75" customHeight="1">
      <c r="A9" s="605" t="s">
        <v>123</v>
      </c>
      <c r="B9" s="606" t="s">
        <v>124</v>
      </c>
      <c r="C9" s="607" t="s">
        <v>713</v>
      </c>
      <c r="D9" s="607" t="s">
        <v>714</v>
      </c>
      <c r="E9" s="605" t="s">
        <v>126</v>
      </c>
      <c r="F9" s="605" t="s">
        <v>126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>
      <c r="A11" s="29" t="s">
        <v>129</v>
      </c>
      <c r="B11" s="606" t="s">
        <v>969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3" ht="15" customHeight="1">
      <c r="A12" s="25">
        <v>1</v>
      </c>
      <c r="B12" s="609" t="s">
        <v>970</v>
      </c>
      <c r="C12" s="49">
        <v>2056</v>
      </c>
      <c r="D12" s="49">
        <v>1692</v>
      </c>
      <c r="E12" s="49">
        <f>+D12-C12</f>
        <v>-364</v>
      </c>
      <c r="F12" s="70">
        <f>IF(C12=0,0,+E12/C12)</f>
        <v>-0.17704280155642024</v>
      </c>
      <c r="G12" s="610"/>
      <c r="H12" s="611"/>
      <c r="I12" s="612"/>
      <c r="J12" s="308"/>
      <c r="K12" s="308"/>
      <c r="L12" s="308"/>
      <c r="M12" s="308"/>
    </row>
    <row r="13" spans="1:13" ht="15" customHeight="1">
      <c r="A13" s="44">
        <v>2</v>
      </c>
      <c r="B13" s="609" t="s">
        <v>971</v>
      </c>
      <c r="C13" s="49">
        <v>1958</v>
      </c>
      <c r="D13" s="49">
        <v>1057</v>
      </c>
      <c r="E13" s="49">
        <f>+D13-C13</f>
        <v>-901</v>
      </c>
      <c r="F13" s="70">
        <f>IF(C13=0,0,+E13/C13)</f>
        <v>-0.46016343207354443</v>
      </c>
      <c r="G13" s="610"/>
      <c r="H13" s="611"/>
      <c r="I13" s="612"/>
      <c r="J13" s="308"/>
      <c r="K13" s="308"/>
      <c r="L13" s="308"/>
      <c r="M13" s="308"/>
    </row>
    <row r="14" spans="1:13" ht="15" customHeight="1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3" ht="15" customHeight="1">
      <c r="A15" s="25">
        <v>3</v>
      </c>
      <c r="B15" s="121" t="s">
        <v>972</v>
      </c>
      <c r="C15" s="51">
        <v>15715201</v>
      </c>
      <c r="D15" s="51">
        <v>11909791</v>
      </c>
      <c r="E15" s="51">
        <f>+D15-C15</f>
        <v>-3805410</v>
      </c>
      <c r="F15" s="70">
        <f>IF(C15=0,0,+E15/C15)</f>
        <v>-0.24214835050471198</v>
      </c>
      <c r="G15" s="610"/>
      <c r="H15" s="611"/>
      <c r="I15" s="612"/>
      <c r="J15" s="308"/>
      <c r="K15" s="308"/>
      <c r="L15" s="308"/>
      <c r="M15" s="308"/>
    </row>
    <row r="16" spans="1:13" ht="15.75" customHeight="1">
      <c r="A16" s="25">
        <v>4</v>
      </c>
      <c r="B16" s="121" t="s">
        <v>973</v>
      </c>
      <c r="C16" s="27">
        <f>IF(C13=0,0,+C15/+C13)</f>
        <v>8026.149642492339</v>
      </c>
      <c r="D16" s="27">
        <f>IF(D13=0,0,+D15/+D13)</f>
        <v>11267.541154210028</v>
      </c>
      <c r="E16" s="27">
        <f>+D16-C16</f>
        <v>3241.3915117176894</v>
      </c>
      <c r="F16" s="28">
        <f>IF(C16=0,0,+E16/C16)</f>
        <v>0.40385385970839544</v>
      </c>
      <c r="G16" s="610"/>
      <c r="H16" s="611"/>
      <c r="I16" s="612"/>
      <c r="J16" s="308"/>
      <c r="K16" s="308"/>
      <c r="L16" s="308"/>
      <c r="M16" s="308"/>
    </row>
    <row r="17" spans="1:13" ht="15.75" customHeight="1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>
      <c r="A18" s="25">
        <v>5</v>
      </c>
      <c r="B18" s="613" t="s">
        <v>974</v>
      </c>
      <c r="C18" s="210">
        <v>0.399143</v>
      </c>
      <c r="D18" s="210">
        <v>0.384095</v>
      </c>
      <c r="E18" s="210">
        <f>+D18-C18</f>
        <v>-0.015048000000000006</v>
      </c>
      <c r="F18" s="70">
        <f>IF(C18=0,0,+E18/C18)</f>
        <v>-0.03770077390809811</v>
      </c>
      <c r="G18" s="610"/>
      <c r="H18" s="611"/>
      <c r="I18" s="612"/>
      <c r="J18" s="308"/>
      <c r="K18" s="308"/>
      <c r="L18" s="308"/>
      <c r="M18" s="308"/>
    </row>
    <row r="19" spans="1:13" ht="15.75" customHeight="1">
      <c r="A19" s="25">
        <v>6</v>
      </c>
      <c r="B19" s="614" t="s">
        <v>975</v>
      </c>
      <c r="C19" s="27">
        <f>+C15*C18</f>
        <v>6272612.472743001</v>
      </c>
      <c r="D19" s="27">
        <f>+D15*D18</f>
        <v>4574491.174145</v>
      </c>
      <c r="E19" s="27">
        <f>+D19-C19</f>
        <v>-1698121.2985980008</v>
      </c>
      <c r="F19" s="28">
        <f>IF(C19=0,0,+E19/C19)</f>
        <v>-0.2707199441982131</v>
      </c>
      <c r="G19" s="610"/>
      <c r="H19" s="611"/>
      <c r="I19" s="612"/>
      <c r="J19" s="308"/>
      <c r="K19" s="308"/>
      <c r="L19" s="308"/>
      <c r="M19" s="308"/>
    </row>
    <row r="20" spans="1:13" ht="15.75" customHeight="1">
      <c r="A20" s="25">
        <v>7</v>
      </c>
      <c r="B20" s="614" t="s">
        <v>976</v>
      </c>
      <c r="C20" s="27">
        <f>IF(C13=0,0,+C19/C13)</f>
        <v>3203.58144675332</v>
      </c>
      <c r="D20" s="27">
        <f>IF(D13=0,0,+D19/D13)</f>
        <v>4327.806219626301</v>
      </c>
      <c r="E20" s="27">
        <f>+D20-C20</f>
        <v>1124.2247728729808</v>
      </c>
      <c r="F20" s="28">
        <f>IF(C20=0,0,+E20/C20)</f>
        <v>0.3509274827435182</v>
      </c>
      <c r="G20" s="610"/>
      <c r="H20" s="611"/>
      <c r="I20" s="612"/>
      <c r="J20" s="308"/>
      <c r="K20" s="308"/>
      <c r="L20" s="308"/>
      <c r="M20" s="308"/>
    </row>
    <row r="21" spans="1:13" ht="15.75" customHeight="1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>
      <c r="A22" s="25">
        <v>8</v>
      </c>
      <c r="B22" s="613" t="s">
        <v>977</v>
      </c>
      <c r="C22" s="51">
        <v>4353667</v>
      </c>
      <c r="D22" s="51">
        <v>3864448</v>
      </c>
      <c r="E22" s="51">
        <f>+D22-C22</f>
        <v>-489219</v>
      </c>
      <c r="F22" s="70">
        <f>IF(C22=0,0,+E22/C22)</f>
        <v>-0.11236941180848237</v>
      </c>
      <c r="G22" s="610"/>
      <c r="H22" s="611"/>
      <c r="I22" s="612"/>
      <c r="J22" s="308"/>
      <c r="K22" s="308"/>
      <c r="L22" s="308"/>
      <c r="M22" s="308"/>
    </row>
    <row r="23" spans="1:13" ht="15" customHeight="1">
      <c r="A23" s="25">
        <v>9</v>
      </c>
      <c r="B23" s="613" t="s">
        <v>978</v>
      </c>
      <c r="C23" s="49">
        <v>9255033</v>
      </c>
      <c r="D23" s="49">
        <v>2452557</v>
      </c>
      <c r="E23" s="49">
        <f>+D23-C23</f>
        <v>-6802476</v>
      </c>
      <c r="F23" s="70">
        <f>IF(C23=0,0,+E23/C23)</f>
        <v>-0.7350028897789992</v>
      </c>
      <c r="G23" s="610"/>
      <c r="H23" s="611"/>
      <c r="I23" s="612"/>
      <c r="J23" s="308"/>
      <c r="K23" s="308"/>
      <c r="L23" s="308"/>
      <c r="M23" s="308"/>
    </row>
    <row r="24" spans="1:13" ht="15" customHeight="1">
      <c r="A24" s="25">
        <v>10</v>
      </c>
      <c r="B24" s="613" t="s">
        <v>0</v>
      </c>
      <c r="C24" s="49">
        <v>2106501</v>
      </c>
      <c r="D24" s="49">
        <v>5592786</v>
      </c>
      <c r="E24" s="49">
        <f>+D24-C24</f>
        <v>3486285</v>
      </c>
      <c r="F24" s="70">
        <f>IF(C24=0,0,+E24/C24)</f>
        <v>1.65501226916104</v>
      </c>
      <c r="G24" s="610"/>
      <c r="H24" s="611"/>
      <c r="I24" s="612"/>
      <c r="J24" s="308"/>
      <c r="K24" s="308"/>
      <c r="L24" s="308"/>
      <c r="M24" s="308"/>
    </row>
    <row r="25" spans="1:13" ht="15.75" customHeight="1">
      <c r="A25" s="25">
        <v>11</v>
      </c>
      <c r="B25" s="614" t="s">
        <v>972</v>
      </c>
      <c r="C25" s="27">
        <f>+C22+C23+C24</f>
        <v>15715201</v>
      </c>
      <c r="D25" s="27">
        <f>+D22+D23+D24</f>
        <v>11909791</v>
      </c>
      <c r="E25" s="27">
        <f>+E22+E23+E24</f>
        <v>-3805410</v>
      </c>
      <c r="F25" s="28">
        <f>IF(C25=0,0,+E25/C25)</f>
        <v>-0.24214835050471198</v>
      </c>
      <c r="G25" s="610"/>
      <c r="H25" s="611"/>
      <c r="I25" s="612"/>
      <c r="J25" s="308"/>
      <c r="K25" s="308"/>
      <c r="L25" s="308"/>
      <c r="M25" s="308"/>
    </row>
    <row r="26" spans="1:13" ht="15.75" customHeight="1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>
      <c r="A27" s="25">
        <v>12</v>
      </c>
      <c r="B27" s="615" t="s">
        <v>1</v>
      </c>
      <c r="C27" s="49">
        <v>533</v>
      </c>
      <c r="D27" s="49">
        <v>419</v>
      </c>
      <c r="E27" s="49">
        <f>+D27-C27</f>
        <v>-114</v>
      </c>
      <c r="F27" s="70">
        <f>IF(C27=0,0,+E27/C27)</f>
        <v>-0.21388367729831145</v>
      </c>
      <c r="G27" s="610"/>
      <c r="H27" s="611"/>
      <c r="I27" s="612"/>
      <c r="J27" s="308"/>
      <c r="K27" s="308"/>
      <c r="L27" s="308"/>
      <c r="M27" s="308"/>
    </row>
    <row r="28" spans="1:13" ht="15" customHeight="1">
      <c r="A28" s="25">
        <v>13</v>
      </c>
      <c r="B28" s="615" t="s">
        <v>2</v>
      </c>
      <c r="C28" s="49">
        <v>173</v>
      </c>
      <c r="D28" s="49">
        <v>115</v>
      </c>
      <c r="E28" s="49">
        <f>+D28-C28</f>
        <v>-58</v>
      </c>
      <c r="F28" s="70">
        <f>IF(C28=0,0,+E28/C28)</f>
        <v>-0.3352601156069364</v>
      </c>
      <c r="G28" s="610"/>
      <c r="H28" s="611"/>
      <c r="I28" s="612"/>
      <c r="J28" s="308"/>
      <c r="K28" s="308"/>
      <c r="L28" s="308"/>
      <c r="M28" s="308"/>
    </row>
    <row r="29" spans="1:13" ht="16.5" customHeight="1">
      <c r="A29" s="25">
        <v>14</v>
      </c>
      <c r="B29" s="615" t="s">
        <v>3</v>
      </c>
      <c r="C29" s="49">
        <v>359</v>
      </c>
      <c r="D29" s="49">
        <v>787</v>
      </c>
      <c r="E29" s="49">
        <f>+D29-C29</f>
        <v>428</v>
      </c>
      <c r="F29" s="70">
        <f>IF(C29=0,0,+E29/C29)</f>
        <v>1.192200557103064</v>
      </c>
      <c r="G29" s="610"/>
      <c r="H29" s="611"/>
      <c r="I29" s="612"/>
      <c r="J29" s="308"/>
      <c r="K29" s="308"/>
      <c r="L29" s="308"/>
      <c r="M29" s="308"/>
    </row>
    <row r="30" spans="1:13" ht="15" customHeight="1">
      <c r="A30" s="25">
        <v>15</v>
      </c>
      <c r="B30" s="615" t="s">
        <v>4</v>
      </c>
      <c r="C30" s="49">
        <v>6738</v>
      </c>
      <c r="D30" s="49">
        <v>3383</v>
      </c>
      <c r="E30" s="49">
        <f>+D30-C30</f>
        <v>-3355</v>
      </c>
      <c r="F30" s="70">
        <f>IF(C30=0,0,+E30/C30)</f>
        <v>-0.497922232116355</v>
      </c>
      <c r="G30" s="610"/>
      <c r="H30" s="611"/>
      <c r="I30" s="612"/>
      <c r="J30" s="308"/>
      <c r="K30" s="308"/>
      <c r="L30" s="308"/>
      <c r="M30" s="308"/>
    </row>
    <row r="31" spans="1:13" ht="15" customHeight="1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>
      <c r="A32" s="29" t="s">
        <v>141</v>
      </c>
      <c r="B32" s="606" t="s">
        <v>5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>
      <c r="A33" s="25">
        <v>1</v>
      </c>
      <c r="B33" s="613" t="s">
        <v>6</v>
      </c>
      <c r="C33" s="51">
        <v>19192064</v>
      </c>
      <c r="D33" s="51">
        <v>19658293</v>
      </c>
      <c r="E33" s="51">
        <f>+D33-C33</f>
        <v>466229</v>
      </c>
      <c r="F33" s="70">
        <f>IF(C33=0,0,+E33/C33)</f>
        <v>0.024292801441262387</v>
      </c>
      <c r="G33" s="610"/>
      <c r="H33" s="611"/>
      <c r="I33" s="612"/>
      <c r="J33" s="308"/>
      <c r="K33" s="308"/>
      <c r="L33" s="308"/>
      <c r="M33" s="308"/>
    </row>
    <row r="34" spans="1:13" ht="15" customHeight="1">
      <c r="A34" s="25">
        <v>2</v>
      </c>
      <c r="B34" s="613" t="s">
        <v>7</v>
      </c>
      <c r="C34" s="49">
        <v>12042846</v>
      </c>
      <c r="D34" s="49">
        <v>14160716</v>
      </c>
      <c r="E34" s="49">
        <f>+D34-C34</f>
        <v>2117870</v>
      </c>
      <c r="F34" s="70">
        <f>IF(C34=0,0,+E34/C34)</f>
        <v>0.17586125405904884</v>
      </c>
      <c r="G34" s="610"/>
      <c r="H34" s="611"/>
      <c r="I34" s="612"/>
      <c r="J34" s="308"/>
      <c r="K34" s="308"/>
      <c r="L34" s="308"/>
      <c r="M34" s="308"/>
    </row>
    <row r="35" spans="1:13" ht="15" customHeight="1">
      <c r="A35" s="25">
        <v>3</v>
      </c>
      <c r="B35" s="613" t="s">
        <v>8</v>
      </c>
      <c r="C35" s="49">
        <v>13589956</v>
      </c>
      <c r="D35" s="49">
        <v>14115668</v>
      </c>
      <c r="E35" s="49">
        <f>+D35-C35</f>
        <v>525712</v>
      </c>
      <c r="F35" s="70">
        <f>IF(C35=0,0,+E35/C35)</f>
        <v>0.03868386328844626</v>
      </c>
      <c r="G35" s="610"/>
      <c r="H35" s="611"/>
      <c r="I35" s="612"/>
      <c r="J35" s="308"/>
      <c r="K35" s="308"/>
      <c r="L35" s="308"/>
      <c r="M35" s="308"/>
    </row>
    <row r="36" spans="1:13" ht="15.75" customHeight="1">
      <c r="A36" s="25">
        <v>4</v>
      </c>
      <c r="B36" s="614" t="s">
        <v>9</v>
      </c>
      <c r="C36" s="27">
        <f>+C33+C34+C35</f>
        <v>44824866</v>
      </c>
      <c r="D36" s="27">
        <f>+D33+D34+D35</f>
        <v>47934677</v>
      </c>
      <c r="E36" s="27">
        <f>+E33+E34+E35</f>
        <v>3109811</v>
      </c>
      <c r="F36" s="28">
        <f>IF(C36=0,0,+E36/C36)</f>
        <v>0.06937691682112335</v>
      </c>
      <c r="G36" s="610"/>
      <c r="H36" s="611"/>
      <c r="I36" s="612"/>
      <c r="J36" s="308"/>
      <c r="K36" s="308"/>
      <c r="L36" s="308"/>
      <c r="M36" s="308"/>
    </row>
    <row r="37" spans="1:13" ht="15.75" customHeight="1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>
      <c r="A38" s="29" t="s">
        <v>151</v>
      </c>
      <c r="B38" s="606" t="s">
        <v>10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>
      <c r="A39" s="25">
        <v>1</v>
      </c>
      <c r="B39" s="609" t="s">
        <v>11</v>
      </c>
      <c r="C39" s="51">
        <f>+C25</f>
        <v>15715201</v>
      </c>
      <c r="D39" s="51">
        <f>+D25</f>
        <v>11909791</v>
      </c>
      <c r="E39" s="51">
        <f>+D39-C39</f>
        <v>-3805410</v>
      </c>
      <c r="F39" s="70">
        <f>IF(C39=0,0,+E39/C39)</f>
        <v>-0.24214835050471198</v>
      </c>
      <c r="G39" s="610"/>
      <c r="H39" s="611"/>
      <c r="I39" s="612"/>
      <c r="J39" s="308"/>
      <c r="K39" s="308"/>
      <c r="L39" s="308"/>
      <c r="M39" s="308"/>
    </row>
    <row r="40" spans="1:13" ht="15" customHeight="1">
      <c r="A40" s="25">
        <v>2</v>
      </c>
      <c r="B40" s="609" t="s">
        <v>12</v>
      </c>
      <c r="C40" s="49">
        <f>+C36</f>
        <v>44824866</v>
      </c>
      <c r="D40" s="49">
        <f>+D36</f>
        <v>47934677</v>
      </c>
      <c r="E40" s="49">
        <f>+D40-C40</f>
        <v>3109811</v>
      </c>
      <c r="F40" s="70">
        <f>IF(C40=0,0,+E40/C40)</f>
        <v>0.06937691682112335</v>
      </c>
      <c r="G40" s="610"/>
      <c r="H40" s="611"/>
      <c r="I40" s="612"/>
      <c r="J40" s="308"/>
      <c r="K40" s="308"/>
      <c r="L40" s="308"/>
      <c r="M40" s="308"/>
    </row>
    <row r="41" spans="1:13" ht="15.75" customHeight="1">
      <c r="A41" s="25">
        <v>3</v>
      </c>
      <c r="B41" s="617" t="s">
        <v>13</v>
      </c>
      <c r="C41" s="27">
        <f>+C39+C40</f>
        <v>60540067</v>
      </c>
      <c r="D41" s="27">
        <f>+D39+D40</f>
        <v>59844468</v>
      </c>
      <c r="E41" s="27">
        <f>+E39+E40</f>
        <v>-695599</v>
      </c>
      <c r="F41" s="28">
        <f>IF(C41=0,0,+E41/C41)</f>
        <v>-0.011489894783235043</v>
      </c>
      <c r="G41" s="610"/>
      <c r="H41" s="611"/>
      <c r="I41" s="612"/>
      <c r="J41" s="308"/>
      <c r="K41" s="308"/>
      <c r="L41" s="308"/>
      <c r="M41" s="308"/>
    </row>
    <row r="42" spans="1:13" ht="15.75" customHeight="1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>
      <c r="A43" s="25">
        <v>4</v>
      </c>
      <c r="B43" s="613" t="s">
        <v>14</v>
      </c>
      <c r="C43" s="51">
        <f aca="true" t="shared" si="0" ref="C43:D45">+C22+C33</f>
        <v>23545731</v>
      </c>
      <c r="D43" s="51">
        <f t="shared" si="0"/>
        <v>23522741</v>
      </c>
      <c r="E43" s="51">
        <f>+D43-C43</f>
        <v>-22990</v>
      </c>
      <c r="F43" s="70">
        <f>IF(C43=0,0,+E43/C43)</f>
        <v>-0.0009763978022173106</v>
      </c>
      <c r="G43" s="610"/>
      <c r="H43" s="611"/>
      <c r="I43" s="612"/>
      <c r="J43" s="308"/>
      <c r="K43" s="308"/>
      <c r="L43" s="308"/>
      <c r="M43" s="308"/>
    </row>
    <row r="44" spans="1:13" ht="30">
      <c r="A44" s="25">
        <v>5</v>
      </c>
      <c r="B44" s="613" t="s">
        <v>15</v>
      </c>
      <c r="C44" s="49">
        <f t="shared" si="0"/>
        <v>21297879</v>
      </c>
      <c r="D44" s="49">
        <f t="shared" si="0"/>
        <v>16613273</v>
      </c>
      <c r="E44" s="49">
        <f>+D44-C44</f>
        <v>-4684606</v>
      </c>
      <c r="F44" s="70">
        <f>IF(C44=0,0,+E44/C44)</f>
        <v>-0.21995645669693212</v>
      </c>
      <c r="G44" s="610"/>
      <c r="H44" s="611"/>
      <c r="I44" s="612"/>
      <c r="J44" s="308"/>
      <c r="K44" s="308"/>
      <c r="L44" s="308"/>
      <c r="M44" s="308"/>
    </row>
    <row r="45" spans="1:13" ht="15" customHeight="1">
      <c r="A45" s="25">
        <v>6</v>
      </c>
      <c r="B45" s="613" t="s">
        <v>16</v>
      </c>
      <c r="C45" s="49">
        <f t="shared" si="0"/>
        <v>15696457</v>
      </c>
      <c r="D45" s="49">
        <f t="shared" si="0"/>
        <v>19708454</v>
      </c>
      <c r="E45" s="49">
        <f>+D45-C45</f>
        <v>4011997</v>
      </c>
      <c r="F45" s="70">
        <f>IF(C45=0,0,+E45/C45)</f>
        <v>0.255598890883465</v>
      </c>
      <c r="G45" s="610"/>
      <c r="H45" s="611"/>
      <c r="I45" s="612"/>
      <c r="J45" s="308"/>
      <c r="K45" s="308"/>
      <c r="L45" s="308"/>
      <c r="M45" s="308"/>
    </row>
    <row r="46" spans="1:13" ht="15.75" customHeight="1">
      <c r="A46" s="25">
        <v>7</v>
      </c>
      <c r="B46" s="614" t="s">
        <v>13</v>
      </c>
      <c r="C46" s="27">
        <f>+C43+C44+C45</f>
        <v>60540067</v>
      </c>
      <c r="D46" s="27">
        <f>+D43+D44+D45</f>
        <v>59844468</v>
      </c>
      <c r="E46" s="27">
        <f>+E43+E44+E45</f>
        <v>-695599</v>
      </c>
      <c r="F46" s="28">
        <f>IF(C46=0,0,+E46/C46)</f>
        <v>-0.011489894783235043</v>
      </c>
      <c r="G46" s="610"/>
      <c r="H46" s="611"/>
      <c r="I46" s="612"/>
      <c r="J46" s="308"/>
      <c r="K46" s="308"/>
      <c r="L46" s="308"/>
      <c r="M46" s="308"/>
    </row>
    <row r="47" spans="1:13" ht="15.75" customHeight="1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6" ht="15.75" customHeight="1">
      <c r="A48" s="711" t="s">
        <v>17</v>
      </c>
      <c r="B48" s="712"/>
      <c r="C48" s="712"/>
      <c r="D48" s="712"/>
      <c r="E48" s="712"/>
      <c r="F48" s="713"/>
    </row>
  </sheetData>
  <sheetProtection/>
  <mergeCells count="5">
    <mergeCell ref="A48:F48"/>
    <mergeCell ref="A2:F2"/>
    <mergeCell ref="A3:F3"/>
    <mergeCell ref="A4:F4"/>
    <mergeCell ref="A5:F5"/>
  </mergeCells>
  <printOptions/>
  <pageMargins left="0.5" right="0.5" top="0.5" bottom="0.5" header="0.25" footer="0.25"/>
  <pageSetup fitToHeight="1" fitToWidth="1" horizontalDpi="1200" verticalDpi="1200" orientation="portrait" paperSize="9" scale="70"/>
  <headerFooter alignWithMargins="0">
    <oddHeader>&amp;LOFFICE OF HEALTH CARE ACCESS&amp;CTWELVE MONTHS ACTUAL FILING&amp;RSTAMFORD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75" zoomScaleNormal="75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.00390625" style="307" bestFit="1" customWidth="1"/>
    <col min="12" max="12" width="12.8515625" style="307" bestFit="1" customWidth="1"/>
    <col min="13" max="13" width="12.00390625" style="307" bestFit="1" customWidth="1"/>
    <col min="14" max="14" width="9.8515625" style="307" customWidth="1"/>
    <col min="15" max="16384" width="9.140625" style="307" customWidth="1"/>
  </cols>
  <sheetData>
    <row r="1" spans="1:6" ht="15" customHeight="1">
      <c r="A1" s="602"/>
      <c r="B1" s="602"/>
      <c r="C1" s="602"/>
      <c r="D1" s="602"/>
      <c r="E1" s="602"/>
      <c r="F1" s="602"/>
    </row>
    <row r="2" spans="1:6" ht="15.75" customHeight="1">
      <c r="A2" s="714" t="s">
        <v>115</v>
      </c>
      <c r="B2" s="715"/>
      <c r="C2" s="715"/>
      <c r="D2" s="715"/>
      <c r="E2" s="715"/>
      <c r="F2" s="716"/>
    </row>
    <row r="3" spans="1:6" ht="15.75" customHeight="1">
      <c r="A3" s="714" t="s">
        <v>707</v>
      </c>
      <c r="B3" s="715"/>
      <c r="C3" s="715"/>
      <c r="D3" s="715"/>
      <c r="E3" s="715"/>
      <c r="F3" s="716"/>
    </row>
    <row r="4" spans="1:6" ht="15.75" customHeight="1">
      <c r="A4" s="714" t="s">
        <v>708</v>
      </c>
      <c r="B4" s="715"/>
      <c r="C4" s="715"/>
      <c r="D4" s="715"/>
      <c r="E4" s="715"/>
      <c r="F4" s="716"/>
    </row>
    <row r="5" spans="1:6" ht="15.75" customHeight="1">
      <c r="A5" s="714" t="s">
        <v>18</v>
      </c>
      <c r="B5" s="715"/>
      <c r="C5" s="715"/>
      <c r="D5" s="715"/>
      <c r="E5" s="715"/>
      <c r="F5" s="716"/>
    </row>
    <row r="6" spans="1:6" ht="15.75" customHeight="1">
      <c r="A6" s="714" t="s">
        <v>19</v>
      </c>
      <c r="B6" s="715"/>
      <c r="C6" s="715"/>
      <c r="D6" s="715"/>
      <c r="E6" s="715"/>
      <c r="F6" s="716"/>
    </row>
    <row r="7" spans="1:6" ht="15.75" customHeight="1">
      <c r="A7" s="602"/>
      <c r="B7" s="602"/>
      <c r="C7" s="35"/>
      <c r="D7" s="35"/>
      <c r="E7" s="35"/>
      <c r="F7" s="35"/>
    </row>
    <row r="8" spans="1:6" ht="15.75" customHeight="1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3" ht="15.75" customHeight="1">
      <c r="A9" s="602"/>
      <c r="B9" s="26"/>
      <c r="C9" s="35" t="s">
        <v>713</v>
      </c>
      <c r="D9" s="35" t="s">
        <v>714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3" ht="15.75" customHeight="1">
      <c r="A10" s="602"/>
      <c r="B10" s="305"/>
      <c r="C10" s="35" t="s">
        <v>20</v>
      </c>
      <c r="D10" s="35" t="s">
        <v>20</v>
      </c>
      <c r="E10" s="35" t="s">
        <v>121</v>
      </c>
      <c r="F10" s="35" t="s">
        <v>122</v>
      </c>
      <c r="G10" s="604"/>
      <c r="H10" s="289"/>
      <c r="I10" s="308"/>
      <c r="J10" s="308"/>
      <c r="K10" s="308"/>
      <c r="L10" s="308"/>
      <c r="M10" s="308"/>
    </row>
    <row r="11" spans="1:14" ht="15.75" customHeight="1">
      <c r="A11" s="605" t="s">
        <v>123</v>
      </c>
      <c r="B11" s="606" t="s">
        <v>124</v>
      </c>
      <c r="C11" s="605" t="s">
        <v>21</v>
      </c>
      <c r="D11" s="605" t="s">
        <v>21</v>
      </c>
      <c r="E11" s="605" t="s">
        <v>126</v>
      </c>
      <c r="F11" s="605" t="s">
        <v>126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>
      <c r="A13" s="605"/>
      <c r="B13" s="606" t="s">
        <v>22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3" ht="15" customHeight="1">
      <c r="A15" s="25">
        <v>1</v>
      </c>
      <c r="B15" s="609" t="s">
        <v>440</v>
      </c>
      <c r="C15" s="51">
        <v>448979147</v>
      </c>
      <c r="D15" s="51">
        <v>520905477</v>
      </c>
      <c r="E15" s="51">
        <f>+D15-C15</f>
        <v>71926330</v>
      </c>
      <c r="F15" s="70">
        <f>+E15/C15</f>
        <v>0.16019971190332366</v>
      </c>
      <c r="G15" s="604"/>
      <c r="H15" s="289"/>
      <c r="I15" s="308"/>
      <c r="J15" s="308"/>
      <c r="K15" s="308"/>
      <c r="L15" s="308"/>
      <c r="M15" s="308"/>
    </row>
    <row r="16" spans="1:13" ht="15" customHeight="1">
      <c r="A16" s="25"/>
      <c r="B16" s="609" t="s">
        <v>619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>
      <c r="A17" s="44">
        <v>2</v>
      </c>
      <c r="B17" s="609" t="s">
        <v>23</v>
      </c>
      <c r="C17" s="51">
        <v>212301233</v>
      </c>
      <c r="D17" s="51">
        <v>235646501</v>
      </c>
      <c r="E17" s="51">
        <f>+D17-C17</f>
        <v>23345268</v>
      </c>
      <c r="F17" s="70">
        <f>+E17/C17</f>
        <v>0.10996294119497647</v>
      </c>
      <c r="G17" s="604"/>
      <c r="H17" s="289"/>
      <c r="I17" s="308"/>
      <c r="J17" s="308"/>
      <c r="K17" s="308"/>
      <c r="L17" s="308"/>
      <c r="M17" s="308"/>
    </row>
    <row r="18" spans="1:13" ht="15.75" customHeight="1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>
      <c r="A19" s="29"/>
      <c r="B19" s="617" t="s">
        <v>24</v>
      </c>
      <c r="C19" s="27">
        <f>+C15-C17</f>
        <v>236677914</v>
      </c>
      <c r="D19" s="27">
        <f>+D15-D17</f>
        <v>285258976</v>
      </c>
      <c r="E19" s="27">
        <f>+D19-C19</f>
        <v>48581062</v>
      </c>
      <c r="F19" s="28">
        <f>+E19/C19</f>
        <v>0.20526233808195554</v>
      </c>
      <c r="G19" s="604"/>
      <c r="H19" s="623"/>
      <c r="I19" s="308"/>
      <c r="J19" s="308"/>
      <c r="K19" s="308"/>
      <c r="L19" s="308"/>
      <c r="M19" s="308"/>
    </row>
    <row r="20" spans="1:13" ht="15.75" customHeight="1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>
      <c r="A21" s="29"/>
      <c r="B21" s="121" t="s">
        <v>25</v>
      </c>
      <c r="C21" s="628">
        <f>+C17/C15</f>
        <v>0.4728532147173419</v>
      </c>
      <c r="D21" s="628">
        <f>+D17/D15</f>
        <v>0.452378620315409</v>
      </c>
      <c r="E21" s="628">
        <f>+D21-C21</f>
        <v>-0.02047459440193289</v>
      </c>
      <c r="F21" s="28">
        <f>+E21/C21</f>
        <v>-0.04330010617390434</v>
      </c>
      <c r="G21" s="610"/>
      <c r="H21" s="611"/>
      <c r="I21" s="612"/>
      <c r="J21" s="308"/>
      <c r="K21" s="308"/>
      <c r="L21" s="308"/>
      <c r="M21" s="308"/>
    </row>
    <row r="22" spans="1:13" ht="15.75" customHeight="1">
      <c r="A22" s="29"/>
      <c r="B22" s="619" t="s">
        <v>619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>
      <c r="A23" s="29"/>
      <c r="B23" s="619" t="s">
        <v>619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>
      <c r="A24" s="29"/>
      <c r="B24" s="619" t="s">
        <v>619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>
      <c r="A25" s="29"/>
      <c r="B25" s="619" t="s">
        <v>619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6" ht="15.75" customHeight="1">
      <c r="A26" s="711" t="s">
        <v>26</v>
      </c>
      <c r="B26" s="712"/>
      <c r="C26" s="712"/>
      <c r="D26" s="712"/>
      <c r="E26" s="712"/>
      <c r="F26" s="713"/>
    </row>
  </sheetData>
  <sheetProtection/>
  <mergeCells count="6">
    <mergeCell ref="A6:F6"/>
    <mergeCell ref="A26:F26"/>
    <mergeCell ref="A2:F2"/>
    <mergeCell ref="A3:F3"/>
    <mergeCell ref="A4:F4"/>
    <mergeCell ref="A5:F5"/>
  </mergeCells>
  <printOptions/>
  <pageMargins left="0.25" right="0.25" top="0.5" bottom="0.5" header="0.25" footer="0.5"/>
  <pageSetup fitToHeight="1" fitToWidth="1" horizontalDpi="1200" verticalDpi="1200" orientation="landscape" scale="90"/>
  <headerFooter alignWithMargins="0">
    <oddHeader>&amp;L&amp;12OFFICE OF HEALTH CARE ACCESS&amp;C&amp;12TWELVE MONTHS ACTUAL FILING&amp;R&amp;12STAMFORD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6"/>
  <sheetViews>
    <sheetView zoomScale="75" zoomScaleNormal="75" zoomScalePageLayoutView="0" workbookViewId="0" topLeftCell="A1">
      <selection activeCell="A1" sqref="A1:E1"/>
    </sheetView>
  </sheetViews>
  <sheetFormatPr defaultColWidth="9.140625" defaultRowHeight="12.75"/>
  <cols>
    <col min="1" max="1" width="9.421875" style="0" customWidth="1"/>
    <col min="2" max="2" width="83.57421875" style="0" customWidth="1"/>
    <col min="3" max="4" width="18.28125" style="0" customWidth="1"/>
    <col min="5" max="5" width="19.421875" style="0" bestFit="1" customWidth="1"/>
  </cols>
  <sheetData>
    <row r="1" spans="1:6" ht="25.5" customHeight="1">
      <c r="A1" s="718" t="s">
        <v>115</v>
      </c>
      <c r="B1" s="718"/>
      <c r="C1" s="718"/>
      <c r="D1" s="718"/>
      <c r="E1" s="718"/>
      <c r="F1" s="630"/>
    </row>
    <row r="2" spans="1:6" ht="25.5" customHeight="1">
      <c r="A2" s="718" t="s">
        <v>116</v>
      </c>
      <c r="B2" s="718"/>
      <c r="C2" s="718"/>
      <c r="D2" s="718"/>
      <c r="E2" s="718"/>
      <c r="F2" s="630"/>
    </row>
    <row r="3" spans="1:6" ht="25.5" customHeight="1">
      <c r="A3" s="718" t="s">
        <v>117</v>
      </c>
      <c r="B3" s="718"/>
      <c r="C3" s="718"/>
      <c r="D3" s="718"/>
      <c r="E3" s="718"/>
      <c r="F3" s="630"/>
    </row>
    <row r="4" spans="1:6" ht="25.5" customHeight="1">
      <c r="A4" s="718" t="s">
        <v>27</v>
      </c>
      <c r="B4" s="718"/>
      <c r="C4" s="718"/>
      <c r="D4" s="718"/>
      <c r="E4" s="718"/>
      <c r="F4" s="630"/>
    </row>
    <row r="5" spans="1:5" ht="25.5" customHeight="1">
      <c r="A5" s="717"/>
      <c r="B5" s="717"/>
      <c r="C5" s="717"/>
      <c r="D5" s="717"/>
      <c r="E5" s="717"/>
    </row>
    <row r="6" spans="1:5" ht="25.5" customHeight="1">
      <c r="A6" s="632" t="s">
        <v>28</v>
      </c>
      <c r="B6" s="632" t="s">
        <v>29</v>
      </c>
      <c r="C6" s="632" t="s">
        <v>30</v>
      </c>
      <c r="D6" s="632" t="s">
        <v>31</v>
      </c>
      <c r="E6" s="632" t="s">
        <v>32</v>
      </c>
    </row>
    <row r="7" spans="1:5" ht="37.5" customHeight="1">
      <c r="A7" s="633" t="s">
        <v>123</v>
      </c>
      <c r="B7" s="634" t="s">
        <v>33</v>
      </c>
      <c r="C7" s="631" t="s">
        <v>34</v>
      </c>
      <c r="D7" s="631" t="s">
        <v>35</v>
      </c>
      <c r="E7" s="631" t="s">
        <v>36</v>
      </c>
    </row>
    <row r="8" spans="1:5" ht="25.5" customHeight="1">
      <c r="A8" s="635"/>
      <c r="B8" s="634"/>
      <c r="C8" s="636"/>
      <c r="D8" s="636"/>
      <c r="E8" s="636"/>
    </row>
    <row r="9" spans="1:5" ht="25.5" customHeight="1">
      <c r="A9" s="629" t="s">
        <v>129</v>
      </c>
      <c r="B9" s="637" t="s">
        <v>37</v>
      </c>
      <c r="C9" s="638"/>
      <c r="D9" s="638"/>
      <c r="E9" s="638"/>
    </row>
    <row r="10" spans="1:5" ht="25.5" customHeight="1">
      <c r="A10" s="639">
        <v>1</v>
      </c>
      <c r="B10" s="640" t="s">
        <v>38</v>
      </c>
      <c r="C10" s="641">
        <v>396062515</v>
      </c>
      <c r="D10" s="641">
        <v>474398080</v>
      </c>
      <c r="E10" s="641">
        <v>519029050</v>
      </c>
    </row>
    <row r="11" spans="1:5" ht="25.5" customHeight="1">
      <c r="A11" s="639">
        <v>2</v>
      </c>
      <c r="B11" s="640" t="s">
        <v>39</v>
      </c>
      <c r="C11" s="641">
        <v>430710504</v>
      </c>
      <c r="D11" s="641">
        <v>515571431</v>
      </c>
      <c r="E11" s="641">
        <v>637988263</v>
      </c>
    </row>
    <row r="12" spans="1:5" ht="25.5" customHeight="1">
      <c r="A12" s="639">
        <v>3</v>
      </c>
      <c r="B12" s="640" t="s">
        <v>186</v>
      </c>
      <c r="C12" s="641">
        <f>+C11+C10</f>
        <v>826773019</v>
      </c>
      <c r="D12" s="641">
        <f>+D11+D10</f>
        <v>989969511</v>
      </c>
      <c r="E12" s="641">
        <f>+E11+E10</f>
        <v>1157017313</v>
      </c>
    </row>
    <row r="13" spans="1:5" ht="25.5" customHeight="1">
      <c r="A13" s="639">
        <v>4</v>
      </c>
      <c r="B13" s="640" t="s">
        <v>599</v>
      </c>
      <c r="C13" s="641">
        <v>333269000</v>
      </c>
      <c r="D13" s="641">
        <v>381968990</v>
      </c>
      <c r="E13" s="641">
        <v>416937724</v>
      </c>
    </row>
    <row r="14" spans="1:5" ht="25.5" customHeight="1">
      <c r="A14" s="639"/>
      <c r="B14" s="640"/>
      <c r="C14" s="641"/>
      <c r="D14" s="641"/>
      <c r="E14" s="641"/>
    </row>
    <row r="15" spans="1:5" ht="25.5" customHeight="1">
      <c r="A15" s="629" t="s">
        <v>141</v>
      </c>
      <c r="B15" s="642" t="s">
        <v>439</v>
      </c>
      <c r="C15" s="641"/>
      <c r="D15" s="641"/>
      <c r="E15" s="641"/>
    </row>
    <row r="16" spans="1:5" ht="25.5" customHeight="1">
      <c r="A16" s="639">
        <v>1</v>
      </c>
      <c r="B16" s="640" t="s">
        <v>40</v>
      </c>
      <c r="C16" s="641">
        <v>341537208</v>
      </c>
      <c r="D16" s="641">
        <v>389133838</v>
      </c>
      <c r="E16" s="641">
        <v>425519879</v>
      </c>
    </row>
    <row r="17" spans="1:5" ht="25.5" customHeight="1">
      <c r="A17" s="639"/>
      <c r="B17" s="640"/>
      <c r="C17" s="641"/>
      <c r="D17" s="641"/>
      <c r="E17" s="641"/>
    </row>
    <row r="18" spans="1:5" ht="25.5" customHeight="1">
      <c r="A18" s="629" t="s">
        <v>151</v>
      </c>
      <c r="B18" s="642" t="s">
        <v>41</v>
      </c>
      <c r="C18" s="643"/>
      <c r="D18" s="643"/>
      <c r="E18" s="641"/>
    </row>
    <row r="19" spans="1:5" ht="25.5" customHeight="1">
      <c r="A19" s="639">
        <v>1</v>
      </c>
      <c r="B19" s="640" t="s">
        <v>487</v>
      </c>
      <c r="C19" s="644">
        <v>73908</v>
      </c>
      <c r="D19" s="644">
        <v>76971</v>
      </c>
      <c r="E19" s="644">
        <v>75272</v>
      </c>
    </row>
    <row r="20" spans="1:5" ht="25.5" customHeight="1">
      <c r="A20" s="639">
        <v>2</v>
      </c>
      <c r="B20" s="640" t="s">
        <v>488</v>
      </c>
      <c r="C20" s="645">
        <v>16672</v>
      </c>
      <c r="D20" s="645">
        <v>15856</v>
      </c>
      <c r="E20" s="645">
        <v>14888</v>
      </c>
    </row>
    <row r="21" spans="1:5" ht="25.5" customHeight="1">
      <c r="A21" s="639">
        <v>3</v>
      </c>
      <c r="B21" s="640" t="s">
        <v>42</v>
      </c>
      <c r="C21" s="646">
        <f>IF(C20=0,0,+C19/C20)</f>
        <v>4.4330614203454894</v>
      </c>
      <c r="D21" s="646">
        <f>IF(D20=0,0,+D19/D20)</f>
        <v>4.854376892028254</v>
      </c>
      <c r="E21" s="646">
        <f>IF(E20=0,0,+E19/E20)</f>
        <v>5.055883933369157</v>
      </c>
    </row>
    <row r="22" spans="1:5" ht="25.5" customHeight="1">
      <c r="A22" s="639">
        <v>4</v>
      </c>
      <c r="B22" s="640" t="s">
        <v>43</v>
      </c>
      <c r="C22" s="645">
        <f>IF(C10=0,0,C19*(C12/C10))</f>
        <v>154281.55398208284</v>
      </c>
      <c r="D22" s="645">
        <f>IF(D10=0,0,D19*(D12/D10))</f>
        <v>160622.3685205071</v>
      </c>
      <c r="E22" s="645">
        <f>IF(E10=0,0,E19*(E12/E10))</f>
        <v>167796.01678198169</v>
      </c>
    </row>
    <row r="23" spans="1:5" ht="25.5" customHeight="1">
      <c r="A23" s="639">
        <v>0</v>
      </c>
      <c r="B23" s="640" t="s">
        <v>44</v>
      </c>
      <c r="C23" s="645">
        <f>IF(C10=0,0,C20*(C12/C10))</f>
        <v>34802.48508942584</v>
      </c>
      <c r="D23" s="645">
        <f>IF(D10=0,0,D20*(D12/D10))</f>
        <v>33088.15365866574</v>
      </c>
      <c r="E23" s="645">
        <f>IF(E10=0,0,E20*(E12/E10))</f>
        <v>33188.265196223605</v>
      </c>
    </row>
    <row r="24" spans="1:5" ht="25.5" customHeight="1">
      <c r="A24" s="639"/>
      <c r="B24" s="640"/>
      <c r="C24" s="645"/>
      <c r="D24" s="645"/>
      <c r="E24" s="645"/>
    </row>
    <row r="25" spans="1:5" ht="25.5" customHeight="1">
      <c r="A25" s="629" t="s">
        <v>436</v>
      </c>
      <c r="B25" s="642" t="s">
        <v>45</v>
      </c>
      <c r="C25" s="645"/>
      <c r="D25" s="645"/>
      <c r="E25" s="645"/>
    </row>
    <row r="26" spans="1:5" ht="25.5" customHeight="1">
      <c r="A26" s="639">
        <v>1</v>
      </c>
      <c r="B26" s="640" t="s">
        <v>537</v>
      </c>
      <c r="C26" s="647">
        <v>1.0497747324856046</v>
      </c>
      <c r="D26" s="647">
        <v>1.2026545724016144</v>
      </c>
      <c r="E26" s="647">
        <v>1.2139909692369695</v>
      </c>
    </row>
    <row r="27" spans="1:5" ht="25.5" customHeight="1">
      <c r="A27" s="639">
        <v>2</v>
      </c>
      <c r="B27" s="640" t="s">
        <v>46</v>
      </c>
      <c r="C27" s="645">
        <f>C19*C26</f>
        <v>77586.75092854607</v>
      </c>
      <c r="D27" s="645">
        <f>D19*D26</f>
        <v>92569.52509232466</v>
      </c>
      <c r="E27" s="645">
        <f>E19*E26</f>
        <v>91379.52823640517</v>
      </c>
    </row>
    <row r="28" spans="1:5" ht="25.5" customHeight="1">
      <c r="A28" s="639">
        <v>3</v>
      </c>
      <c r="B28" s="640" t="s">
        <v>47</v>
      </c>
      <c r="C28" s="645">
        <f>C20*C26</f>
        <v>17501.84434</v>
      </c>
      <c r="D28" s="645">
        <f>D20*D26</f>
        <v>19069.2909</v>
      </c>
      <c r="E28" s="645">
        <f>E20*E26</f>
        <v>18073.89755</v>
      </c>
    </row>
    <row r="29" spans="1:5" ht="25.5" customHeight="1">
      <c r="A29" s="639">
        <v>4</v>
      </c>
      <c r="B29" s="640" t="s">
        <v>48</v>
      </c>
      <c r="C29" s="645">
        <f>C22*C26</f>
        <v>161960.8770590044</v>
      </c>
      <c r="D29" s="645">
        <f>D22*D26</f>
        <v>193173.22593116498</v>
      </c>
      <c r="E29" s="645">
        <f>E22*E26</f>
        <v>203702.84904726074</v>
      </c>
    </row>
    <row r="30" spans="1:5" ht="25.5" customHeight="1">
      <c r="A30" s="639">
        <v>5</v>
      </c>
      <c r="B30" s="640" t="s">
        <v>49</v>
      </c>
      <c r="C30" s="645">
        <f>C23*C26</f>
        <v>36534.76947458625</v>
      </c>
      <c r="D30" s="645">
        <f>D23*D26</f>
        <v>39793.61928992156</v>
      </c>
      <c r="E30" s="645">
        <f>E23*E26</f>
        <v>40290.25423285708</v>
      </c>
    </row>
    <row r="31" spans="1:5" ht="25.5" customHeight="1">
      <c r="A31" s="639"/>
      <c r="B31" s="640"/>
      <c r="C31" s="645"/>
      <c r="D31" s="645"/>
      <c r="E31" s="645"/>
    </row>
    <row r="32" spans="1:5" ht="39" customHeight="1">
      <c r="A32" s="629" t="s">
        <v>457</v>
      </c>
      <c r="B32" s="634" t="s">
        <v>50</v>
      </c>
      <c r="C32" s="648"/>
      <c r="D32" s="648"/>
      <c r="E32" s="645"/>
    </row>
    <row r="33" spans="1:5" ht="25.5" customHeight="1">
      <c r="A33" s="639">
        <v>1</v>
      </c>
      <c r="B33" s="640" t="s">
        <v>51</v>
      </c>
      <c r="C33" s="641">
        <f>IF(C19=0,0,C12/C19)</f>
        <v>11186.515925204309</v>
      </c>
      <c r="D33" s="641">
        <f>IF(D19=0,0,D12/D19)</f>
        <v>12861.590871886814</v>
      </c>
      <c r="E33" s="641">
        <f>IF(E19=0,0,E12/E19)</f>
        <v>15371.151464023807</v>
      </c>
    </row>
    <row r="34" spans="1:5" ht="25.5" customHeight="1">
      <c r="A34" s="639">
        <v>2</v>
      </c>
      <c r="B34" s="640" t="s">
        <v>52</v>
      </c>
      <c r="C34" s="641">
        <f>IF(C20=0,0,C12/C20)</f>
        <v>49590.51217610365</v>
      </c>
      <c r="D34" s="641">
        <f>IF(D20=0,0,D12/D20)</f>
        <v>62435.00952320888</v>
      </c>
      <c r="E34" s="641">
        <f>IF(E20=0,0,E12/E20)</f>
        <v>77714.75772434175</v>
      </c>
    </row>
    <row r="35" spans="1:5" ht="25.5" customHeight="1">
      <c r="A35" s="639">
        <v>3</v>
      </c>
      <c r="B35" s="640" t="s">
        <v>53</v>
      </c>
      <c r="C35" s="641">
        <f>IF(C22=0,0,C12/C22)</f>
        <v>5358.858513286789</v>
      </c>
      <c r="D35" s="641">
        <f>IF(D22=0,0,D12/D22)</f>
        <v>6163.335282119239</v>
      </c>
      <c r="E35" s="641">
        <f>IF(E22=0,0,E12/E22)</f>
        <v>6895.380088213412</v>
      </c>
    </row>
    <row r="36" spans="1:5" ht="25.5" customHeight="1">
      <c r="A36" s="639">
        <v>4</v>
      </c>
      <c r="B36" s="640" t="s">
        <v>54</v>
      </c>
      <c r="C36" s="641">
        <f>IF(C23=0,0,C12/C23)</f>
        <v>23756.148932341654</v>
      </c>
      <c r="D36" s="641">
        <f>IF(D23=0,0,D12/D23)</f>
        <v>29919.152371342076</v>
      </c>
      <c r="E36" s="641">
        <f>IF(E23=0,0,E12/E23)</f>
        <v>34862.24140247179</v>
      </c>
    </row>
    <row r="37" spans="1:5" ht="25.5" customHeight="1">
      <c r="A37" s="639">
        <v>5</v>
      </c>
      <c r="B37" s="640" t="s">
        <v>55</v>
      </c>
      <c r="C37" s="641">
        <f>IF(C29=0,0,C12/C29)</f>
        <v>5104.769954405694</v>
      </c>
      <c r="D37" s="641">
        <f>IF(D29=0,0,D12/D29)</f>
        <v>5124.775994333521</v>
      </c>
      <c r="E37" s="641">
        <f>IF(E29=0,0,E12/E29)</f>
        <v>5679.9270035323</v>
      </c>
    </row>
    <row r="38" spans="1:5" ht="25.5" customHeight="1">
      <c r="A38" s="639">
        <v>6</v>
      </c>
      <c r="B38" s="640" t="s">
        <v>56</v>
      </c>
      <c r="C38" s="641">
        <f>IF(C30=0,0,C12/C30)</f>
        <v>22629.758744614686</v>
      </c>
      <c r="D38" s="641">
        <f>IF(D30=0,0,D12/D30)</f>
        <v>24877.594163713762</v>
      </c>
      <c r="E38" s="641">
        <f>IF(E30=0,0,E12/E30)</f>
        <v>28717.051679868568</v>
      </c>
    </row>
    <row r="39" spans="1:5" ht="25.5" customHeight="1">
      <c r="A39" s="639">
        <v>7</v>
      </c>
      <c r="B39" s="640" t="s">
        <v>57</v>
      </c>
      <c r="C39" s="641">
        <f>IF(C22=0,0,C10/C22)</f>
        <v>2567.1410792634088</v>
      </c>
      <c r="D39" s="641">
        <f>IF(D22=0,0,D10/D22)</f>
        <v>2953.4994681605153</v>
      </c>
      <c r="E39" s="641">
        <f>IF(E22=0,0,E10/E22)</f>
        <v>3093.2143679809597</v>
      </c>
    </row>
    <row r="40" spans="1:5" ht="25.5" customHeight="1">
      <c r="A40" s="639">
        <v>8</v>
      </c>
      <c r="B40" s="640" t="s">
        <v>58</v>
      </c>
      <c r="C40" s="641">
        <f>IF(C23=0,0,C10/C23)</f>
        <v>11380.2940790667</v>
      </c>
      <c r="D40" s="641">
        <f>IF(D23=0,0,D10/D23)</f>
        <v>14337.399568856144</v>
      </c>
      <c r="E40" s="641">
        <f>IF(E23=0,0,E10/E23)</f>
        <v>15638.932825541564</v>
      </c>
    </row>
    <row r="41" spans="1:5" ht="25.5" customHeight="1">
      <c r="A41" s="639"/>
      <c r="B41" s="640"/>
      <c r="C41" s="641"/>
      <c r="D41" s="641"/>
      <c r="E41" s="641"/>
    </row>
    <row r="42" spans="1:5" ht="39.75" customHeight="1">
      <c r="A42" s="629" t="s">
        <v>469</v>
      </c>
      <c r="B42" s="634" t="s">
        <v>59</v>
      </c>
      <c r="C42" s="641"/>
      <c r="D42" s="641"/>
      <c r="E42" s="641"/>
    </row>
    <row r="43" spans="1:5" ht="25.5" customHeight="1">
      <c r="A43" s="639">
        <v>1</v>
      </c>
      <c r="B43" s="640" t="s">
        <v>60</v>
      </c>
      <c r="C43" s="641">
        <f>IF(C19=0,0,C13/C19)</f>
        <v>4509.241218812578</v>
      </c>
      <c r="D43" s="641">
        <f>IF(D19=0,0,D13/D19)</f>
        <v>4962.505229242182</v>
      </c>
      <c r="E43" s="641">
        <f>IF(E19=0,0,E13/E19)</f>
        <v>5539.081251992773</v>
      </c>
    </row>
    <row r="44" spans="1:5" ht="25.5" customHeight="1">
      <c r="A44" s="639">
        <v>2</v>
      </c>
      <c r="B44" s="640" t="s">
        <v>61</v>
      </c>
      <c r="C44" s="641">
        <f>IF(C20=0,0,C13/C20)</f>
        <v>19989.743282149713</v>
      </c>
      <c r="D44" s="641">
        <f>IF(D20=0,0,D13/D20)</f>
        <v>24089.870711402622</v>
      </c>
      <c r="E44" s="641">
        <f>IF(E20=0,0,E13/E20)</f>
        <v>28004.95190757657</v>
      </c>
    </row>
    <row r="45" spans="1:5" ht="25.5" customHeight="1">
      <c r="A45" s="639">
        <v>3</v>
      </c>
      <c r="B45" s="640" t="s">
        <v>62</v>
      </c>
      <c r="C45" s="641">
        <f>IF(C22=0,0,C13/C22)</f>
        <v>2160.1350997456475</v>
      </c>
      <c r="D45" s="641">
        <f>IF(D22=0,0,D13/D22)</f>
        <v>2378.0560174670377</v>
      </c>
      <c r="E45" s="641">
        <f>IF(E22=0,0,E13/E22)</f>
        <v>2484.7891624372082</v>
      </c>
    </row>
    <row r="46" spans="1:5" ht="25.5" customHeight="1">
      <c r="A46" s="639">
        <v>4</v>
      </c>
      <c r="B46" s="640" t="s">
        <v>63</v>
      </c>
      <c r="C46" s="641">
        <f>IF(C23=0,0,C13/C23)</f>
        <v>9576.011573416585</v>
      </c>
      <c r="D46" s="641">
        <f>IF(D23=0,0,D13/D23)</f>
        <v>11543.980179140726</v>
      </c>
      <c r="E46" s="641">
        <f>IF(E23=0,0,E13/E23)</f>
        <v>12562.805604176085</v>
      </c>
    </row>
    <row r="47" spans="1:5" ht="25.5" customHeight="1">
      <c r="A47" s="639">
        <v>5</v>
      </c>
      <c r="B47" s="640" t="s">
        <v>64</v>
      </c>
      <c r="C47" s="641">
        <f>IF(C29=0,0,C13/C29)</f>
        <v>2057.7129863194423</v>
      </c>
      <c r="D47" s="641">
        <f>IF(D29=0,0,D13/D29)</f>
        <v>1977.3391895215861</v>
      </c>
      <c r="E47" s="641">
        <f>IF(E29=0,0,E13/E29)</f>
        <v>2046.7937780451318</v>
      </c>
    </row>
    <row r="48" spans="1:5" ht="25.5" customHeight="1">
      <c r="A48" s="639">
        <v>6</v>
      </c>
      <c r="B48" s="640" t="s">
        <v>65</v>
      </c>
      <c r="C48" s="641">
        <f>IF(C30=0,0,C13/C30)</f>
        <v>9121.968053796627</v>
      </c>
      <c r="D48" s="641">
        <f>IF(D30=0,0,D13/D30)</f>
        <v>9598.749669315463</v>
      </c>
      <c r="E48" s="641">
        <f>IF(E30=0,0,E13/E30)</f>
        <v>10348.351777338337</v>
      </c>
    </row>
    <row r="49" spans="1:5" ht="25.5" customHeight="1">
      <c r="A49" s="639"/>
      <c r="B49" s="640"/>
      <c r="C49" s="641"/>
      <c r="D49" s="641"/>
      <c r="E49" s="641"/>
    </row>
    <row r="50" spans="1:5" ht="37.5" customHeight="1">
      <c r="A50" s="629" t="s">
        <v>481</v>
      </c>
      <c r="B50" s="634" t="s">
        <v>66</v>
      </c>
      <c r="C50" s="648"/>
      <c r="D50" s="648"/>
      <c r="E50" s="641"/>
    </row>
    <row r="51" spans="1:5" ht="25.5" customHeight="1">
      <c r="A51" s="639">
        <v>1</v>
      </c>
      <c r="B51" s="640" t="s">
        <v>67</v>
      </c>
      <c r="C51" s="641">
        <f>IF(C19=0,0,C16/C19)</f>
        <v>4621.112842993993</v>
      </c>
      <c r="D51" s="641">
        <f>IF(D19=0,0,D16/D19)</f>
        <v>5055.590261267231</v>
      </c>
      <c r="E51" s="641">
        <f>IF(E19=0,0,E16/E19)</f>
        <v>5653.096490062706</v>
      </c>
    </row>
    <row r="52" spans="1:5" ht="25.5" customHeight="1">
      <c r="A52" s="639">
        <v>2</v>
      </c>
      <c r="B52" s="640" t="s">
        <v>68</v>
      </c>
      <c r="C52" s="641">
        <f>IF(C20=0,0,C16/C20)</f>
        <v>20485.677063339732</v>
      </c>
      <c r="D52" s="641">
        <f>IF(D20=0,0,D16/D20)</f>
        <v>24541.74053985873</v>
      </c>
      <c r="E52" s="641">
        <f>IF(E20=0,0,E16/E20)</f>
        <v>28581.399717893604</v>
      </c>
    </row>
    <row r="53" spans="1:5" ht="25.5" customHeight="1">
      <c r="A53" s="639">
        <v>3</v>
      </c>
      <c r="B53" s="640" t="s">
        <v>69</v>
      </c>
      <c r="C53" s="641">
        <f>IF(C22=0,0,C16/C22)</f>
        <v>2213.7267818786922</v>
      </c>
      <c r="D53" s="641">
        <f>IF(D22=0,0,D16/D22)</f>
        <v>2422.6628058365245</v>
      </c>
      <c r="E53" s="641">
        <f>IF(E22=0,0,E16/E22)</f>
        <v>2535.9355195712446</v>
      </c>
    </row>
    <row r="54" spans="1:5" ht="25.5" customHeight="1">
      <c r="A54" s="639">
        <v>4</v>
      </c>
      <c r="B54" s="640" t="s">
        <v>70</v>
      </c>
      <c r="C54" s="641">
        <f>IF(C23=0,0,C16/C23)</f>
        <v>9813.586791932006</v>
      </c>
      <c r="D54" s="641">
        <f>IF(D23=0,0,D16/D23)</f>
        <v>11760.518341829158</v>
      </c>
      <c r="E54" s="641">
        <f>IF(E23=0,0,E16/E23)</f>
        <v>12821.39564946042</v>
      </c>
    </row>
    <row r="55" spans="1:5" ht="25.5" customHeight="1">
      <c r="A55" s="639">
        <v>5</v>
      </c>
      <c r="B55" s="640" t="s">
        <v>71</v>
      </c>
      <c r="C55" s="641">
        <f>IF(C29=0,0,C16/C29)</f>
        <v>2108.7636360204056</v>
      </c>
      <c r="D55" s="641">
        <f>IF(D29=0,0,D16/D29)</f>
        <v>2014.4294641466686</v>
      </c>
      <c r="E55" s="641">
        <f>IF(E29=0,0,E16/E29)</f>
        <v>2088.9245338992578</v>
      </c>
    </row>
    <row r="56" spans="1:5" ht="25.5" customHeight="1">
      <c r="A56" s="639">
        <v>6</v>
      </c>
      <c r="B56" s="640" t="s">
        <v>72</v>
      </c>
      <c r="C56" s="641">
        <f>IF(C30=0,0,C16/C30)</f>
        <v>9348.27871946954</v>
      </c>
      <c r="D56" s="641">
        <f>IF(D30=0,0,D16/D30)</f>
        <v>9778.799841374444</v>
      </c>
      <c r="E56" s="641">
        <f>IF(E30=0,0,E16/E30)</f>
        <v>10561.35998896191</v>
      </c>
    </row>
    <row r="57" spans="1:5" ht="25.5" customHeight="1">
      <c r="A57" s="639"/>
      <c r="B57" s="640"/>
      <c r="C57" s="641"/>
      <c r="D57" s="641"/>
      <c r="E57" s="641"/>
    </row>
    <row r="58" spans="1:5" ht="25.5" customHeight="1">
      <c r="A58" s="629" t="s">
        <v>485</v>
      </c>
      <c r="B58" s="642" t="s">
        <v>73</v>
      </c>
      <c r="C58" s="641"/>
      <c r="D58" s="641"/>
      <c r="E58" s="641"/>
    </row>
    <row r="59" spans="1:5" ht="25.5" customHeight="1">
      <c r="A59" s="639">
        <v>1</v>
      </c>
      <c r="B59" s="640" t="s">
        <v>74</v>
      </c>
      <c r="C59" s="649">
        <v>42231535</v>
      </c>
      <c r="D59" s="649">
        <v>44863659</v>
      </c>
      <c r="E59" s="649">
        <v>51850186</v>
      </c>
    </row>
    <row r="60" spans="1:5" ht="25.5" customHeight="1">
      <c r="A60" s="639">
        <v>2</v>
      </c>
      <c r="B60" s="640" t="s">
        <v>75</v>
      </c>
      <c r="C60" s="649">
        <v>9744984</v>
      </c>
      <c r="D60" s="649">
        <v>9646656</v>
      </c>
      <c r="E60" s="649">
        <v>11404309</v>
      </c>
    </row>
    <row r="61" spans="1:5" ht="25.5" customHeight="1">
      <c r="A61" s="650">
        <v>3</v>
      </c>
      <c r="B61" s="651" t="s">
        <v>76</v>
      </c>
      <c r="C61" s="652">
        <f>C59+C60</f>
        <v>51976519</v>
      </c>
      <c r="D61" s="652">
        <f>D59+D60</f>
        <v>54510315</v>
      </c>
      <c r="E61" s="652">
        <f>E59+E60</f>
        <v>63254495</v>
      </c>
    </row>
    <row r="62" spans="1:5" ht="25.5" customHeight="1">
      <c r="A62" s="639"/>
      <c r="B62" s="640"/>
      <c r="C62" s="649"/>
      <c r="D62" s="649"/>
      <c r="E62" s="649"/>
    </row>
    <row r="63" spans="1:6" ht="25.5" customHeight="1">
      <c r="A63" s="629" t="s">
        <v>127</v>
      </c>
      <c r="B63" s="642" t="s">
        <v>77</v>
      </c>
      <c r="C63" s="640"/>
      <c r="D63" s="640"/>
      <c r="E63" s="649"/>
      <c r="F63" s="653"/>
    </row>
    <row r="64" spans="1:6" ht="25.5" customHeight="1">
      <c r="A64" s="639">
        <v>1</v>
      </c>
      <c r="B64" s="640" t="s">
        <v>78</v>
      </c>
      <c r="C64" s="641">
        <v>14535786</v>
      </c>
      <c r="D64" s="641">
        <v>15310689</v>
      </c>
      <c r="E64" s="649">
        <v>17126431</v>
      </c>
      <c r="F64" s="653"/>
    </row>
    <row r="65" spans="1:6" ht="25.5" customHeight="1">
      <c r="A65" s="639">
        <v>2</v>
      </c>
      <c r="B65" s="640" t="s">
        <v>79</v>
      </c>
      <c r="C65" s="649">
        <v>3354152</v>
      </c>
      <c r="D65" s="649">
        <v>3292129</v>
      </c>
      <c r="E65" s="649">
        <v>3766913</v>
      </c>
      <c r="F65" s="653"/>
    </row>
    <row r="66" spans="1:6" ht="25.5" customHeight="1">
      <c r="A66" s="650">
        <v>3</v>
      </c>
      <c r="B66" s="651" t="s">
        <v>80</v>
      </c>
      <c r="C66" s="654">
        <f>C64+C65</f>
        <v>17889938</v>
      </c>
      <c r="D66" s="654">
        <f>D64+D65</f>
        <v>18602818</v>
      </c>
      <c r="E66" s="654">
        <f>E64+E65</f>
        <v>20893344</v>
      </c>
      <c r="F66" s="655"/>
    </row>
    <row r="67" spans="1:5" ht="25.5" customHeight="1">
      <c r="A67" s="639"/>
      <c r="B67" s="640"/>
      <c r="C67" s="649"/>
      <c r="D67" s="649"/>
      <c r="E67" s="649"/>
    </row>
    <row r="68" spans="1:5" ht="25.5" customHeight="1">
      <c r="A68" s="629" t="s">
        <v>511</v>
      </c>
      <c r="B68" s="642" t="s">
        <v>81</v>
      </c>
      <c r="C68" s="649"/>
      <c r="D68" s="649"/>
      <c r="E68" s="649"/>
    </row>
    <row r="69" spans="1:5" ht="25.5" customHeight="1">
      <c r="A69" s="639">
        <v>1</v>
      </c>
      <c r="B69" s="640" t="s">
        <v>82</v>
      </c>
      <c r="C69" s="649">
        <v>66438748</v>
      </c>
      <c r="D69" s="649">
        <v>80082283</v>
      </c>
      <c r="E69" s="649">
        <v>85526196</v>
      </c>
    </row>
    <row r="70" spans="1:5" ht="25.5" customHeight="1">
      <c r="A70" s="639">
        <v>2</v>
      </c>
      <c r="B70" s="640" t="s">
        <v>83</v>
      </c>
      <c r="C70" s="649">
        <v>15330832</v>
      </c>
      <c r="D70" s="649">
        <v>17219422</v>
      </c>
      <c r="E70" s="649">
        <v>18811257</v>
      </c>
    </row>
    <row r="71" spans="1:5" ht="25.5" customHeight="1">
      <c r="A71" s="650">
        <v>3</v>
      </c>
      <c r="B71" s="651" t="s">
        <v>84</v>
      </c>
      <c r="C71" s="652">
        <f>C69+C70</f>
        <v>81769580</v>
      </c>
      <c r="D71" s="652">
        <f>D69+D70</f>
        <v>97301705</v>
      </c>
      <c r="E71" s="652">
        <f>E69+E70</f>
        <v>104337453</v>
      </c>
    </row>
    <row r="72" spans="1:5" ht="25.5" customHeight="1">
      <c r="A72" s="639"/>
      <c r="B72" s="640"/>
      <c r="C72" s="649"/>
      <c r="D72" s="649"/>
      <c r="E72" s="649"/>
    </row>
    <row r="73" spans="1:5" ht="25.5" customHeight="1">
      <c r="A73" s="639"/>
      <c r="B73" s="640"/>
      <c r="C73" s="649"/>
      <c r="D73" s="649"/>
      <c r="E73" s="649"/>
    </row>
    <row r="74" spans="1:5" ht="25.5" customHeight="1">
      <c r="A74" s="629" t="s">
        <v>527</v>
      </c>
      <c r="B74" s="642" t="s">
        <v>85</v>
      </c>
      <c r="C74" s="641"/>
      <c r="D74" s="641"/>
      <c r="E74" s="641"/>
    </row>
    <row r="75" spans="1:5" ht="25.5" customHeight="1">
      <c r="A75" s="639">
        <v>1</v>
      </c>
      <c r="B75" s="640" t="s">
        <v>86</v>
      </c>
      <c r="C75" s="641">
        <f aca="true" t="shared" si="0" ref="C75:E76">+C59+C64+C69</f>
        <v>123206069</v>
      </c>
      <c r="D75" s="641">
        <f t="shared" si="0"/>
        <v>140256631</v>
      </c>
      <c r="E75" s="641">
        <f t="shared" si="0"/>
        <v>154502813</v>
      </c>
    </row>
    <row r="76" spans="1:5" ht="25.5" customHeight="1">
      <c r="A76" s="639">
        <v>2</v>
      </c>
      <c r="B76" s="640" t="s">
        <v>87</v>
      </c>
      <c r="C76" s="641">
        <f t="shared" si="0"/>
        <v>28429968</v>
      </c>
      <c r="D76" s="641">
        <f t="shared" si="0"/>
        <v>30158207</v>
      </c>
      <c r="E76" s="641">
        <f t="shared" si="0"/>
        <v>33982479</v>
      </c>
    </row>
    <row r="77" spans="1:5" ht="25.5" customHeight="1">
      <c r="A77" s="650">
        <v>3</v>
      </c>
      <c r="B77" s="651" t="s">
        <v>85</v>
      </c>
      <c r="C77" s="654">
        <f>C75+C76</f>
        <v>151636037</v>
      </c>
      <c r="D77" s="654">
        <f>D75+D76</f>
        <v>170414838</v>
      </c>
      <c r="E77" s="654">
        <f>E75+E76</f>
        <v>188485292</v>
      </c>
    </row>
    <row r="78" spans="1:5" ht="25.5" customHeight="1">
      <c r="A78" s="650"/>
      <c r="B78" s="651"/>
      <c r="C78" s="654"/>
      <c r="D78" s="654"/>
      <c r="E78" s="654"/>
    </row>
    <row r="79" spans="1:5" ht="25.5" customHeight="1">
      <c r="A79" s="629" t="s">
        <v>536</v>
      </c>
      <c r="B79" s="642" t="s">
        <v>88</v>
      </c>
      <c r="C79" s="649"/>
      <c r="D79" s="649"/>
      <c r="E79" s="649"/>
    </row>
    <row r="80" spans="1:5" ht="25.5" customHeight="1">
      <c r="A80" s="639">
        <v>1</v>
      </c>
      <c r="B80" s="640" t="s">
        <v>693</v>
      </c>
      <c r="C80" s="646">
        <v>567.2</v>
      </c>
      <c r="D80" s="646">
        <v>515.9</v>
      </c>
      <c r="E80" s="646">
        <v>564.6</v>
      </c>
    </row>
    <row r="81" spans="1:5" ht="25.5" customHeight="1">
      <c r="A81" s="639">
        <v>2</v>
      </c>
      <c r="B81" s="640" t="s">
        <v>694</v>
      </c>
      <c r="C81" s="646">
        <v>98.5</v>
      </c>
      <c r="D81" s="646">
        <v>101.2</v>
      </c>
      <c r="E81" s="646">
        <v>104.9</v>
      </c>
    </row>
    <row r="82" spans="1:5" ht="25.5" customHeight="1">
      <c r="A82" s="639">
        <v>3</v>
      </c>
      <c r="B82" s="640" t="s">
        <v>89</v>
      </c>
      <c r="C82" s="646">
        <v>1108.8</v>
      </c>
      <c r="D82" s="646">
        <v>1262.2</v>
      </c>
      <c r="E82" s="646">
        <v>1228.9</v>
      </c>
    </row>
    <row r="83" spans="1:5" ht="25.5" customHeight="1">
      <c r="A83" s="650">
        <v>4</v>
      </c>
      <c r="B83" s="651" t="s">
        <v>88</v>
      </c>
      <c r="C83" s="656">
        <f>C80+C81+C82</f>
        <v>1774.5</v>
      </c>
      <c r="D83" s="656">
        <f>D80+D81+D82</f>
        <v>1879.3000000000002</v>
      </c>
      <c r="E83" s="656">
        <f>E80+E81+E82</f>
        <v>1898.4</v>
      </c>
    </row>
    <row r="84" spans="1:5" ht="25.5" customHeight="1">
      <c r="A84" s="639"/>
      <c r="B84" s="640"/>
      <c r="C84" s="657"/>
      <c r="D84" s="657"/>
      <c r="E84" s="657"/>
    </row>
    <row r="85" spans="1:5" ht="25.5" customHeight="1">
      <c r="A85" s="629" t="s">
        <v>539</v>
      </c>
      <c r="B85" s="642" t="s">
        <v>90</v>
      </c>
      <c r="C85" s="657"/>
      <c r="D85" s="657"/>
      <c r="E85" s="657"/>
    </row>
    <row r="86" spans="1:5" ht="25.5" customHeight="1">
      <c r="A86" s="639">
        <v>1</v>
      </c>
      <c r="B86" s="640" t="s">
        <v>91</v>
      </c>
      <c r="C86" s="649">
        <f>IF(C80=0,0,C59/C80)</f>
        <v>74456.16184767277</v>
      </c>
      <c r="D86" s="649">
        <f>IF(D80=0,0,D59/D80)</f>
        <v>86961.92866834658</v>
      </c>
      <c r="E86" s="649">
        <f>IF(E80=0,0,E59/E80)</f>
        <v>91835.25681898689</v>
      </c>
    </row>
    <row r="87" spans="1:5" ht="25.5" customHeight="1">
      <c r="A87" s="639">
        <v>2</v>
      </c>
      <c r="B87" s="640" t="s">
        <v>92</v>
      </c>
      <c r="C87" s="649">
        <f>IF(C80=0,0,C60/C80)</f>
        <v>17180.86036671368</v>
      </c>
      <c r="D87" s="649">
        <f>IF(D80=0,0,D60/D80)</f>
        <v>18698.69354526071</v>
      </c>
      <c r="E87" s="649">
        <f>IF(E80=0,0,E60/E80)</f>
        <v>20198.917817924194</v>
      </c>
    </row>
    <row r="88" spans="1:5" ht="25.5" customHeight="1">
      <c r="A88" s="650">
        <v>3</v>
      </c>
      <c r="B88" s="651" t="s">
        <v>93</v>
      </c>
      <c r="C88" s="652">
        <f>+C86+C87</f>
        <v>91637.02221438645</v>
      </c>
      <c r="D88" s="652">
        <f>+D86+D87</f>
        <v>105660.62221360729</v>
      </c>
      <c r="E88" s="652">
        <f>+E86+E87</f>
        <v>112034.17463691108</v>
      </c>
    </row>
    <row r="89" spans="1:5" ht="25.5" customHeight="1">
      <c r="A89" s="639"/>
      <c r="B89" s="640"/>
      <c r="C89" s="649"/>
      <c r="D89" s="649"/>
      <c r="E89" s="649"/>
    </row>
    <row r="90" spans="1:2" ht="25.5" customHeight="1">
      <c r="A90" s="629" t="s">
        <v>691</v>
      </c>
      <c r="B90" s="642" t="s">
        <v>94</v>
      </c>
    </row>
    <row r="91" spans="1:5" ht="25.5" customHeight="1">
      <c r="A91" s="639">
        <v>1</v>
      </c>
      <c r="B91" s="640" t="s">
        <v>95</v>
      </c>
      <c r="C91" s="641">
        <f>IF(C81=0,0,C64/C81)</f>
        <v>147571.43147208123</v>
      </c>
      <c r="D91" s="641">
        <f>IF(D81=0,0,D64/D81)</f>
        <v>151291.39328063242</v>
      </c>
      <c r="E91" s="641">
        <f>IF(E81=0,0,E64/E81)</f>
        <v>163264.3565300286</v>
      </c>
    </row>
    <row r="92" spans="1:5" ht="25.5" customHeight="1">
      <c r="A92" s="639">
        <v>2</v>
      </c>
      <c r="B92" s="640" t="s">
        <v>96</v>
      </c>
      <c r="C92" s="641">
        <f>IF(C81=0,0,C65/C81)</f>
        <v>34052.30456852792</v>
      </c>
      <c r="D92" s="641">
        <f>IF(D81=0,0,D65/D81)</f>
        <v>32530.918972332016</v>
      </c>
      <c r="E92" s="641">
        <f>IF(E81=0,0,E65/E81)</f>
        <v>35909.561487130595</v>
      </c>
    </row>
    <row r="93" spans="1:5" ht="25.5" customHeight="1">
      <c r="A93" s="650">
        <v>3</v>
      </c>
      <c r="B93" s="651" t="s">
        <v>97</v>
      </c>
      <c r="C93" s="654">
        <f>+C91+C92</f>
        <v>181623.73604060913</v>
      </c>
      <c r="D93" s="654">
        <f>+D91+D92</f>
        <v>183822.31225296442</v>
      </c>
      <c r="E93" s="654">
        <f>+E91+E92</f>
        <v>199173.9180171592</v>
      </c>
    </row>
    <row r="94" spans="1:5" ht="25.5" customHeight="1">
      <c r="A94" s="639"/>
      <c r="B94" s="640"/>
      <c r="C94" s="649"/>
      <c r="D94" s="649"/>
      <c r="E94" s="649"/>
    </row>
    <row r="95" spans="1:5" ht="25.5" customHeight="1">
      <c r="A95" s="629" t="s">
        <v>98</v>
      </c>
      <c r="B95" s="642" t="s">
        <v>99</v>
      </c>
      <c r="C95" s="649"/>
      <c r="D95" s="649"/>
      <c r="E95" s="649"/>
    </row>
    <row r="96" spans="1:5" ht="25.5" customHeight="1">
      <c r="A96" s="639">
        <v>1</v>
      </c>
      <c r="B96" s="640" t="s">
        <v>100</v>
      </c>
      <c r="C96" s="649">
        <f>IF(C82=0,0,C69/C82)</f>
        <v>59919.505772005774</v>
      </c>
      <c r="D96" s="649">
        <f>IF(D82=0,0,D69/D82)</f>
        <v>63446.587704008874</v>
      </c>
      <c r="E96" s="649">
        <f>IF(E82=0,0,E69/E82)</f>
        <v>69595.73276914313</v>
      </c>
    </row>
    <row r="97" spans="1:5" ht="25.5" customHeight="1">
      <c r="A97" s="639">
        <v>2</v>
      </c>
      <c r="B97" s="640" t="s">
        <v>101</v>
      </c>
      <c r="C97" s="649">
        <f>IF(C82=0,0,C70/C82)</f>
        <v>13826.507936507936</v>
      </c>
      <c r="D97" s="649">
        <f>IF(D82=0,0,D70/D82)</f>
        <v>13642.387894153066</v>
      </c>
      <c r="E97" s="649">
        <f>IF(E82=0,0,E70/E82)</f>
        <v>15307.39441777199</v>
      </c>
    </row>
    <row r="98" spans="1:5" ht="25.5" customHeight="1">
      <c r="A98" s="650">
        <v>3</v>
      </c>
      <c r="B98" s="651" t="s">
        <v>102</v>
      </c>
      <c r="C98" s="654">
        <f>+C96+C97</f>
        <v>73746.01370851371</v>
      </c>
      <c r="D98" s="654">
        <f>+D96+D97</f>
        <v>77088.97559816194</v>
      </c>
      <c r="E98" s="654">
        <f>+E96+E97</f>
        <v>84903.12718691511</v>
      </c>
    </row>
    <row r="99" spans="1:5" ht="25.5" customHeight="1">
      <c r="A99" s="639"/>
      <c r="B99" s="640"/>
      <c r="C99" s="649"/>
      <c r="D99" s="649"/>
      <c r="E99" s="649"/>
    </row>
    <row r="100" spans="1:2" ht="25.5" customHeight="1">
      <c r="A100" s="629" t="s">
        <v>103</v>
      </c>
      <c r="B100" s="642" t="s">
        <v>104</v>
      </c>
    </row>
    <row r="101" spans="1:5" ht="25.5" customHeight="1">
      <c r="A101" s="639">
        <v>1</v>
      </c>
      <c r="B101" s="640" t="s">
        <v>105</v>
      </c>
      <c r="C101" s="641">
        <f>IF(C83=0,0,C75/C83)</f>
        <v>69431.42800788955</v>
      </c>
      <c r="D101" s="641">
        <f>IF(D83=0,0,D75/D83)</f>
        <v>74632.37960942903</v>
      </c>
      <c r="E101" s="641">
        <f>IF(E83=0,0,E75/E83)</f>
        <v>81385.80541508639</v>
      </c>
    </row>
    <row r="102" spans="1:5" ht="25.5" customHeight="1">
      <c r="A102" s="639">
        <v>2</v>
      </c>
      <c r="B102" s="640" t="s">
        <v>106</v>
      </c>
      <c r="C102" s="658">
        <f>IF(C83=0,0,C76/C83)</f>
        <v>16021.396449704142</v>
      </c>
      <c r="D102" s="658">
        <f>IF(D83=0,0,D76/D83)</f>
        <v>16047.574628851167</v>
      </c>
      <c r="E102" s="658">
        <f>IF(E83=0,0,E76/E83)</f>
        <v>17900.589443742098</v>
      </c>
    </row>
    <row r="103" spans="1:5" ht="25.5" customHeight="1">
      <c r="A103" s="650">
        <v>3</v>
      </c>
      <c r="B103" s="651" t="s">
        <v>104</v>
      </c>
      <c r="C103" s="654">
        <f>+C101+C102</f>
        <v>85452.8244575937</v>
      </c>
      <c r="D103" s="654">
        <f>+D101+D102</f>
        <v>90679.9542382802</v>
      </c>
      <c r="E103" s="654">
        <f>+E101+E102</f>
        <v>99286.39485882848</v>
      </c>
    </row>
    <row r="104" spans="1:5" ht="25.5" customHeight="1">
      <c r="A104" s="650"/>
      <c r="B104" s="651"/>
      <c r="C104" s="654"/>
      <c r="D104" s="654"/>
      <c r="E104" s="654"/>
    </row>
    <row r="105" spans="1:5" ht="25.5" customHeight="1">
      <c r="A105" s="650"/>
      <c r="B105" s="651"/>
      <c r="C105" s="654"/>
      <c r="D105" s="654"/>
      <c r="E105" s="654"/>
    </row>
    <row r="106" spans="1:5" ht="25.5" customHeight="1">
      <c r="A106" s="650"/>
      <c r="B106" s="651"/>
      <c r="C106" s="654"/>
      <c r="D106" s="654"/>
      <c r="E106" s="654"/>
    </row>
    <row r="107" spans="1:5" ht="30" customHeight="1">
      <c r="A107" s="629" t="s">
        <v>107</v>
      </c>
      <c r="B107" s="634" t="s">
        <v>108</v>
      </c>
      <c r="C107" s="659"/>
      <c r="D107" s="659"/>
      <c r="E107" s="641"/>
    </row>
    <row r="108" spans="1:5" ht="25.5" customHeight="1">
      <c r="A108" s="639">
        <v>1</v>
      </c>
      <c r="B108" s="640" t="s">
        <v>109</v>
      </c>
      <c r="C108" s="641">
        <f>IF(C19=0,0,C77/C19)</f>
        <v>2051.686380364778</v>
      </c>
      <c r="D108" s="641">
        <f>IF(D19=0,0,D77/D19)</f>
        <v>2214.013563549908</v>
      </c>
      <c r="E108" s="641">
        <f>IF(E19=0,0,E77/E19)</f>
        <v>2504.055850781167</v>
      </c>
    </row>
    <row r="109" spans="1:5" ht="25.5" customHeight="1">
      <c r="A109" s="639">
        <v>2</v>
      </c>
      <c r="B109" s="640" t="s">
        <v>110</v>
      </c>
      <c r="C109" s="641">
        <f>IF(C20=0,0,C77/C20)</f>
        <v>9095.251739443378</v>
      </c>
      <c r="D109" s="641">
        <f>IF(D20=0,0,D77/D20)</f>
        <v>10747.656281533804</v>
      </c>
      <c r="E109" s="641">
        <f>IF(E20=0,0,E77/E20)</f>
        <v>12660.215744223537</v>
      </c>
    </row>
    <row r="110" spans="1:5" ht="25.5" customHeight="1">
      <c r="A110" s="639">
        <v>3</v>
      </c>
      <c r="B110" s="640" t="s">
        <v>111</v>
      </c>
      <c r="C110" s="641">
        <f>IF(C22=0,0,C77/C22)</f>
        <v>982.85266829507</v>
      </c>
      <c r="D110" s="641">
        <f>IF(D22=0,0,D77/D22)</f>
        <v>1060.965789321197</v>
      </c>
      <c r="E110" s="641">
        <f>IF(E22=0,0,E77/E22)</f>
        <v>1123.3001570287572</v>
      </c>
    </row>
    <row r="111" spans="1:5" ht="25.5" customHeight="1">
      <c r="A111" s="639">
        <v>4</v>
      </c>
      <c r="B111" s="640" t="s">
        <v>112</v>
      </c>
      <c r="C111" s="641">
        <f>IF(C23=0,0,C77/C23)</f>
        <v>4357.046245702497</v>
      </c>
      <c r="D111" s="641">
        <f>IF(D23=0,0,D77/D23)</f>
        <v>5150.327810913336</v>
      </c>
      <c r="E111" s="641">
        <f>IF(E23=0,0,E77/E23)</f>
        <v>5679.275216272744</v>
      </c>
    </row>
    <row r="112" spans="1:5" ht="25.5" customHeight="1">
      <c r="A112" s="639">
        <v>5</v>
      </c>
      <c r="B112" s="640" t="s">
        <v>113</v>
      </c>
      <c r="C112" s="641">
        <f>IF(C29=0,0,C77/C29)</f>
        <v>936.2510240343851</v>
      </c>
      <c r="D112" s="641">
        <f>IF(D29=0,0,D77/D29)</f>
        <v>882.1866341908342</v>
      </c>
      <c r="E112" s="641">
        <f>IF(E29=0,0,E77/E29)</f>
        <v>925.295315610779</v>
      </c>
    </row>
    <row r="113" spans="1:5" ht="25.5" customHeight="1">
      <c r="A113" s="639">
        <v>6</v>
      </c>
      <c r="B113" s="640" t="s">
        <v>114</v>
      </c>
      <c r="C113" s="641">
        <f>IF(C30=0,0,C77/C30)</f>
        <v>4150.45829440579</v>
      </c>
      <c r="D113" s="641">
        <f>IF(D30=0,0,D77/D30)</f>
        <v>4282.466411472167</v>
      </c>
      <c r="E113" s="641">
        <f>IF(E30=0,0,E77/E30)</f>
        <v>4678.185719818281</v>
      </c>
    </row>
    <row r="116" spans="1:7" ht="12.75">
      <c r="A116" s="630"/>
      <c r="B116" s="630"/>
      <c r="C116" s="630"/>
      <c r="D116" s="630"/>
      <c r="E116" s="630"/>
      <c r="F116" s="630"/>
      <c r="G116" s="630"/>
    </row>
  </sheetData>
  <sheetProtection/>
  <mergeCells count="5">
    <mergeCell ref="A5:E5"/>
    <mergeCell ref="A1:E1"/>
    <mergeCell ref="A2:E2"/>
    <mergeCell ref="A3:E3"/>
    <mergeCell ref="A4:E4"/>
  </mergeCells>
  <printOptions gridLines="1"/>
  <pageMargins left="0.25" right="0.25" top="0.5" bottom="0.5" header="0.25" footer="0.25"/>
  <pageSetup fitToHeight="5" horizontalDpi="1200" verticalDpi="1200" orientation="portrait" paperSize="9" scale="65" r:id="rId1"/>
  <headerFooter alignWithMargins="0">
    <oddHeader>&amp;L&amp;12OFFICE OF HEALTH CARE ACCESS&amp;C&amp;12TWELVE MONTHS ACTUAL FILING&amp;R&amp;12STAMFORD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="75" zoomScaleNormal="75" zoomScaleSheetLayoutView="75" zoomScalePageLayoutView="0" workbookViewId="0" topLeftCell="A2">
      <selection activeCell="C37" sqref="C37"/>
    </sheetView>
  </sheetViews>
  <sheetFormatPr defaultColWidth="9.140625" defaultRowHeight="22.5" customHeight="1"/>
  <cols>
    <col min="1" max="1" width="6.7109375" style="55" customWidth="1"/>
    <col min="2" max="2" width="54.42187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 customWidth="1"/>
  </cols>
  <sheetData>
    <row r="1" spans="1:6" ht="22.5" customHeight="1">
      <c r="A1" s="57"/>
      <c r="B1" s="57" t="s">
        <v>115</v>
      </c>
      <c r="C1" s="57"/>
      <c r="D1" s="57"/>
      <c r="E1" s="57"/>
      <c r="F1" s="58"/>
    </row>
    <row r="2" spans="1:6" ht="22.5" customHeight="1">
      <c r="A2" s="57"/>
      <c r="B2" s="57" t="s">
        <v>116</v>
      </c>
      <c r="C2" s="57"/>
      <c r="D2" s="57"/>
      <c r="E2" s="57"/>
      <c r="F2" s="58"/>
    </row>
    <row r="3" spans="1:6" ht="22.5" customHeight="1">
      <c r="A3" s="57"/>
      <c r="B3" s="57" t="s">
        <v>117</v>
      </c>
      <c r="C3" s="57"/>
      <c r="D3" s="57"/>
      <c r="E3" s="57"/>
      <c r="F3" s="58"/>
    </row>
    <row r="4" spans="1:6" ht="22.5" customHeight="1">
      <c r="A4" s="57"/>
      <c r="B4" s="57" t="s">
        <v>184</v>
      </c>
      <c r="C4" s="57"/>
      <c r="D4" s="57"/>
      <c r="E4" s="57"/>
      <c r="F4" s="58"/>
    </row>
    <row r="5" spans="1:6" ht="22.5" customHeight="1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6" ht="15.75" customHeight="1">
      <c r="A6" s="60"/>
      <c r="B6" s="58"/>
      <c r="C6" s="10" t="s">
        <v>119</v>
      </c>
      <c r="D6" s="10" t="s">
        <v>120</v>
      </c>
      <c r="E6" s="59" t="s">
        <v>121</v>
      </c>
      <c r="F6" s="59" t="s">
        <v>122</v>
      </c>
    </row>
    <row r="7" spans="1:8" ht="15.75" customHeight="1">
      <c r="A7" s="61" t="s">
        <v>123</v>
      </c>
      <c r="B7" s="62" t="s">
        <v>124</v>
      </c>
      <c r="C7" s="14" t="s">
        <v>125</v>
      </c>
      <c r="D7" s="14" t="s">
        <v>125</v>
      </c>
      <c r="E7" s="63" t="s">
        <v>126</v>
      </c>
      <c r="F7" s="63" t="s">
        <v>126</v>
      </c>
      <c r="G7" s="64"/>
      <c r="H7" s="65"/>
    </row>
    <row r="8" spans="1:6" ht="15.75" customHeight="1">
      <c r="A8" s="66"/>
      <c r="B8" s="66"/>
      <c r="C8" s="67"/>
      <c r="D8" s="67"/>
      <c r="E8" s="68"/>
      <c r="F8" s="68"/>
    </row>
    <row r="9" spans="1:6" ht="12.75" customHeight="1">
      <c r="A9" s="1"/>
      <c r="B9" s="1"/>
      <c r="C9" s="1"/>
      <c r="D9" s="1"/>
      <c r="E9" s="2"/>
      <c r="F9" s="2"/>
    </row>
    <row r="10" spans="1:6" ht="12.75" customHeight="1">
      <c r="A10" s="1"/>
      <c r="B10" s="1"/>
      <c r="C10" s="1"/>
      <c r="D10" s="1"/>
      <c r="E10" s="2"/>
      <c r="F10" s="2"/>
    </row>
    <row r="11" spans="1:6" ht="15.75" customHeight="1">
      <c r="A11" s="29" t="s">
        <v>129</v>
      </c>
      <c r="B11" s="30" t="s">
        <v>185</v>
      </c>
      <c r="C11" s="67"/>
      <c r="D11" s="67"/>
      <c r="E11" s="69"/>
      <c r="F11" s="69"/>
    </row>
    <row r="12" spans="1:6" ht="22.5" customHeight="1">
      <c r="A12" s="25">
        <v>1</v>
      </c>
      <c r="B12" s="48" t="s">
        <v>186</v>
      </c>
      <c r="C12" s="51">
        <v>995360949</v>
      </c>
      <c r="D12" s="51">
        <v>1157017320</v>
      </c>
      <c r="E12" s="51">
        <f aca="true" t="shared" si="0" ref="E12:E19">D12-C12</f>
        <v>161656371</v>
      </c>
      <c r="F12" s="70">
        <f aca="true" t="shared" si="1" ref="F12:F19">IF(C12=0,0,E12/C12)</f>
        <v>0.16240979833738686</v>
      </c>
    </row>
    <row r="13" spans="1:6" ht="22.5" customHeight="1">
      <c r="A13" s="25">
        <v>2</v>
      </c>
      <c r="B13" s="48" t="s">
        <v>187</v>
      </c>
      <c r="C13" s="51">
        <v>597676758</v>
      </c>
      <c r="D13" s="51">
        <v>728169805</v>
      </c>
      <c r="E13" s="51">
        <f t="shared" si="0"/>
        <v>130493047</v>
      </c>
      <c r="F13" s="70">
        <f t="shared" si="1"/>
        <v>0.21833381548358619</v>
      </c>
    </row>
    <row r="14" spans="1:6" ht="22.5" customHeight="1">
      <c r="A14" s="25">
        <v>3</v>
      </c>
      <c r="B14" s="48" t="s">
        <v>188</v>
      </c>
      <c r="C14" s="51">
        <v>15715201</v>
      </c>
      <c r="D14" s="51">
        <v>11909791</v>
      </c>
      <c r="E14" s="51">
        <f t="shared" si="0"/>
        <v>-3805410</v>
      </c>
      <c r="F14" s="70">
        <f t="shared" si="1"/>
        <v>-0.24214835050471198</v>
      </c>
    </row>
    <row r="15" spans="1:7" ht="22.5" customHeight="1">
      <c r="A15" s="25">
        <v>4</v>
      </c>
      <c r="B15" s="48" t="s">
        <v>189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6" ht="22.5" customHeight="1">
      <c r="A16" s="29"/>
      <c r="B16" s="71" t="s">
        <v>190</v>
      </c>
      <c r="C16" s="27">
        <f>C12-C13-C14-C15</f>
        <v>381968990</v>
      </c>
      <c r="D16" s="27">
        <f>D12-D13-D14-D15</f>
        <v>416937724</v>
      </c>
      <c r="E16" s="27">
        <f t="shared" si="0"/>
        <v>34968734</v>
      </c>
      <c r="F16" s="28">
        <f t="shared" si="1"/>
        <v>0.09154862021652596</v>
      </c>
    </row>
    <row r="17" spans="1:7" ht="22.5" customHeight="1">
      <c r="A17" s="25">
        <v>5</v>
      </c>
      <c r="B17" s="48" t="s">
        <v>191</v>
      </c>
      <c r="C17" s="51">
        <v>21030483</v>
      </c>
      <c r="D17" s="51">
        <v>23523556</v>
      </c>
      <c r="E17" s="51">
        <f t="shared" si="0"/>
        <v>2493073</v>
      </c>
      <c r="F17" s="70">
        <f t="shared" si="1"/>
        <v>0.11854568437634076</v>
      </c>
      <c r="G17" s="64"/>
    </row>
    <row r="18" spans="1:7" ht="22.5" customHeight="1">
      <c r="A18" s="25">
        <v>6</v>
      </c>
      <c r="B18" s="45" t="s">
        <v>192</v>
      </c>
      <c r="C18" s="51">
        <v>2119349</v>
      </c>
      <c r="D18" s="51">
        <v>3737986</v>
      </c>
      <c r="E18" s="51">
        <f t="shared" si="0"/>
        <v>1618637</v>
      </c>
      <c r="F18" s="70">
        <f t="shared" si="1"/>
        <v>0.7637425454703307</v>
      </c>
      <c r="G18" s="64"/>
    </row>
    <row r="19" spans="1:6" ht="22.5" customHeight="1">
      <c r="A19" s="29"/>
      <c r="B19" s="71" t="s">
        <v>193</v>
      </c>
      <c r="C19" s="27">
        <f>SUM(C16:C18)</f>
        <v>405118822</v>
      </c>
      <c r="D19" s="27">
        <f>SUM(D16:D18)</f>
        <v>444199266</v>
      </c>
      <c r="E19" s="27">
        <f t="shared" si="0"/>
        <v>39080444</v>
      </c>
      <c r="F19" s="28">
        <f t="shared" si="1"/>
        <v>0.0964666213410346</v>
      </c>
    </row>
    <row r="20" spans="1:6" ht="15.75" customHeight="1">
      <c r="A20" s="25"/>
      <c r="B20" s="71"/>
      <c r="C20" s="51"/>
      <c r="D20" s="51"/>
      <c r="E20" s="51"/>
      <c r="F20" s="70"/>
    </row>
    <row r="21" spans="1:6" ht="22.5" customHeight="1">
      <c r="A21" s="29" t="s">
        <v>141</v>
      </c>
      <c r="B21" s="30" t="s">
        <v>194</v>
      </c>
      <c r="C21" s="51"/>
      <c r="D21" s="51"/>
      <c r="E21" s="51"/>
      <c r="F21" s="70"/>
    </row>
    <row r="22" spans="1:6" ht="22.5" customHeight="1">
      <c r="A22" s="25">
        <v>1</v>
      </c>
      <c r="B22" s="48" t="s">
        <v>195</v>
      </c>
      <c r="C22" s="51">
        <v>140256631</v>
      </c>
      <c r="D22" s="51">
        <v>154502813</v>
      </c>
      <c r="E22" s="51">
        <f aca="true" t="shared" si="2" ref="E22:E31">D22-C22</f>
        <v>14246182</v>
      </c>
      <c r="F22" s="70">
        <f aca="true" t="shared" si="3" ref="F22:F31">IF(C22=0,0,E22/C22)</f>
        <v>0.10157225293683263</v>
      </c>
    </row>
    <row r="23" spans="1:6" ht="22.5" customHeight="1">
      <c r="A23" s="25">
        <v>2</v>
      </c>
      <c r="B23" s="48" t="s">
        <v>196</v>
      </c>
      <c r="C23" s="51">
        <v>30158207</v>
      </c>
      <c r="D23" s="51">
        <v>33982479</v>
      </c>
      <c r="E23" s="51">
        <f t="shared" si="2"/>
        <v>3824272</v>
      </c>
      <c r="F23" s="70">
        <f t="shared" si="3"/>
        <v>0.12680700812220036</v>
      </c>
    </row>
    <row r="24" spans="1:7" ht="22.5" customHeight="1">
      <c r="A24" s="25">
        <v>3</v>
      </c>
      <c r="B24" s="48" t="s">
        <v>197</v>
      </c>
      <c r="C24" s="51">
        <v>7263984</v>
      </c>
      <c r="D24" s="51">
        <v>10476221</v>
      </c>
      <c r="E24" s="51">
        <f t="shared" si="2"/>
        <v>3212237</v>
      </c>
      <c r="F24" s="70">
        <f t="shared" si="3"/>
        <v>0.44221421743219697</v>
      </c>
      <c r="G24" s="64"/>
    </row>
    <row r="25" spans="1:6" ht="22.5" customHeight="1">
      <c r="A25" s="25">
        <v>4</v>
      </c>
      <c r="B25" s="48" t="s">
        <v>198</v>
      </c>
      <c r="C25" s="51">
        <v>36116193</v>
      </c>
      <c r="D25" s="51">
        <v>40455414</v>
      </c>
      <c r="E25" s="51">
        <f t="shared" si="2"/>
        <v>4339221</v>
      </c>
      <c r="F25" s="70">
        <f t="shared" si="3"/>
        <v>0.1201461350037641</v>
      </c>
    </row>
    <row r="26" spans="1:6" ht="22.5" customHeight="1">
      <c r="A26" s="25">
        <v>5</v>
      </c>
      <c r="B26" s="48" t="s">
        <v>199</v>
      </c>
      <c r="C26" s="51">
        <v>22754170</v>
      </c>
      <c r="D26" s="51">
        <v>26955434</v>
      </c>
      <c r="E26" s="51">
        <f t="shared" si="2"/>
        <v>4201264</v>
      </c>
      <c r="F26" s="70">
        <f t="shared" si="3"/>
        <v>0.18463710168290032</v>
      </c>
    </row>
    <row r="27" spans="1:6" ht="22.5" customHeight="1">
      <c r="A27" s="25">
        <v>6</v>
      </c>
      <c r="B27" s="48" t="s">
        <v>200</v>
      </c>
      <c r="C27" s="51">
        <v>44824866</v>
      </c>
      <c r="D27" s="51">
        <v>47934677</v>
      </c>
      <c r="E27" s="51">
        <f t="shared" si="2"/>
        <v>3109811</v>
      </c>
      <c r="F27" s="70">
        <f t="shared" si="3"/>
        <v>0.06937691682112335</v>
      </c>
    </row>
    <row r="28" spans="1:6" ht="22.5" customHeight="1">
      <c r="A28" s="25">
        <v>7</v>
      </c>
      <c r="B28" s="48" t="s">
        <v>201</v>
      </c>
      <c r="C28" s="51">
        <v>4222070</v>
      </c>
      <c r="D28" s="51">
        <v>5220009</v>
      </c>
      <c r="E28" s="51">
        <f t="shared" si="2"/>
        <v>997939</v>
      </c>
      <c r="F28" s="70">
        <f t="shared" si="3"/>
        <v>0.23636249517416813</v>
      </c>
    </row>
    <row r="29" spans="1:6" ht="22.5" customHeight="1">
      <c r="A29" s="25">
        <v>8</v>
      </c>
      <c r="B29" s="48" t="s">
        <v>202</v>
      </c>
      <c r="C29" s="51">
        <v>11023186</v>
      </c>
      <c r="D29" s="51">
        <v>10211990</v>
      </c>
      <c r="E29" s="51">
        <f t="shared" si="2"/>
        <v>-811196</v>
      </c>
      <c r="F29" s="70">
        <f t="shared" si="3"/>
        <v>-0.07358997661837512</v>
      </c>
    </row>
    <row r="30" spans="1:6" ht="22.5" customHeight="1">
      <c r="A30" s="25">
        <v>9</v>
      </c>
      <c r="B30" s="48" t="s">
        <v>203</v>
      </c>
      <c r="C30" s="51">
        <v>92514531</v>
      </c>
      <c r="D30" s="51">
        <v>95780842</v>
      </c>
      <c r="E30" s="51">
        <f t="shared" si="2"/>
        <v>3266311</v>
      </c>
      <c r="F30" s="70">
        <f t="shared" si="3"/>
        <v>0.03530592399587477</v>
      </c>
    </row>
    <row r="31" spans="1:6" ht="22.5" customHeight="1">
      <c r="A31" s="29"/>
      <c r="B31" s="71" t="s">
        <v>204</v>
      </c>
      <c r="C31" s="27">
        <f>SUM(C22:C30)</f>
        <v>389133838</v>
      </c>
      <c r="D31" s="27">
        <f>SUM(D22:D30)</f>
        <v>425519879</v>
      </c>
      <c r="E31" s="27">
        <f t="shared" si="2"/>
        <v>36386041</v>
      </c>
      <c r="F31" s="28">
        <f t="shared" si="3"/>
        <v>0.09350520938248501</v>
      </c>
    </row>
    <row r="32" spans="1:6" ht="15" customHeight="1">
      <c r="A32" s="25"/>
      <c r="B32" s="66"/>
      <c r="C32" s="51"/>
      <c r="D32" s="51"/>
      <c r="E32" s="51"/>
      <c r="F32" s="70"/>
    </row>
    <row r="33" spans="1:6" ht="22.5" customHeight="1">
      <c r="A33" s="20"/>
      <c r="B33" s="71" t="s">
        <v>205</v>
      </c>
      <c r="C33" s="27">
        <f>+C19-C31</f>
        <v>15984984</v>
      </c>
      <c r="D33" s="27">
        <f>+D19-D31</f>
        <v>18679387</v>
      </c>
      <c r="E33" s="27">
        <f>D33-C33</f>
        <v>2694403</v>
      </c>
      <c r="F33" s="28">
        <f>IF(C33=0,0,E33/C33)</f>
        <v>0.16855837953919753</v>
      </c>
    </row>
    <row r="34" spans="1:6" ht="15.75" customHeight="1">
      <c r="A34" s="72"/>
      <c r="B34" s="71"/>
      <c r="C34" s="51"/>
      <c r="D34" s="51"/>
      <c r="E34" s="51"/>
      <c r="F34" s="70"/>
    </row>
    <row r="35" spans="1:6" ht="15.75" customHeight="1">
      <c r="A35" s="29" t="s">
        <v>151</v>
      </c>
      <c r="B35" s="30" t="s">
        <v>206</v>
      </c>
      <c r="C35" s="51"/>
      <c r="D35" s="51"/>
      <c r="E35" s="51"/>
      <c r="F35" s="70"/>
    </row>
    <row r="36" spans="1:6" ht="22.5" customHeight="1">
      <c r="A36" s="44">
        <v>1</v>
      </c>
      <c r="B36" s="48" t="s">
        <v>207</v>
      </c>
      <c r="C36" s="51">
        <v>1097884</v>
      </c>
      <c r="D36" s="51">
        <v>362429</v>
      </c>
      <c r="E36" s="51">
        <f>D36-C36</f>
        <v>-735455</v>
      </c>
      <c r="F36" s="70">
        <f>IF(C36=0,0,E36/C36)</f>
        <v>-0.6698840678978836</v>
      </c>
    </row>
    <row r="37" spans="1:6" ht="22.5" customHeight="1">
      <c r="A37" s="44">
        <v>2</v>
      </c>
      <c r="B37" s="48" t="s">
        <v>208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2.5" customHeight="1">
      <c r="A38" s="44">
        <v>3</v>
      </c>
      <c r="B38" s="48" t="s">
        <v>209</v>
      </c>
      <c r="C38" s="51">
        <v>-5303955</v>
      </c>
      <c r="D38" s="51">
        <v>-1902592</v>
      </c>
      <c r="E38" s="51">
        <f>D38-C38</f>
        <v>3401363</v>
      </c>
      <c r="F38" s="70">
        <f>IF(C38=0,0,E38/C38)</f>
        <v>-0.6412880576852557</v>
      </c>
    </row>
    <row r="39" spans="1:6" ht="22.5" customHeight="1">
      <c r="A39" s="20"/>
      <c r="B39" s="71" t="s">
        <v>210</v>
      </c>
      <c r="C39" s="27">
        <f>SUM(C36:C38)</f>
        <v>-4206071</v>
      </c>
      <c r="D39" s="27">
        <f>SUM(D36:D38)</f>
        <v>-1540163</v>
      </c>
      <c r="E39" s="27">
        <f>D39-C39</f>
        <v>2665908</v>
      </c>
      <c r="F39" s="28">
        <f>IF(C39=0,0,E39/C39)</f>
        <v>-0.6338238227552507</v>
      </c>
    </row>
    <row r="40" spans="1:6" ht="15.75" customHeight="1">
      <c r="A40" s="44"/>
      <c r="B40" s="71"/>
      <c r="C40" s="42"/>
      <c r="D40" s="42"/>
      <c r="E40" s="42"/>
      <c r="F40" s="28"/>
    </row>
    <row r="41" spans="1:6" ht="33" customHeight="1">
      <c r="A41" s="20"/>
      <c r="B41" s="73" t="s">
        <v>211</v>
      </c>
      <c r="C41" s="27">
        <f>C33+C39</f>
        <v>11778913</v>
      </c>
      <c r="D41" s="27">
        <f>D33+D39</f>
        <v>17139224</v>
      </c>
      <c r="E41" s="27">
        <f>D41-C41</f>
        <v>5360311</v>
      </c>
      <c r="F41" s="28">
        <f>IF(C41=0,0,E41/C41)</f>
        <v>0.4550768818820548</v>
      </c>
    </row>
    <row r="42" spans="1:6" ht="15.75" customHeight="1">
      <c r="A42" s="44"/>
      <c r="B42" s="71"/>
      <c r="C42" s="27"/>
      <c r="D42" s="27"/>
      <c r="E42" s="53"/>
      <c r="F42" s="28"/>
    </row>
    <row r="43" spans="1:6" ht="22.5" customHeight="1">
      <c r="A43" s="20"/>
      <c r="B43" s="74" t="s">
        <v>212</v>
      </c>
      <c r="C43" s="27"/>
      <c r="D43" s="27"/>
      <c r="E43" s="27"/>
      <c r="F43" s="28"/>
    </row>
    <row r="44" spans="1:6" ht="22.5" customHeight="1">
      <c r="A44" s="44"/>
      <c r="B44" s="48" t="s">
        <v>213</v>
      </c>
      <c r="C44" s="51">
        <v>0</v>
      </c>
      <c r="D44" s="51">
        <v>2007633</v>
      </c>
      <c r="E44" s="51">
        <f>D44-C44</f>
        <v>2007633</v>
      </c>
      <c r="F44" s="70">
        <f>IF(C44=0,0,E44/C44)</f>
        <v>0</v>
      </c>
    </row>
    <row r="45" spans="1:6" ht="22.5" customHeight="1">
      <c r="A45" s="44"/>
      <c r="B45" s="48" t="s">
        <v>214</v>
      </c>
      <c r="C45" s="51">
        <v>0</v>
      </c>
      <c r="D45" s="51">
        <v>-1455865</v>
      </c>
      <c r="E45" s="51">
        <f>D45-C45</f>
        <v>-1455865</v>
      </c>
      <c r="F45" s="70">
        <f>IF(C45=0,0,E45/C45)</f>
        <v>0</v>
      </c>
    </row>
    <row r="46" spans="1:6" ht="22.5" customHeight="1">
      <c r="A46" s="20"/>
      <c r="B46" s="74" t="s">
        <v>215</v>
      </c>
      <c r="C46" s="27">
        <f>SUM(C44:C45)</f>
        <v>0</v>
      </c>
      <c r="D46" s="27">
        <f>SUM(D44:D45)</f>
        <v>551768</v>
      </c>
      <c r="E46" s="27">
        <f>D46-C46</f>
        <v>551768</v>
      </c>
      <c r="F46" s="28">
        <f>IF(C46=0,0,E46/C46)</f>
        <v>0</v>
      </c>
    </row>
    <row r="47" spans="1:6" ht="15.75" customHeight="1">
      <c r="A47" s="52"/>
      <c r="B47" s="3"/>
      <c r="C47" s="48"/>
      <c r="D47" s="48"/>
      <c r="E47" s="48"/>
      <c r="F47" s="48"/>
    </row>
    <row r="48" spans="1:6" ht="22.5" customHeight="1">
      <c r="A48" s="20"/>
      <c r="B48" s="74" t="s">
        <v>216</v>
      </c>
      <c r="C48" s="27">
        <f>C41+C46</f>
        <v>11778913</v>
      </c>
      <c r="D48" s="27">
        <f>D41+D46</f>
        <v>17690992</v>
      </c>
      <c r="E48" s="27">
        <f>D48-C48</f>
        <v>5912079</v>
      </c>
      <c r="F48" s="28">
        <f>IF(C48=0,0,E48/C48)</f>
        <v>0.5019205931820704</v>
      </c>
    </row>
    <row r="49" spans="1:6" ht="22.5" customHeight="1">
      <c r="A49" s="44"/>
      <c r="B49" s="48" t="s">
        <v>217</v>
      </c>
      <c r="C49" s="51">
        <v>0</v>
      </c>
      <c r="D49" s="51">
        <v>33476000</v>
      </c>
      <c r="E49" s="51">
        <f>D49-C49</f>
        <v>33476000</v>
      </c>
      <c r="F49" s="70">
        <f>IF(C49=0,0,E49/C49)</f>
        <v>0</v>
      </c>
    </row>
  </sheetData>
  <sheetProtection/>
  <printOptions gridLines="1"/>
  <pageMargins left="0.25" right="0.25" top="0.5" bottom="0.5" header="0.25" footer="0.25"/>
  <pageSetup horizontalDpi="1200" verticalDpi="1200" orientation="portrait" paperSize="9" scale="74" r:id="rId1"/>
  <headerFooter alignWithMargins="0">
    <oddHeader>&amp;LOFFICE OF HEALTH CARE ACCESS&amp;CTWELVE MONTHS ACTUAL FILING&amp;RSTAMFORD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9"/>
  <sheetViews>
    <sheetView zoomScale="75" zoomScaleNormal="75" zoomScalePageLayoutView="0" workbookViewId="0" topLeftCell="A1">
      <selection activeCell="A1" sqref="A1"/>
    </sheetView>
  </sheetViews>
  <sheetFormatPr defaultColWidth="9.140625" defaultRowHeight="18" customHeight="1"/>
  <cols>
    <col min="1" max="1" width="6.28125" style="75" customWidth="1"/>
    <col min="2" max="2" width="68.7109375" style="75" customWidth="1"/>
    <col min="3" max="3" width="21.421875" style="76" customWidth="1"/>
    <col min="4" max="4" width="19.57421875" style="75" customWidth="1"/>
    <col min="5" max="5" width="20.00390625" style="75" bestFit="1" customWidth="1"/>
    <col min="6" max="6" width="21.421875" style="75" bestFit="1" customWidth="1"/>
    <col min="7" max="7" width="41.00390625" style="75" bestFit="1" customWidth="1"/>
    <col min="8" max="16384" width="9.140625" style="75" customWidth="1"/>
  </cols>
  <sheetData>
    <row r="1" spans="1:6" ht="18" customHeight="1">
      <c r="A1" s="77"/>
      <c r="B1" s="78"/>
      <c r="C1" s="79"/>
      <c r="D1" s="79"/>
      <c r="E1" s="79"/>
      <c r="F1" s="80"/>
    </row>
    <row r="2" spans="1:6" ht="18" customHeight="1">
      <c r="A2" s="675" t="s">
        <v>115</v>
      </c>
      <c r="B2" s="675"/>
      <c r="C2" s="675"/>
      <c r="D2" s="675"/>
      <c r="E2" s="675"/>
      <c r="F2" s="675"/>
    </row>
    <row r="3" spans="1:6" ht="18" customHeight="1">
      <c r="A3" s="675" t="s">
        <v>116</v>
      </c>
      <c r="B3" s="675"/>
      <c r="C3" s="675"/>
      <c r="D3" s="675"/>
      <c r="E3" s="675"/>
      <c r="F3" s="675"/>
    </row>
    <row r="4" spans="1:6" ht="18" customHeight="1">
      <c r="A4" s="675" t="s">
        <v>117</v>
      </c>
      <c r="B4" s="675"/>
      <c r="C4" s="675"/>
      <c r="D4" s="675"/>
      <c r="E4" s="675"/>
      <c r="F4" s="675"/>
    </row>
    <row r="5" spans="1:6" ht="18" customHeight="1">
      <c r="A5" s="675" t="s">
        <v>218</v>
      </c>
      <c r="B5" s="675"/>
      <c r="C5" s="675"/>
      <c r="D5" s="675"/>
      <c r="E5" s="675"/>
      <c r="F5" s="675"/>
    </row>
    <row r="6" spans="1:6" ht="15" customHeight="1" thickBot="1">
      <c r="A6" s="77"/>
      <c r="B6" s="82"/>
      <c r="C6" s="81"/>
      <c r="D6" s="79"/>
      <c r="E6" s="79"/>
      <c r="F6" s="80"/>
    </row>
    <row r="7" spans="1:6" ht="18" customHeight="1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>
      <c r="A8" s="86" t="s">
        <v>123</v>
      </c>
      <c r="B8" s="87" t="s">
        <v>219</v>
      </c>
      <c r="C8" s="88" t="s">
        <v>220</v>
      </c>
      <c r="D8" s="89" t="s">
        <v>221</v>
      </c>
      <c r="E8" s="90" t="s">
        <v>222</v>
      </c>
      <c r="F8" s="91" t="s">
        <v>223</v>
      </c>
    </row>
    <row r="9" spans="1:6" ht="18" customHeight="1">
      <c r="A9" s="92"/>
      <c r="B9" s="93"/>
      <c r="C9" s="662"/>
      <c r="D9" s="663"/>
      <c r="E9" s="663"/>
      <c r="F9" s="664"/>
    </row>
    <row r="10" spans="1:6" ht="18" customHeight="1">
      <c r="A10" s="665" t="s">
        <v>127</v>
      </c>
      <c r="B10" s="667" t="s">
        <v>224</v>
      </c>
      <c r="C10" s="669"/>
      <c r="D10" s="670"/>
      <c r="E10" s="670"/>
      <c r="F10" s="671"/>
    </row>
    <row r="11" spans="1:6" ht="18" customHeight="1">
      <c r="A11" s="666"/>
      <c r="B11" s="668"/>
      <c r="C11" s="672"/>
      <c r="D11" s="673"/>
      <c r="E11" s="673"/>
      <c r="F11" s="674"/>
    </row>
    <row r="12" spans="1:6" ht="18" customHeight="1">
      <c r="A12" s="94"/>
      <c r="B12" s="95"/>
      <c r="C12" s="96"/>
      <c r="D12" s="96"/>
      <c r="E12" s="96"/>
      <c r="F12" s="96"/>
    </row>
    <row r="13" spans="1:6" ht="18" customHeight="1">
      <c r="A13" s="94" t="s">
        <v>225</v>
      </c>
      <c r="B13" s="95" t="s">
        <v>226</v>
      </c>
      <c r="C13" s="97"/>
      <c r="D13" s="97"/>
      <c r="E13" s="97"/>
      <c r="F13" s="98"/>
    </row>
    <row r="14" spans="1:6" ht="18" customHeight="1">
      <c r="A14" s="99">
        <v>1</v>
      </c>
      <c r="B14" s="100" t="s">
        <v>227</v>
      </c>
      <c r="C14" s="97">
        <v>207952662</v>
      </c>
      <c r="D14" s="97">
        <v>216056717</v>
      </c>
      <c r="E14" s="97">
        <f aca="true" t="shared" si="0" ref="E14:E25">D14-C14</f>
        <v>8104055</v>
      </c>
      <c r="F14" s="98">
        <f aca="true" t="shared" si="1" ref="F14:F25">IF(C14=0,0,E14/C14)</f>
        <v>0.038970672084976725</v>
      </c>
    </row>
    <row r="15" spans="1:6" ht="18" customHeight="1">
      <c r="A15" s="99">
        <v>2</v>
      </c>
      <c r="B15" s="100" t="s">
        <v>228</v>
      </c>
      <c r="C15" s="97">
        <v>25340332</v>
      </c>
      <c r="D15" s="97">
        <v>29640715</v>
      </c>
      <c r="E15" s="97">
        <f t="shared" si="0"/>
        <v>4300383</v>
      </c>
      <c r="F15" s="98">
        <f t="shared" si="1"/>
        <v>0.1697050772657596</v>
      </c>
    </row>
    <row r="16" spans="1:6" ht="18" customHeight="1">
      <c r="A16" s="99">
        <v>3</v>
      </c>
      <c r="B16" s="100" t="s">
        <v>229</v>
      </c>
      <c r="C16" s="97">
        <v>27693230</v>
      </c>
      <c r="D16" s="97">
        <v>36369364</v>
      </c>
      <c r="E16" s="97">
        <f t="shared" si="0"/>
        <v>8676134</v>
      </c>
      <c r="F16" s="98">
        <f t="shared" si="1"/>
        <v>0.3132944044446964</v>
      </c>
    </row>
    <row r="17" spans="1:6" ht="18" customHeight="1">
      <c r="A17" s="99">
        <v>4</v>
      </c>
      <c r="B17" s="100" t="s">
        <v>230</v>
      </c>
      <c r="C17" s="97">
        <v>11140768</v>
      </c>
      <c r="D17" s="97">
        <v>16718919</v>
      </c>
      <c r="E17" s="97">
        <f t="shared" si="0"/>
        <v>5578151</v>
      </c>
      <c r="F17" s="98">
        <f t="shared" si="1"/>
        <v>0.5006971691718202</v>
      </c>
    </row>
    <row r="18" spans="1:6" ht="18" customHeight="1">
      <c r="A18" s="99">
        <v>5</v>
      </c>
      <c r="B18" s="100" t="s">
        <v>231</v>
      </c>
      <c r="C18" s="97">
        <v>372628</v>
      </c>
      <c r="D18" s="97">
        <v>235250</v>
      </c>
      <c r="E18" s="97">
        <f t="shared" si="0"/>
        <v>-137378</v>
      </c>
      <c r="F18" s="98">
        <f t="shared" si="1"/>
        <v>-0.36867331494144295</v>
      </c>
    </row>
    <row r="19" spans="1:6" ht="18" customHeight="1">
      <c r="A19" s="99">
        <v>6</v>
      </c>
      <c r="B19" s="100" t="s">
        <v>232</v>
      </c>
      <c r="C19" s="97">
        <v>44521777</v>
      </c>
      <c r="D19" s="97">
        <v>41642818</v>
      </c>
      <c r="E19" s="97">
        <f t="shared" si="0"/>
        <v>-2878959</v>
      </c>
      <c r="F19" s="98">
        <f t="shared" si="1"/>
        <v>-0.06466406316171971</v>
      </c>
    </row>
    <row r="20" spans="1:6" ht="18" customHeight="1">
      <c r="A20" s="99">
        <v>7</v>
      </c>
      <c r="B20" s="100" t="s">
        <v>233</v>
      </c>
      <c r="C20" s="97">
        <v>121115613</v>
      </c>
      <c r="D20" s="97">
        <v>130641867</v>
      </c>
      <c r="E20" s="97">
        <f t="shared" si="0"/>
        <v>9526254</v>
      </c>
      <c r="F20" s="98">
        <f t="shared" si="1"/>
        <v>0.07865421941925853</v>
      </c>
    </row>
    <row r="21" spans="1:6" ht="18" customHeight="1">
      <c r="A21" s="99">
        <v>8</v>
      </c>
      <c r="B21" s="100" t="s">
        <v>234</v>
      </c>
      <c r="C21" s="97">
        <v>3734334</v>
      </c>
      <c r="D21" s="97">
        <v>5143937</v>
      </c>
      <c r="E21" s="97">
        <f t="shared" si="0"/>
        <v>1409603</v>
      </c>
      <c r="F21" s="98">
        <f t="shared" si="1"/>
        <v>0.37747105641862777</v>
      </c>
    </row>
    <row r="22" spans="1:6" ht="18" customHeight="1">
      <c r="A22" s="99">
        <v>9</v>
      </c>
      <c r="B22" s="100" t="s">
        <v>235</v>
      </c>
      <c r="C22" s="97">
        <v>17076371</v>
      </c>
      <c r="D22" s="97">
        <v>21486553</v>
      </c>
      <c r="E22" s="97">
        <f t="shared" si="0"/>
        <v>4410182</v>
      </c>
      <c r="F22" s="98">
        <f t="shared" si="1"/>
        <v>0.2582622502169811</v>
      </c>
    </row>
    <row r="23" spans="1:6" ht="18" customHeight="1">
      <c r="A23" s="99">
        <v>10</v>
      </c>
      <c r="B23" s="100" t="s">
        <v>236</v>
      </c>
      <c r="C23" s="97">
        <v>15450364</v>
      </c>
      <c r="D23" s="97">
        <v>21092910</v>
      </c>
      <c r="E23" s="97">
        <f t="shared" si="0"/>
        <v>5642546</v>
      </c>
      <c r="F23" s="98">
        <f t="shared" si="1"/>
        <v>0.3652047291571901</v>
      </c>
    </row>
    <row r="24" spans="1:6" ht="18" customHeight="1">
      <c r="A24" s="99">
        <v>11</v>
      </c>
      <c r="B24" s="100" t="s">
        <v>237</v>
      </c>
      <c r="C24" s="97">
        <v>0</v>
      </c>
      <c r="D24" s="97">
        <v>0</v>
      </c>
      <c r="E24" s="97">
        <f t="shared" si="0"/>
        <v>0</v>
      </c>
      <c r="F24" s="98">
        <f t="shared" si="1"/>
        <v>0</v>
      </c>
    </row>
    <row r="25" spans="1:6" ht="18" customHeight="1">
      <c r="A25" s="101"/>
      <c r="B25" s="102" t="s">
        <v>238</v>
      </c>
      <c r="C25" s="103">
        <f>SUM(C14:C24)</f>
        <v>474398079</v>
      </c>
      <c r="D25" s="103">
        <f>SUM(D14:D24)</f>
        <v>519029050</v>
      </c>
      <c r="E25" s="103">
        <f t="shared" si="0"/>
        <v>44630971</v>
      </c>
      <c r="F25" s="104">
        <f t="shared" si="1"/>
        <v>0.09407915625223263</v>
      </c>
    </row>
    <row r="26" spans="1:6" ht="18" customHeight="1">
      <c r="A26" s="94" t="s">
        <v>239</v>
      </c>
      <c r="B26" s="95" t="s">
        <v>240</v>
      </c>
      <c r="C26" s="97"/>
      <c r="D26" s="97"/>
      <c r="E26" s="97"/>
      <c r="F26" s="98"/>
    </row>
    <row r="27" spans="1:6" ht="18" customHeight="1">
      <c r="A27" s="99">
        <v>1</v>
      </c>
      <c r="B27" s="100" t="s">
        <v>227</v>
      </c>
      <c r="C27" s="97">
        <v>125048765</v>
      </c>
      <c r="D27" s="97">
        <v>153964334</v>
      </c>
      <c r="E27" s="97">
        <f aca="true" t="shared" si="2" ref="E27:E38">D27-C27</f>
        <v>28915569</v>
      </c>
      <c r="F27" s="98">
        <f aca="true" t="shared" si="3" ref="F27:F38">IF(C27=0,0,E27/C27)</f>
        <v>0.23123434285816416</v>
      </c>
    </row>
    <row r="28" spans="1:6" ht="18" customHeight="1">
      <c r="A28" s="99">
        <v>2</v>
      </c>
      <c r="B28" s="100" t="s">
        <v>228</v>
      </c>
      <c r="C28" s="97">
        <v>15736087</v>
      </c>
      <c r="D28" s="97">
        <v>24255325</v>
      </c>
      <c r="E28" s="97">
        <f t="shared" si="2"/>
        <v>8519238</v>
      </c>
      <c r="F28" s="98">
        <f t="shared" si="3"/>
        <v>0.5413822381637824</v>
      </c>
    </row>
    <row r="29" spans="1:6" ht="18" customHeight="1">
      <c r="A29" s="99">
        <v>3</v>
      </c>
      <c r="B29" s="100" t="s">
        <v>229</v>
      </c>
      <c r="C29" s="97">
        <v>13550474</v>
      </c>
      <c r="D29" s="97">
        <v>17569966</v>
      </c>
      <c r="E29" s="97">
        <f t="shared" si="2"/>
        <v>4019492</v>
      </c>
      <c r="F29" s="98">
        <f t="shared" si="3"/>
        <v>0.2966310993991797</v>
      </c>
    </row>
    <row r="30" spans="1:6" ht="18" customHeight="1">
      <c r="A30" s="99">
        <v>4</v>
      </c>
      <c r="B30" s="100" t="s">
        <v>230</v>
      </c>
      <c r="C30" s="97">
        <v>20543587</v>
      </c>
      <c r="D30" s="97">
        <v>28297687</v>
      </c>
      <c r="E30" s="97">
        <f t="shared" si="2"/>
        <v>7754100</v>
      </c>
      <c r="F30" s="98">
        <f t="shared" si="3"/>
        <v>0.37744625609928784</v>
      </c>
    </row>
    <row r="31" spans="1:6" ht="18" customHeight="1">
      <c r="A31" s="99">
        <v>5</v>
      </c>
      <c r="B31" s="100" t="s">
        <v>231</v>
      </c>
      <c r="C31" s="97">
        <v>140660</v>
      </c>
      <c r="D31" s="97">
        <v>341637</v>
      </c>
      <c r="E31" s="97">
        <f t="shared" si="2"/>
        <v>200977</v>
      </c>
      <c r="F31" s="98">
        <f t="shared" si="3"/>
        <v>1.4288141618086165</v>
      </c>
    </row>
    <row r="32" spans="1:6" ht="18" customHeight="1">
      <c r="A32" s="99">
        <v>6</v>
      </c>
      <c r="B32" s="100" t="s">
        <v>232</v>
      </c>
      <c r="C32" s="97">
        <v>81663448</v>
      </c>
      <c r="D32" s="97">
        <v>94782946</v>
      </c>
      <c r="E32" s="97">
        <f t="shared" si="2"/>
        <v>13119498</v>
      </c>
      <c r="F32" s="98">
        <f t="shared" si="3"/>
        <v>0.16065324599078892</v>
      </c>
    </row>
    <row r="33" spans="1:6" ht="18" customHeight="1">
      <c r="A33" s="99">
        <v>7</v>
      </c>
      <c r="B33" s="100" t="s">
        <v>233</v>
      </c>
      <c r="C33" s="97">
        <v>209926460</v>
      </c>
      <c r="D33" s="97">
        <v>261111452</v>
      </c>
      <c r="E33" s="97">
        <f t="shared" si="2"/>
        <v>51184992</v>
      </c>
      <c r="F33" s="98">
        <f t="shared" si="3"/>
        <v>0.243823441790044</v>
      </c>
    </row>
    <row r="34" spans="1:6" ht="18" customHeight="1">
      <c r="A34" s="99">
        <v>8</v>
      </c>
      <c r="B34" s="100" t="s">
        <v>234</v>
      </c>
      <c r="C34" s="97">
        <v>6038493</v>
      </c>
      <c r="D34" s="97">
        <v>7325470</v>
      </c>
      <c r="E34" s="97">
        <f t="shared" si="2"/>
        <v>1286977</v>
      </c>
      <c r="F34" s="98">
        <f t="shared" si="3"/>
        <v>0.21312883860261161</v>
      </c>
    </row>
    <row r="35" spans="1:6" ht="18" customHeight="1">
      <c r="A35" s="99">
        <v>9</v>
      </c>
      <c r="B35" s="100" t="s">
        <v>235</v>
      </c>
      <c r="C35" s="97">
        <v>35308931</v>
      </c>
      <c r="D35" s="97">
        <v>38147950</v>
      </c>
      <c r="E35" s="97">
        <f t="shared" si="2"/>
        <v>2839019</v>
      </c>
      <c r="F35" s="98">
        <f t="shared" si="3"/>
        <v>0.08040512469777122</v>
      </c>
    </row>
    <row r="36" spans="1:6" ht="18" customHeight="1">
      <c r="A36" s="99">
        <v>10</v>
      </c>
      <c r="B36" s="100" t="s">
        <v>236</v>
      </c>
      <c r="C36" s="97">
        <v>7614525</v>
      </c>
      <c r="D36" s="97">
        <v>12191496</v>
      </c>
      <c r="E36" s="97">
        <f t="shared" si="2"/>
        <v>4576971</v>
      </c>
      <c r="F36" s="98">
        <f t="shared" si="3"/>
        <v>0.6010842436002246</v>
      </c>
    </row>
    <row r="37" spans="1:6" ht="18" customHeight="1">
      <c r="A37" s="99">
        <v>11</v>
      </c>
      <c r="B37" s="100" t="s">
        <v>237</v>
      </c>
      <c r="C37" s="97">
        <v>0</v>
      </c>
      <c r="D37" s="97">
        <v>0</v>
      </c>
      <c r="E37" s="97">
        <f t="shared" si="2"/>
        <v>0</v>
      </c>
      <c r="F37" s="98">
        <f t="shared" si="3"/>
        <v>0</v>
      </c>
    </row>
    <row r="38" spans="1:6" ht="18" customHeight="1">
      <c r="A38" s="101"/>
      <c r="B38" s="102" t="s">
        <v>241</v>
      </c>
      <c r="C38" s="103">
        <f>SUM(C27:C37)</f>
        <v>515571430</v>
      </c>
      <c r="D38" s="103">
        <f>SUM(D27:D37)</f>
        <v>637988263</v>
      </c>
      <c r="E38" s="103">
        <f t="shared" si="2"/>
        <v>122416833</v>
      </c>
      <c r="F38" s="104">
        <f t="shared" si="3"/>
        <v>0.23743913234292288</v>
      </c>
    </row>
    <row r="39" spans="1:6" ht="18" customHeight="1">
      <c r="A39" s="665" t="s">
        <v>242</v>
      </c>
      <c r="B39" s="667" t="s">
        <v>243</v>
      </c>
      <c r="C39" s="669"/>
      <c r="D39" s="670"/>
      <c r="E39" s="670"/>
      <c r="F39" s="671"/>
    </row>
    <row r="40" spans="1:6" ht="18" customHeight="1">
      <c r="A40" s="666"/>
      <c r="B40" s="668"/>
      <c r="C40" s="672"/>
      <c r="D40" s="673"/>
      <c r="E40" s="673"/>
      <c r="F40" s="674"/>
    </row>
    <row r="41" spans="1:6" ht="18" customHeight="1">
      <c r="A41" s="105">
        <v>1</v>
      </c>
      <c r="B41" s="106" t="s">
        <v>227</v>
      </c>
      <c r="C41" s="103">
        <f aca="true" t="shared" si="4" ref="C41:D51">+C27+C14</f>
        <v>333001427</v>
      </c>
      <c r="D41" s="103">
        <f t="shared" si="4"/>
        <v>370021051</v>
      </c>
      <c r="E41" s="107">
        <f aca="true" t="shared" si="5" ref="E41:E52">D41-C41</f>
        <v>37019624</v>
      </c>
      <c r="F41" s="108">
        <f aca="true" t="shared" si="6" ref="F41:F52">IF(C41=0,0,E41/C41)</f>
        <v>0.1111695656487382</v>
      </c>
    </row>
    <row r="42" spans="1:6" ht="18" customHeight="1">
      <c r="A42" s="105">
        <v>2</v>
      </c>
      <c r="B42" s="106" t="s">
        <v>228</v>
      </c>
      <c r="C42" s="103">
        <f t="shared" si="4"/>
        <v>41076419</v>
      </c>
      <c r="D42" s="103">
        <f t="shared" si="4"/>
        <v>53896040</v>
      </c>
      <c r="E42" s="107">
        <f t="shared" si="5"/>
        <v>12819621</v>
      </c>
      <c r="F42" s="108">
        <f t="shared" si="6"/>
        <v>0.312091981533249</v>
      </c>
    </row>
    <row r="43" spans="1:6" ht="18" customHeight="1">
      <c r="A43" s="105">
        <v>3</v>
      </c>
      <c r="B43" s="106" t="s">
        <v>229</v>
      </c>
      <c r="C43" s="103">
        <f t="shared" si="4"/>
        <v>41243704</v>
      </c>
      <c r="D43" s="103">
        <f t="shared" si="4"/>
        <v>53939330</v>
      </c>
      <c r="E43" s="107">
        <f t="shared" si="5"/>
        <v>12695626</v>
      </c>
      <c r="F43" s="108">
        <f t="shared" si="6"/>
        <v>0.3078197341344512</v>
      </c>
    </row>
    <row r="44" spans="1:6" ht="18" customHeight="1">
      <c r="A44" s="105">
        <v>4</v>
      </c>
      <c r="B44" s="106" t="s">
        <v>230</v>
      </c>
      <c r="C44" s="103">
        <f t="shared" si="4"/>
        <v>31684355</v>
      </c>
      <c r="D44" s="103">
        <f t="shared" si="4"/>
        <v>45016606</v>
      </c>
      <c r="E44" s="107">
        <f t="shared" si="5"/>
        <v>13332251</v>
      </c>
      <c r="F44" s="108">
        <f t="shared" si="6"/>
        <v>0.42078341187630297</v>
      </c>
    </row>
    <row r="45" spans="1:6" ht="18" customHeight="1">
      <c r="A45" s="105">
        <v>5</v>
      </c>
      <c r="B45" s="106" t="s">
        <v>231</v>
      </c>
      <c r="C45" s="103">
        <f t="shared" si="4"/>
        <v>513288</v>
      </c>
      <c r="D45" s="103">
        <f t="shared" si="4"/>
        <v>576887</v>
      </c>
      <c r="E45" s="107">
        <f t="shared" si="5"/>
        <v>63599</v>
      </c>
      <c r="F45" s="108">
        <f t="shared" si="6"/>
        <v>0.12390509811256059</v>
      </c>
    </row>
    <row r="46" spans="1:6" ht="18" customHeight="1">
      <c r="A46" s="105">
        <v>6</v>
      </c>
      <c r="B46" s="106" t="s">
        <v>232</v>
      </c>
      <c r="C46" s="103">
        <f t="shared" si="4"/>
        <v>126185225</v>
      </c>
      <c r="D46" s="103">
        <f t="shared" si="4"/>
        <v>136425764</v>
      </c>
      <c r="E46" s="107">
        <f t="shared" si="5"/>
        <v>10240539</v>
      </c>
      <c r="F46" s="108">
        <f t="shared" si="6"/>
        <v>0.08115481824437053</v>
      </c>
    </row>
    <row r="47" spans="1:6" ht="18" customHeight="1">
      <c r="A47" s="105">
        <v>7</v>
      </c>
      <c r="B47" s="106" t="s">
        <v>233</v>
      </c>
      <c r="C47" s="103">
        <f t="shared" si="4"/>
        <v>331042073</v>
      </c>
      <c r="D47" s="103">
        <f t="shared" si="4"/>
        <v>391753319</v>
      </c>
      <c r="E47" s="107">
        <f t="shared" si="5"/>
        <v>60711246</v>
      </c>
      <c r="F47" s="108">
        <f t="shared" si="6"/>
        <v>0.18339435060268003</v>
      </c>
    </row>
    <row r="48" spans="1:6" ht="18" customHeight="1">
      <c r="A48" s="105">
        <v>8</v>
      </c>
      <c r="B48" s="106" t="s">
        <v>234</v>
      </c>
      <c r="C48" s="103">
        <f t="shared" si="4"/>
        <v>9772827</v>
      </c>
      <c r="D48" s="103">
        <f t="shared" si="4"/>
        <v>12469407</v>
      </c>
      <c r="E48" s="107">
        <f t="shared" si="5"/>
        <v>2696580</v>
      </c>
      <c r="F48" s="108">
        <f t="shared" si="6"/>
        <v>0.27592630054742606</v>
      </c>
    </row>
    <row r="49" spans="1:6" ht="18" customHeight="1">
      <c r="A49" s="105">
        <v>9</v>
      </c>
      <c r="B49" s="106" t="s">
        <v>235</v>
      </c>
      <c r="C49" s="103">
        <f t="shared" si="4"/>
        <v>52385302</v>
      </c>
      <c r="D49" s="103">
        <f t="shared" si="4"/>
        <v>59634503</v>
      </c>
      <c r="E49" s="107">
        <f t="shared" si="5"/>
        <v>7249201</v>
      </c>
      <c r="F49" s="108">
        <f t="shared" si="6"/>
        <v>0.13838234625429857</v>
      </c>
    </row>
    <row r="50" spans="1:6" ht="18" customHeight="1">
      <c r="A50" s="105">
        <v>10</v>
      </c>
      <c r="B50" s="106" t="s">
        <v>236</v>
      </c>
      <c r="C50" s="103">
        <f t="shared" si="4"/>
        <v>23064889</v>
      </c>
      <c r="D50" s="103">
        <f t="shared" si="4"/>
        <v>33284406</v>
      </c>
      <c r="E50" s="107">
        <f t="shared" si="5"/>
        <v>10219517</v>
      </c>
      <c r="F50" s="108">
        <f t="shared" si="6"/>
        <v>0.44307679087464935</v>
      </c>
    </row>
    <row r="51" spans="1:6" ht="18" customHeight="1" thickBot="1">
      <c r="A51" s="105">
        <v>11</v>
      </c>
      <c r="B51" s="106" t="s">
        <v>237</v>
      </c>
      <c r="C51" s="103">
        <f t="shared" si="4"/>
        <v>0</v>
      </c>
      <c r="D51" s="103">
        <f t="shared" si="4"/>
        <v>0</v>
      </c>
      <c r="E51" s="107">
        <f t="shared" si="5"/>
        <v>0</v>
      </c>
      <c r="F51" s="108">
        <f t="shared" si="6"/>
        <v>0</v>
      </c>
    </row>
    <row r="52" spans="1:6" ht="18.75" customHeight="1" thickBot="1">
      <c r="A52" s="109"/>
      <c r="B52" s="110" t="s">
        <v>243</v>
      </c>
      <c r="C52" s="111">
        <f>SUM(C41:C51)</f>
        <v>989969509</v>
      </c>
      <c r="D52" s="112">
        <f>SUM(D41:D51)</f>
        <v>1157017313</v>
      </c>
      <c r="E52" s="111">
        <f t="shared" si="5"/>
        <v>167047804</v>
      </c>
      <c r="F52" s="113">
        <f t="shared" si="6"/>
        <v>0.16874035258797046</v>
      </c>
    </row>
    <row r="53" spans="1:6" ht="18" customHeight="1">
      <c r="A53" s="665" t="s">
        <v>159</v>
      </c>
      <c r="B53" s="667" t="s">
        <v>244</v>
      </c>
      <c r="C53" s="669"/>
      <c r="D53" s="670"/>
      <c r="E53" s="670"/>
      <c r="F53" s="671"/>
    </row>
    <row r="54" spans="1:6" ht="18" customHeight="1">
      <c r="A54" s="666"/>
      <c r="B54" s="668"/>
      <c r="C54" s="672"/>
      <c r="D54" s="673"/>
      <c r="E54" s="673"/>
      <c r="F54" s="674"/>
    </row>
    <row r="55" spans="1:6" ht="18" customHeight="1">
      <c r="A55" s="94"/>
      <c r="B55" s="95"/>
      <c r="C55" s="96"/>
      <c r="D55" s="96"/>
      <c r="E55" s="96"/>
      <c r="F55" s="96"/>
    </row>
    <row r="56" spans="1:6" ht="18" customHeight="1">
      <c r="A56" s="94" t="s">
        <v>225</v>
      </c>
      <c r="B56" s="95" t="s">
        <v>245</v>
      </c>
      <c r="C56" s="97"/>
      <c r="D56" s="97"/>
      <c r="E56" s="97"/>
      <c r="F56" s="98"/>
    </row>
    <row r="57" spans="1:6" ht="18" customHeight="1">
      <c r="A57" s="99">
        <v>1</v>
      </c>
      <c r="B57" s="100" t="s">
        <v>227</v>
      </c>
      <c r="C57" s="97">
        <v>61374693</v>
      </c>
      <c r="D57" s="97">
        <v>62259652</v>
      </c>
      <c r="E57" s="97">
        <f aca="true" t="shared" si="7" ref="E57:E68">D57-C57</f>
        <v>884959</v>
      </c>
      <c r="F57" s="98">
        <f aca="true" t="shared" si="8" ref="F57:F68">IF(C57=0,0,E57/C57)</f>
        <v>0.014418956034533647</v>
      </c>
    </row>
    <row r="58" spans="1:6" ht="18" customHeight="1">
      <c r="A58" s="99">
        <v>2</v>
      </c>
      <c r="B58" s="100" t="s">
        <v>228</v>
      </c>
      <c r="C58" s="97">
        <v>7688994</v>
      </c>
      <c r="D58" s="97">
        <v>7580994</v>
      </c>
      <c r="E58" s="97">
        <f t="shared" si="7"/>
        <v>-108000</v>
      </c>
      <c r="F58" s="98">
        <f t="shared" si="8"/>
        <v>-0.014046050757745421</v>
      </c>
    </row>
    <row r="59" spans="1:6" ht="18" customHeight="1">
      <c r="A59" s="99">
        <v>3</v>
      </c>
      <c r="B59" s="100" t="s">
        <v>229</v>
      </c>
      <c r="C59" s="97">
        <v>7834345</v>
      </c>
      <c r="D59" s="97">
        <v>9251605</v>
      </c>
      <c r="E59" s="97">
        <f t="shared" si="7"/>
        <v>1417260</v>
      </c>
      <c r="F59" s="98">
        <f t="shared" si="8"/>
        <v>0.18090344502316402</v>
      </c>
    </row>
    <row r="60" spans="1:6" ht="18" customHeight="1">
      <c r="A60" s="99">
        <v>4</v>
      </c>
      <c r="B60" s="100" t="s">
        <v>230</v>
      </c>
      <c r="C60" s="97">
        <v>2424992</v>
      </c>
      <c r="D60" s="97">
        <v>4621868</v>
      </c>
      <c r="E60" s="97">
        <f t="shared" si="7"/>
        <v>2196876</v>
      </c>
      <c r="F60" s="98">
        <f t="shared" si="8"/>
        <v>0.9059312360618097</v>
      </c>
    </row>
    <row r="61" spans="1:6" ht="18" customHeight="1">
      <c r="A61" s="99">
        <v>5</v>
      </c>
      <c r="B61" s="100" t="s">
        <v>231</v>
      </c>
      <c r="C61" s="97">
        <v>83356</v>
      </c>
      <c r="D61" s="97">
        <v>53861</v>
      </c>
      <c r="E61" s="97">
        <f t="shared" si="7"/>
        <v>-29495</v>
      </c>
      <c r="F61" s="98">
        <f t="shared" si="8"/>
        <v>-0.3538437544987763</v>
      </c>
    </row>
    <row r="62" spans="1:6" ht="18" customHeight="1">
      <c r="A62" s="99">
        <v>6</v>
      </c>
      <c r="B62" s="100" t="s">
        <v>232</v>
      </c>
      <c r="C62" s="97">
        <v>21621619</v>
      </c>
      <c r="D62" s="97">
        <v>21126598</v>
      </c>
      <c r="E62" s="97">
        <f t="shared" si="7"/>
        <v>-495021</v>
      </c>
      <c r="F62" s="98">
        <f t="shared" si="8"/>
        <v>-0.02289472402598529</v>
      </c>
    </row>
    <row r="63" spans="1:6" ht="18" customHeight="1">
      <c r="A63" s="99">
        <v>7</v>
      </c>
      <c r="B63" s="100" t="s">
        <v>233</v>
      </c>
      <c r="C63" s="97">
        <v>49140776</v>
      </c>
      <c r="D63" s="97">
        <v>50937545</v>
      </c>
      <c r="E63" s="97">
        <f t="shared" si="7"/>
        <v>1796769</v>
      </c>
      <c r="F63" s="98">
        <f t="shared" si="8"/>
        <v>0.0365637083142521</v>
      </c>
    </row>
    <row r="64" spans="1:6" ht="18" customHeight="1">
      <c r="A64" s="99">
        <v>8</v>
      </c>
      <c r="B64" s="100" t="s">
        <v>234</v>
      </c>
      <c r="C64" s="97">
        <v>2497731</v>
      </c>
      <c r="D64" s="97">
        <v>3261402</v>
      </c>
      <c r="E64" s="97">
        <f t="shared" si="7"/>
        <v>763671</v>
      </c>
      <c r="F64" s="98">
        <f t="shared" si="8"/>
        <v>0.3057458949742787</v>
      </c>
    </row>
    <row r="65" spans="1:6" ht="18" customHeight="1">
      <c r="A65" s="99">
        <v>9</v>
      </c>
      <c r="B65" s="100" t="s">
        <v>235</v>
      </c>
      <c r="C65" s="97">
        <v>768068</v>
      </c>
      <c r="D65" s="97">
        <v>473462</v>
      </c>
      <c r="E65" s="97">
        <f t="shared" si="7"/>
        <v>-294606</v>
      </c>
      <c r="F65" s="98">
        <f t="shared" si="8"/>
        <v>-0.38356760078534713</v>
      </c>
    </row>
    <row r="66" spans="1:6" ht="18" customHeight="1">
      <c r="A66" s="99">
        <v>10</v>
      </c>
      <c r="B66" s="100" t="s">
        <v>236</v>
      </c>
      <c r="C66" s="97">
        <v>3287676</v>
      </c>
      <c r="D66" s="97">
        <v>2167500</v>
      </c>
      <c r="E66" s="97">
        <f t="shared" si="7"/>
        <v>-1120176</v>
      </c>
      <c r="F66" s="98">
        <f t="shared" si="8"/>
        <v>-0.34071970595642637</v>
      </c>
    </row>
    <row r="67" spans="1:6" ht="18" customHeight="1">
      <c r="A67" s="99">
        <v>11</v>
      </c>
      <c r="B67" s="100" t="s">
        <v>237</v>
      </c>
      <c r="C67" s="97">
        <v>0</v>
      </c>
      <c r="D67" s="97">
        <v>0</v>
      </c>
      <c r="E67" s="97">
        <f t="shared" si="7"/>
        <v>0</v>
      </c>
      <c r="F67" s="98">
        <f t="shared" si="8"/>
        <v>0</v>
      </c>
    </row>
    <row r="68" spans="1:6" ht="18" customHeight="1">
      <c r="A68" s="101"/>
      <c r="B68" s="102" t="s">
        <v>246</v>
      </c>
      <c r="C68" s="103">
        <f>SUM(C57:C67)</f>
        <v>156722250</v>
      </c>
      <c r="D68" s="103">
        <f>SUM(D57:D67)</f>
        <v>161734487</v>
      </c>
      <c r="E68" s="103">
        <f t="shared" si="7"/>
        <v>5012237</v>
      </c>
      <c r="F68" s="104">
        <f t="shared" si="8"/>
        <v>0.03198165544458429</v>
      </c>
    </row>
    <row r="69" spans="1:6" ht="18" customHeight="1">
      <c r="A69" s="94" t="s">
        <v>239</v>
      </c>
      <c r="B69" s="95" t="s">
        <v>247</v>
      </c>
      <c r="C69" s="97"/>
      <c r="D69" s="97"/>
      <c r="E69" s="97"/>
      <c r="F69" s="98"/>
    </row>
    <row r="70" spans="1:6" ht="18" customHeight="1">
      <c r="A70" s="99">
        <v>1</v>
      </c>
      <c r="B70" s="100" t="s">
        <v>227</v>
      </c>
      <c r="C70" s="97">
        <v>20260950</v>
      </c>
      <c r="D70" s="97">
        <v>22676376</v>
      </c>
      <c r="E70" s="97">
        <f aca="true" t="shared" si="9" ref="E70:E81">D70-C70</f>
        <v>2415426</v>
      </c>
      <c r="F70" s="98">
        <f aca="true" t="shared" si="10" ref="F70:F81">IF(C70=0,0,E70/C70)</f>
        <v>0.11921583143929579</v>
      </c>
    </row>
    <row r="71" spans="1:6" ht="18" customHeight="1">
      <c r="A71" s="99">
        <v>2</v>
      </c>
      <c r="B71" s="100" t="s">
        <v>228</v>
      </c>
      <c r="C71" s="97">
        <v>2687312</v>
      </c>
      <c r="D71" s="97">
        <v>3516547</v>
      </c>
      <c r="E71" s="97">
        <f t="shared" si="9"/>
        <v>829235</v>
      </c>
      <c r="F71" s="98">
        <f t="shared" si="10"/>
        <v>0.3085741439773275</v>
      </c>
    </row>
    <row r="72" spans="1:6" ht="18" customHeight="1">
      <c r="A72" s="99">
        <v>3</v>
      </c>
      <c r="B72" s="100" t="s">
        <v>229</v>
      </c>
      <c r="C72" s="97">
        <v>2285883</v>
      </c>
      <c r="D72" s="97">
        <v>2984227</v>
      </c>
      <c r="E72" s="97">
        <f t="shared" si="9"/>
        <v>698344</v>
      </c>
      <c r="F72" s="98">
        <f t="shared" si="10"/>
        <v>0.3055029500634984</v>
      </c>
    </row>
    <row r="73" spans="1:6" ht="18" customHeight="1">
      <c r="A73" s="99">
        <v>4</v>
      </c>
      <c r="B73" s="100" t="s">
        <v>230</v>
      </c>
      <c r="C73" s="97">
        <v>3874227</v>
      </c>
      <c r="D73" s="97">
        <v>5003005</v>
      </c>
      <c r="E73" s="97">
        <f t="shared" si="9"/>
        <v>1128778</v>
      </c>
      <c r="F73" s="98">
        <f t="shared" si="10"/>
        <v>0.29135566914380595</v>
      </c>
    </row>
    <row r="74" spans="1:6" ht="18" customHeight="1">
      <c r="A74" s="99">
        <v>5</v>
      </c>
      <c r="B74" s="100" t="s">
        <v>231</v>
      </c>
      <c r="C74" s="97">
        <v>78594</v>
      </c>
      <c r="D74" s="97">
        <v>126599</v>
      </c>
      <c r="E74" s="97">
        <f t="shared" si="9"/>
        <v>48005</v>
      </c>
      <c r="F74" s="98">
        <f t="shared" si="10"/>
        <v>0.610797261877497</v>
      </c>
    </row>
    <row r="75" spans="1:6" ht="18" customHeight="1">
      <c r="A75" s="99">
        <v>6</v>
      </c>
      <c r="B75" s="100" t="s">
        <v>232</v>
      </c>
      <c r="C75" s="97">
        <v>52607532</v>
      </c>
      <c r="D75" s="97">
        <v>58993535</v>
      </c>
      <c r="E75" s="97">
        <f t="shared" si="9"/>
        <v>6386003</v>
      </c>
      <c r="F75" s="98">
        <f t="shared" si="10"/>
        <v>0.12138951890006928</v>
      </c>
    </row>
    <row r="76" spans="1:6" ht="18" customHeight="1">
      <c r="A76" s="99">
        <v>7</v>
      </c>
      <c r="B76" s="100" t="s">
        <v>233</v>
      </c>
      <c r="C76" s="97">
        <v>99917487</v>
      </c>
      <c r="D76" s="97">
        <v>118143235</v>
      </c>
      <c r="E76" s="97">
        <f t="shared" si="9"/>
        <v>18225748</v>
      </c>
      <c r="F76" s="98">
        <f t="shared" si="10"/>
        <v>0.1824079903050404</v>
      </c>
    </row>
    <row r="77" spans="1:6" ht="18" customHeight="1">
      <c r="A77" s="99">
        <v>8</v>
      </c>
      <c r="B77" s="100" t="s">
        <v>234</v>
      </c>
      <c r="C77" s="97">
        <v>3403550</v>
      </c>
      <c r="D77" s="97">
        <v>5020545</v>
      </c>
      <c r="E77" s="97">
        <f t="shared" si="9"/>
        <v>1616995</v>
      </c>
      <c r="F77" s="98">
        <f t="shared" si="10"/>
        <v>0.4750907141073291</v>
      </c>
    </row>
    <row r="78" spans="1:6" ht="18" customHeight="1">
      <c r="A78" s="99">
        <v>9</v>
      </c>
      <c r="B78" s="100" t="s">
        <v>235</v>
      </c>
      <c r="C78" s="97">
        <v>1929713</v>
      </c>
      <c r="D78" s="97">
        <v>1764297</v>
      </c>
      <c r="E78" s="97">
        <f t="shared" si="9"/>
        <v>-165416</v>
      </c>
      <c r="F78" s="98">
        <f t="shared" si="10"/>
        <v>-0.08572051906164284</v>
      </c>
    </row>
    <row r="79" spans="1:6" ht="18" customHeight="1">
      <c r="A79" s="99">
        <v>10</v>
      </c>
      <c r="B79" s="100" t="s">
        <v>236</v>
      </c>
      <c r="C79" s="97">
        <v>914112</v>
      </c>
      <c r="D79" s="97">
        <v>1493424</v>
      </c>
      <c r="E79" s="97">
        <f t="shared" si="9"/>
        <v>579312</v>
      </c>
      <c r="F79" s="98">
        <f t="shared" si="10"/>
        <v>0.6337429111531191</v>
      </c>
    </row>
    <row r="80" spans="1:6" ht="18" customHeight="1">
      <c r="A80" s="99">
        <v>11</v>
      </c>
      <c r="B80" s="100" t="s">
        <v>237</v>
      </c>
      <c r="C80" s="97">
        <v>0</v>
      </c>
      <c r="D80" s="97">
        <v>0</v>
      </c>
      <c r="E80" s="97">
        <f t="shared" si="9"/>
        <v>0</v>
      </c>
      <c r="F80" s="98">
        <f t="shared" si="10"/>
        <v>0</v>
      </c>
    </row>
    <row r="81" spans="1:6" ht="18" customHeight="1">
      <c r="A81" s="101"/>
      <c r="B81" s="102" t="s">
        <v>248</v>
      </c>
      <c r="C81" s="103">
        <f>SUM(C70:C80)</f>
        <v>187959360</v>
      </c>
      <c r="D81" s="103">
        <f>SUM(D70:D80)</f>
        <v>219721790</v>
      </c>
      <c r="E81" s="103">
        <f t="shared" si="9"/>
        <v>31762430</v>
      </c>
      <c r="F81" s="104">
        <f t="shared" si="10"/>
        <v>0.16898562540327866</v>
      </c>
    </row>
    <row r="82" spans="1:6" ht="18" customHeight="1">
      <c r="A82" s="665" t="s">
        <v>242</v>
      </c>
      <c r="B82" s="667" t="s">
        <v>249</v>
      </c>
      <c r="C82" s="669"/>
      <c r="D82" s="670"/>
      <c r="E82" s="670"/>
      <c r="F82" s="671"/>
    </row>
    <row r="83" spans="1:6" ht="18" customHeight="1">
      <c r="A83" s="666"/>
      <c r="B83" s="668"/>
      <c r="C83" s="672"/>
      <c r="D83" s="673"/>
      <c r="E83" s="673"/>
      <c r="F83" s="674"/>
    </row>
    <row r="84" spans="1:6" ht="18" customHeight="1">
      <c r="A84" s="114">
        <v>1</v>
      </c>
      <c r="B84" s="106" t="s">
        <v>227</v>
      </c>
      <c r="C84" s="103">
        <f aca="true" t="shared" si="11" ref="C84:D94">+C70+C57</f>
        <v>81635643</v>
      </c>
      <c r="D84" s="103">
        <f t="shared" si="11"/>
        <v>84936028</v>
      </c>
      <c r="E84" s="103">
        <f aca="true" t="shared" si="12" ref="E84:E95">D84-C84</f>
        <v>3300385</v>
      </c>
      <c r="F84" s="104">
        <f aca="true" t="shared" si="13" ref="F84:F95">IF(C84=0,0,E84/C84)</f>
        <v>0.04042823549512558</v>
      </c>
    </row>
    <row r="85" spans="1:6" ht="18" customHeight="1">
      <c r="A85" s="114">
        <v>2</v>
      </c>
      <c r="B85" s="106" t="s">
        <v>228</v>
      </c>
      <c r="C85" s="103">
        <f t="shared" si="11"/>
        <v>10376306</v>
      </c>
      <c r="D85" s="103">
        <f t="shared" si="11"/>
        <v>11097541</v>
      </c>
      <c r="E85" s="103">
        <f t="shared" si="12"/>
        <v>721235</v>
      </c>
      <c r="F85" s="104">
        <f t="shared" si="13"/>
        <v>0.06950787688797921</v>
      </c>
    </row>
    <row r="86" spans="1:6" ht="18" customHeight="1">
      <c r="A86" s="114">
        <v>3</v>
      </c>
      <c r="B86" s="106" t="s">
        <v>229</v>
      </c>
      <c r="C86" s="103">
        <f t="shared" si="11"/>
        <v>10120228</v>
      </c>
      <c r="D86" s="103">
        <f t="shared" si="11"/>
        <v>12235832</v>
      </c>
      <c r="E86" s="103">
        <f t="shared" si="12"/>
        <v>2115604</v>
      </c>
      <c r="F86" s="104">
        <f t="shared" si="13"/>
        <v>0.20904706890002872</v>
      </c>
    </row>
    <row r="87" spans="1:6" ht="18" customHeight="1">
      <c r="A87" s="114">
        <v>4</v>
      </c>
      <c r="B87" s="106" t="s">
        <v>230</v>
      </c>
      <c r="C87" s="103">
        <f t="shared" si="11"/>
        <v>6299219</v>
      </c>
      <c r="D87" s="103">
        <f t="shared" si="11"/>
        <v>9624873</v>
      </c>
      <c r="E87" s="103">
        <f t="shared" si="12"/>
        <v>3325654</v>
      </c>
      <c r="F87" s="104">
        <f t="shared" si="13"/>
        <v>0.5279470359738246</v>
      </c>
    </row>
    <row r="88" spans="1:6" ht="18" customHeight="1">
      <c r="A88" s="114">
        <v>5</v>
      </c>
      <c r="B88" s="106" t="s">
        <v>231</v>
      </c>
      <c r="C88" s="103">
        <f t="shared" si="11"/>
        <v>161950</v>
      </c>
      <c r="D88" s="103">
        <f t="shared" si="11"/>
        <v>180460</v>
      </c>
      <c r="E88" s="103">
        <f t="shared" si="12"/>
        <v>18510</v>
      </c>
      <c r="F88" s="104">
        <f t="shared" si="13"/>
        <v>0.1142945353504168</v>
      </c>
    </row>
    <row r="89" spans="1:6" ht="18" customHeight="1">
      <c r="A89" s="114">
        <v>6</v>
      </c>
      <c r="B89" s="106" t="s">
        <v>232</v>
      </c>
      <c r="C89" s="103">
        <f t="shared" si="11"/>
        <v>74229151</v>
      </c>
      <c r="D89" s="103">
        <f t="shared" si="11"/>
        <v>80120133</v>
      </c>
      <c r="E89" s="103">
        <f t="shared" si="12"/>
        <v>5890982</v>
      </c>
      <c r="F89" s="104">
        <f t="shared" si="13"/>
        <v>0.07936210936859564</v>
      </c>
    </row>
    <row r="90" spans="1:6" ht="18" customHeight="1">
      <c r="A90" s="114">
        <v>7</v>
      </c>
      <c r="B90" s="106" t="s">
        <v>233</v>
      </c>
      <c r="C90" s="103">
        <f t="shared" si="11"/>
        <v>149058263</v>
      </c>
      <c r="D90" s="103">
        <f t="shared" si="11"/>
        <v>169080780</v>
      </c>
      <c r="E90" s="103">
        <f t="shared" si="12"/>
        <v>20022517</v>
      </c>
      <c r="F90" s="104">
        <f t="shared" si="13"/>
        <v>0.13432678334645562</v>
      </c>
    </row>
    <row r="91" spans="1:6" ht="18" customHeight="1">
      <c r="A91" s="114">
        <v>8</v>
      </c>
      <c r="B91" s="106" t="s">
        <v>234</v>
      </c>
      <c r="C91" s="103">
        <f t="shared" si="11"/>
        <v>5901281</v>
      </c>
      <c r="D91" s="103">
        <f t="shared" si="11"/>
        <v>8281947</v>
      </c>
      <c r="E91" s="103">
        <f t="shared" si="12"/>
        <v>2380666</v>
      </c>
      <c r="F91" s="104">
        <f t="shared" si="13"/>
        <v>0.403415122919922</v>
      </c>
    </row>
    <row r="92" spans="1:6" ht="18" customHeight="1">
      <c r="A92" s="114">
        <v>9</v>
      </c>
      <c r="B92" s="106" t="s">
        <v>235</v>
      </c>
      <c r="C92" s="103">
        <f t="shared" si="11"/>
        <v>2697781</v>
      </c>
      <c r="D92" s="103">
        <f t="shared" si="11"/>
        <v>2237759</v>
      </c>
      <c r="E92" s="103">
        <f t="shared" si="12"/>
        <v>-460022</v>
      </c>
      <c r="F92" s="104">
        <f t="shared" si="13"/>
        <v>-0.1705186595946817</v>
      </c>
    </row>
    <row r="93" spans="1:6" ht="18" customHeight="1">
      <c r="A93" s="114">
        <v>10</v>
      </c>
      <c r="B93" s="106" t="s">
        <v>236</v>
      </c>
      <c r="C93" s="103">
        <f t="shared" si="11"/>
        <v>4201788</v>
      </c>
      <c r="D93" s="103">
        <f t="shared" si="11"/>
        <v>3660924</v>
      </c>
      <c r="E93" s="103">
        <f t="shared" si="12"/>
        <v>-540864</v>
      </c>
      <c r="F93" s="104">
        <f t="shared" si="13"/>
        <v>-0.128722343916447</v>
      </c>
    </row>
    <row r="94" spans="1:6" ht="18" customHeight="1" thickBot="1">
      <c r="A94" s="114">
        <v>11</v>
      </c>
      <c r="B94" s="106" t="s">
        <v>237</v>
      </c>
      <c r="C94" s="103">
        <f t="shared" si="11"/>
        <v>0</v>
      </c>
      <c r="D94" s="103">
        <f t="shared" si="11"/>
        <v>0</v>
      </c>
      <c r="E94" s="103">
        <f t="shared" si="12"/>
        <v>0</v>
      </c>
      <c r="F94" s="104">
        <f t="shared" si="13"/>
        <v>0</v>
      </c>
    </row>
    <row r="95" spans="1:6" ht="18.75" customHeight="1" thickBot="1">
      <c r="A95" s="115"/>
      <c r="B95" s="116" t="s">
        <v>249</v>
      </c>
      <c r="C95" s="112">
        <f>SUM(C84:C94)</f>
        <v>344681610</v>
      </c>
      <c r="D95" s="112">
        <f>SUM(D84:D94)</f>
        <v>381456277</v>
      </c>
      <c r="E95" s="112">
        <f t="shared" si="12"/>
        <v>36774667</v>
      </c>
      <c r="F95" s="113">
        <f t="shared" si="13"/>
        <v>0.10669170020413912</v>
      </c>
    </row>
    <row r="96" spans="1:6" ht="18" customHeight="1">
      <c r="A96" s="665" t="s">
        <v>250</v>
      </c>
      <c r="B96" s="667" t="s">
        <v>251</v>
      </c>
      <c r="C96" s="669"/>
      <c r="D96" s="670"/>
      <c r="E96" s="670"/>
      <c r="F96" s="671"/>
    </row>
    <row r="97" spans="1:6" ht="18" customHeight="1">
      <c r="A97" s="666"/>
      <c r="B97" s="668"/>
      <c r="C97" s="672"/>
      <c r="D97" s="673"/>
      <c r="E97" s="673"/>
      <c r="F97" s="674"/>
    </row>
    <row r="98" spans="1:6" ht="18" customHeight="1">
      <c r="A98" s="94"/>
      <c r="B98" s="95"/>
      <c r="C98" s="96"/>
      <c r="D98" s="96"/>
      <c r="E98" s="96"/>
      <c r="F98" s="96"/>
    </row>
    <row r="99" spans="1:6" ht="18" customHeight="1">
      <c r="A99" s="94" t="s">
        <v>225</v>
      </c>
      <c r="B99" s="95" t="s">
        <v>252</v>
      </c>
      <c r="C99" s="97"/>
      <c r="D99" s="97"/>
      <c r="E99" s="97"/>
      <c r="F99" s="98"/>
    </row>
    <row r="100" spans="1:6" ht="18" customHeight="1">
      <c r="A100" s="99">
        <v>1</v>
      </c>
      <c r="B100" s="100" t="s">
        <v>227</v>
      </c>
      <c r="C100" s="117">
        <v>5131</v>
      </c>
      <c r="D100" s="117">
        <v>4487</v>
      </c>
      <c r="E100" s="117">
        <f aca="true" t="shared" si="14" ref="E100:E111">D100-C100</f>
        <v>-644</v>
      </c>
      <c r="F100" s="98">
        <f aca="true" t="shared" si="15" ref="F100:F111">IF(C100=0,0,E100/C100)</f>
        <v>-0.12551159618008187</v>
      </c>
    </row>
    <row r="101" spans="1:6" ht="18" customHeight="1">
      <c r="A101" s="99">
        <v>2</v>
      </c>
      <c r="B101" s="100" t="s">
        <v>228</v>
      </c>
      <c r="C101" s="117">
        <v>632</v>
      </c>
      <c r="D101" s="117">
        <v>606</v>
      </c>
      <c r="E101" s="117">
        <f t="shared" si="14"/>
        <v>-26</v>
      </c>
      <c r="F101" s="98">
        <f t="shared" si="15"/>
        <v>-0.04113924050632911</v>
      </c>
    </row>
    <row r="102" spans="1:6" ht="18" customHeight="1">
      <c r="A102" s="99">
        <v>3</v>
      </c>
      <c r="B102" s="100" t="s">
        <v>229</v>
      </c>
      <c r="C102" s="117">
        <v>1463</v>
      </c>
      <c r="D102" s="117">
        <v>1363</v>
      </c>
      <c r="E102" s="117">
        <f t="shared" si="14"/>
        <v>-100</v>
      </c>
      <c r="F102" s="98">
        <f t="shared" si="15"/>
        <v>-0.0683526999316473</v>
      </c>
    </row>
    <row r="103" spans="1:6" ht="18" customHeight="1">
      <c r="A103" s="99">
        <v>4</v>
      </c>
      <c r="B103" s="100" t="s">
        <v>230</v>
      </c>
      <c r="C103" s="117">
        <v>746</v>
      </c>
      <c r="D103" s="117">
        <v>922</v>
      </c>
      <c r="E103" s="117">
        <f t="shared" si="14"/>
        <v>176</v>
      </c>
      <c r="F103" s="98">
        <f t="shared" si="15"/>
        <v>0.2359249329758713</v>
      </c>
    </row>
    <row r="104" spans="1:6" ht="18" customHeight="1">
      <c r="A104" s="99">
        <v>5</v>
      </c>
      <c r="B104" s="100" t="s">
        <v>231</v>
      </c>
      <c r="C104" s="117">
        <v>7</v>
      </c>
      <c r="D104" s="117">
        <v>11</v>
      </c>
      <c r="E104" s="117">
        <f t="shared" si="14"/>
        <v>4</v>
      </c>
      <c r="F104" s="98">
        <f t="shared" si="15"/>
        <v>0.5714285714285714</v>
      </c>
    </row>
    <row r="105" spans="1:6" ht="18" customHeight="1">
      <c r="A105" s="99">
        <v>6</v>
      </c>
      <c r="B105" s="100" t="s">
        <v>232</v>
      </c>
      <c r="C105" s="117">
        <v>1670</v>
      </c>
      <c r="D105" s="117">
        <v>1522</v>
      </c>
      <c r="E105" s="117">
        <f t="shared" si="14"/>
        <v>-148</v>
      </c>
      <c r="F105" s="98">
        <f t="shared" si="15"/>
        <v>-0.08862275449101796</v>
      </c>
    </row>
    <row r="106" spans="1:6" ht="18" customHeight="1">
      <c r="A106" s="99">
        <v>7</v>
      </c>
      <c r="B106" s="100" t="s">
        <v>233</v>
      </c>
      <c r="C106" s="117">
        <v>5118</v>
      </c>
      <c r="D106" s="117">
        <v>4833</v>
      </c>
      <c r="E106" s="117">
        <f t="shared" si="14"/>
        <v>-285</v>
      </c>
      <c r="F106" s="98">
        <f t="shared" si="15"/>
        <v>-0.05568581477139507</v>
      </c>
    </row>
    <row r="107" spans="1:6" ht="18" customHeight="1">
      <c r="A107" s="99">
        <v>8</v>
      </c>
      <c r="B107" s="100" t="s">
        <v>234</v>
      </c>
      <c r="C107" s="117">
        <v>78</v>
      </c>
      <c r="D107" s="117">
        <v>83</v>
      </c>
      <c r="E107" s="117">
        <f t="shared" si="14"/>
        <v>5</v>
      </c>
      <c r="F107" s="98">
        <f t="shared" si="15"/>
        <v>0.0641025641025641</v>
      </c>
    </row>
    <row r="108" spans="1:6" ht="18" customHeight="1">
      <c r="A108" s="99">
        <v>9</v>
      </c>
      <c r="B108" s="100" t="s">
        <v>235</v>
      </c>
      <c r="C108" s="117">
        <v>590</v>
      </c>
      <c r="D108" s="117">
        <v>590</v>
      </c>
      <c r="E108" s="117">
        <f t="shared" si="14"/>
        <v>0</v>
      </c>
      <c r="F108" s="98">
        <f t="shared" si="15"/>
        <v>0</v>
      </c>
    </row>
    <row r="109" spans="1:6" ht="18" customHeight="1">
      <c r="A109" s="99">
        <v>10</v>
      </c>
      <c r="B109" s="100" t="s">
        <v>236</v>
      </c>
      <c r="C109" s="117">
        <v>421</v>
      </c>
      <c r="D109" s="117">
        <v>471</v>
      </c>
      <c r="E109" s="117">
        <f t="shared" si="14"/>
        <v>50</v>
      </c>
      <c r="F109" s="98">
        <f t="shared" si="15"/>
        <v>0.1187648456057007</v>
      </c>
    </row>
    <row r="110" spans="1:6" ht="18" customHeight="1">
      <c r="A110" s="99">
        <v>11</v>
      </c>
      <c r="B110" s="100" t="s">
        <v>237</v>
      </c>
      <c r="C110" s="117">
        <v>0</v>
      </c>
      <c r="D110" s="117">
        <v>0</v>
      </c>
      <c r="E110" s="117">
        <f t="shared" si="14"/>
        <v>0</v>
      </c>
      <c r="F110" s="98">
        <f t="shared" si="15"/>
        <v>0</v>
      </c>
    </row>
    <row r="111" spans="1:6" ht="18" customHeight="1">
      <c r="A111" s="101"/>
      <c r="B111" s="102" t="s">
        <v>253</v>
      </c>
      <c r="C111" s="118">
        <f>SUM(C100:C110)</f>
        <v>15856</v>
      </c>
      <c r="D111" s="118">
        <f>SUM(D100:D110)</f>
        <v>14888</v>
      </c>
      <c r="E111" s="118">
        <f t="shared" si="14"/>
        <v>-968</v>
      </c>
      <c r="F111" s="104">
        <f t="shared" si="15"/>
        <v>-0.06104944500504541</v>
      </c>
    </row>
    <row r="112" spans="1:6" ht="18" customHeight="1">
      <c r="A112" s="94" t="s">
        <v>239</v>
      </c>
      <c r="B112" s="95" t="s">
        <v>254</v>
      </c>
      <c r="C112" s="97"/>
      <c r="D112" s="97"/>
      <c r="E112" s="97"/>
      <c r="F112" s="98"/>
    </row>
    <row r="113" spans="1:6" ht="18" customHeight="1">
      <c r="A113" s="99">
        <v>1</v>
      </c>
      <c r="B113" s="100" t="s">
        <v>227</v>
      </c>
      <c r="C113" s="117">
        <v>32145</v>
      </c>
      <c r="D113" s="117">
        <v>30298</v>
      </c>
      <c r="E113" s="117">
        <f aca="true" t="shared" si="16" ref="E113:E124">D113-C113</f>
        <v>-1847</v>
      </c>
      <c r="F113" s="98">
        <f aca="true" t="shared" si="17" ref="F113:F124">IF(C113=0,0,E113/C113)</f>
        <v>-0.05745839166277804</v>
      </c>
    </row>
    <row r="114" spans="1:6" ht="18" customHeight="1">
      <c r="A114" s="99">
        <v>2</v>
      </c>
      <c r="B114" s="100" t="s">
        <v>228</v>
      </c>
      <c r="C114" s="117">
        <v>3534</v>
      </c>
      <c r="D114" s="117">
        <v>3722</v>
      </c>
      <c r="E114" s="117">
        <f t="shared" si="16"/>
        <v>188</v>
      </c>
      <c r="F114" s="98">
        <f t="shared" si="17"/>
        <v>0.05319750990379174</v>
      </c>
    </row>
    <row r="115" spans="1:6" ht="18" customHeight="1">
      <c r="A115" s="99">
        <v>3</v>
      </c>
      <c r="B115" s="100" t="s">
        <v>229</v>
      </c>
      <c r="C115" s="117">
        <v>6696</v>
      </c>
      <c r="D115" s="117">
        <v>6979</v>
      </c>
      <c r="E115" s="117">
        <f t="shared" si="16"/>
        <v>283</v>
      </c>
      <c r="F115" s="98">
        <f t="shared" si="17"/>
        <v>0.04226403823178017</v>
      </c>
    </row>
    <row r="116" spans="1:6" ht="18" customHeight="1">
      <c r="A116" s="99">
        <v>4</v>
      </c>
      <c r="B116" s="100" t="s">
        <v>230</v>
      </c>
      <c r="C116" s="117">
        <v>2192</v>
      </c>
      <c r="D116" s="117">
        <v>3165</v>
      </c>
      <c r="E116" s="117">
        <f t="shared" si="16"/>
        <v>973</v>
      </c>
      <c r="F116" s="98">
        <f t="shared" si="17"/>
        <v>0.4438868613138686</v>
      </c>
    </row>
    <row r="117" spans="1:6" ht="18" customHeight="1">
      <c r="A117" s="99">
        <v>5</v>
      </c>
      <c r="B117" s="100" t="s">
        <v>231</v>
      </c>
      <c r="C117" s="117">
        <v>54</v>
      </c>
      <c r="D117" s="117">
        <v>34</v>
      </c>
      <c r="E117" s="117">
        <f t="shared" si="16"/>
        <v>-20</v>
      </c>
      <c r="F117" s="98">
        <f t="shared" si="17"/>
        <v>-0.37037037037037035</v>
      </c>
    </row>
    <row r="118" spans="1:6" ht="18" customHeight="1">
      <c r="A118" s="99">
        <v>6</v>
      </c>
      <c r="B118" s="100" t="s">
        <v>232</v>
      </c>
      <c r="C118" s="117">
        <v>6858</v>
      </c>
      <c r="D118" s="117">
        <v>5662</v>
      </c>
      <c r="E118" s="117">
        <f t="shared" si="16"/>
        <v>-1196</v>
      </c>
      <c r="F118" s="98">
        <f t="shared" si="17"/>
        <v>-0.17439486730825313</v>
      </c>
    </row>
    <row r="119" spans="1:6" ht="18" customHeight="1">
      <c r="A119" s="99">
        <v>7</v>
      </c>
      <c r="B119" s="100" t="s">
        <v>233</v>
      </c>
      <c r="C119" s="117">
        <v>19814</v>
      </c>
      <c r="D119" s="117">
        <v>18917</v>
      </c>
      <c r="E119" s="117">
        <f t="shared" si="16"/>
        <v>-897</v>
      </c>
      <c r="F119" s="98">
        <f t="shared" si="17"/>
        <v>-0.04527102049056223</v>
      </c>
    </row>
    <row r="120" spans="1:6" ht="18" customHeight="1">
      <c r="A120" s="99">
        <v>8</v>
      </c>
      <c r="B120" s="100" t="s">
        <v>234</v>
      </c>
      <c r="C120" s="117">
        <v>267</v>
      </c>
      <c r="D120" s="117">
        <v>415</v>
      </c>
      <c r="E120" s="117">
        <f t="shared" si="16"/>
        <v>148</v>
      </c>
      <c r="F120" s="98">
        <f t="shared" si="17"/>
        <v>0.5543071161048689</v>
      </c>
    </row>
    <row r="121" spans="1:6" ht="18" customHeight="1">
      <c r="A121" s="99">
        <v>9</v>
      </c>
      <c r="B121" s="100" t="s">
        <v>235</v>
      </c>
      <c r="C121" s="117">
        <v>2335</v>
      </c>
      <c r="D121" s="117">
        <v>2636</v>
      </c>
      <c r="E121" s="117">
        <f t="shared" si="16"/>
        <v>301</v>
      </c>
      <c r="F121" s="98">
        <f t="shared" si="17"/>
        <v>0.12890792291220557</v>
      </c>
    </row>
    <row r="122" spans="1:6" ht="18" customHeight="1">
      <c r="A122" s="99">
        <v>10</v>
      </c>
      <c r="B122" s="100" t="s">
        <v>236</v>
      </c>
      <c r="C122" s="117">
        <v>3076</v>
      </c>
      <c r="D122" s="117">
        <v>3444</v>
      </c>
      <c r="E122" s="117">
        <f t="shared" si="16"/>
        <v>368</v>
      </c>
      <c r="F122" s="98">
        <f t="shared" si="17"/>
        <v>0.11963589076723016</v>
      </c>
    </row>
    <row r="123" spans="1:6" ht="18" customHeight="1">
      <c r="A123" s="99">
        <v>11</v>
      </c>
      <c r="B123" s="100" t="s">
        <v>237</v>
      </c>
      <c r="C123" s="117">
        <v>0</v>
      </c>
      <c r="D123" s="117">
        <v>0</v>
      </c>
      <c r="E123" s="117">
        <f t="shared" si="16"/>
        <v>0</v>
      </c>
      <c r="F123" s="98">
        <f t="shared" si="17"/>
        <v>0</v>
      </c>
    </row>
    <row r="124" spans="1:6" ht="18" customHeight="1">
      <c r="A124" s="101"/>
      <c r="B124" s="102" t="s">
        <v>255</v>
      </c>
      <c r="C124" s="118">
        <f>SUM(C113:C123)</f>
        <v>76971</v>
      </c>
      <c r="D124" s="118">
        <f>SUM(D113:D123)</f>
        <v>75272</v>
      </c>
      <c r="E124" s="118">
        <f t="shared" si="16"/>
        <v>-1699</v>
      </c>
      <c r="F124" s="104">
        <f t="shared" si="17"/>
        <v>-0.022073248366267815</v>
      </c>
    </row>
    <row r="125" spans="1:6" ht="18" customHeight="1">
      <c r="A125" s="94" t="s">
        <v>256</v>
      </c>
      <c r="B125" s="95" t="s">
        <v>257</v>
      </c>
      <c r="C125" s="97"/>
      <c r="D125" s="97"/>
      <c r="E125" s="97"/>
      <c r="F125" s="98"/>
    </row>
    <row r="126" spans="1:6" ht="18" customHeight="1">
      <c r="A126" s="99">
        <v>1</v>
      </c>
      <c r="B126" s="100" t="s">
        <v>227</v>
      </c>
      <c r="C126" s="117">
        <v>49817</v>
      </c>
      <c r="D126" s="117">
        <v>53834</v>
      </c>
      <c r="E126" s="117">
        <f aca="true" t="shared" si="18" ref="E126:E137">D126-C126</f>
        <v>4017</v>
      </c>
      <c r="F126" s="98">
        <f aca="true" t="shared" si="19" ref="F126:F137">IF(C126=0,0,E126/C126)</f>
        <v>0.0806351245558745</v>
      </c>
    </row>
    <row r="127" spans="1:6" ht="18" customHeight="1">
      <c r="A127" s="99">
        <v>2</v>
      </c>
      <c r="B127" s="100" t="s">
        <v>228</v>
      </c>
      <c r="C127" s="117">
        <v>6352</v>
      </c>
      <c r="D127" s="117">
        <v>8295</v>
      </c>
      <c r="E127" s="117">
        <f t="shared" si="18"/>
        <v>1943</v>
      </c>
      <c r="F127" s="98">
        <f t="shared" si="19"/>
        <v>0.30588790931989923</v>
      </c>
    </row>
    <row r="128" spans="1:6" ht="18" customHeight="1">
      <c r="A128" s="99">
        <v>3</v>
      </c>
      <c r="B128" s="100" t="s">
        <v>229</v>
      </c>
      <c r="C128" s="117">
        <v>8913</v>
      </c>
      <c r="D128" s="117">
        <v>8826</v>
      </c>
      <c r="E128" s="117">
        <f t="shared" si="18"/>
        <v>-87</v>
      </c>
      <c r="F128" s="98">
        <f t="shared" si="19"/>
        <v>-0.009761023224503534</v>
      </c>
    </row>
    <row r="129" spans="1:6" ht="18" customHeight="1">
      <c r="A129" s="99">
        <v>4</v>
      </c>
      <c r="B129" s="100" t="s">
        <v>230</v>
      </c>
      <c r="C129" s="117">
        <v>16769</v>
      </c>
      <c r="D129" s="117">
        <v>20914</v>
      </c>
      <c r="E129" s="117">
        <f t="shared" si="18"/>
        <v>4145</v>
      </c>
      <c r="F129" s="98">
        <f t="shared" si="19"/>
        <v>0.2471823006738625</v>
      </c>
    </row>
    <row r="130" spans="1:6" ht="18" customHeight="1">
      <c r="A130" s="99">
        <v>5</v>
      </c>
      <c r="B130" s="100" t="s">
        <v>231</v>
      </c>
      <c r="C130" s="117">
        <v>109</v>
      </c>
      <c r="D130" s="117">
        <v>178</v>
      </c>
      <c r="E130" s="117">
        <f t="shared" si="18"/>
        <v>69</v>
      </c>
      <c r="F130" s="98">
        <f t="shared" si="19"/>
        <v>0.6330275229357798</v>
      </c>
    </row>
    <row r="131" spans="1:6" ht="18" customHeight="1">
      <c r="A131" s="99">
        <v>6</v>
      </c>
      <c r="B131" s="100" t="s">
        <v>232</v>
      </c>
      <c r="C131" s="117">
        <v>43912</v>
      </c>
      <c r="D131" s="117">
        <v>44700</v>
      </c>
      <c r="E131" s="117">
        <f t="shared" si="18"/>
        <v>788</v>
      </c>
      <c r="F131" s="98">
        <f t="shared" si="19"/>
        <v>0.017944980870832575</v>
      </c>
    </row>
    <row r="132" spans="1:6" ht="18" customHeight="1">
      <c r="A132" s="99">
        <v>7</v>
      </c>
      <c r="B132" s="100" t="s">
        <v>233</v>
      </c>
      <c r="C132" s="117">
        <v>99627</v>
      </c>
      <c r="D132" s="117">
        <v>113264</v>
      </c>
      <c r="E132" s="117">
        <f t="shared" si="18"/>
        <v>13637</v>
      </c>
      <c r="F132" s="98">
        <f t="shared" si="19"/>
        <v>0.1368805645056059</v>
      </c>
    </row>
    <row r="133" spans="1:6" ht="18" customHeight="1">
      <c r="A133" s="99">
        <v>8</v>
      </c>
      <c r="B133" s="100" t="s">
        <v>234</v>
      </c>
      <c r="C133" s="117">
        <v>2204</v>
      </c>
      <c r="D133" s="117">
        <v>2041</v>
      </c>
      <c r="E133" s="117">
        <f t="shared" si="18"/>
        <v>-163</v>
      </c>
      <c r="F133" s="98">
        <f t="shared" si="19"/>
        <v>-0.07395644283121597</v>
      </c>
    </row>
    <row r="134" spans="1:6" ht="18" customHeight="1">
      <c r="A134" s="99">
        <v>9</v>
      </c>
      <c r="B134" s="100" t="s">
        <v>235</v>
      </c>
      <c r="C134" s="117">
        <v>21748</v>
      </c>
      <c r="D134" s="117">
        <v>25136</v>
      </c>
      <c r="E134" s="117">
        <f t="shared" si="18"/>
        <v>3388</v>
      </c>
      <c r="F134" s="98">
        <f t="shared" si="19"/>
        <v>0.15578443994850102</v>
      </c>
    </row>
    <row r="135" spans="1:6" ht="18" customHeight="1">
      <c r="A135" s="99">
        <v>10</v>
      </c>
      <c r="B135" s="100" t="s">
        <v>236</v>
      </c>
      <c r="C135" s="117">
        <v>3342</v>
      </c>
      <c r="D135" s="117">
        <v>4973</v>
      </c>
      <c r="E135" s="117">
        <f t="shared" si="18"/>
        <v>1631</v>
      </c>
      <c r="F135" s="98">
        <f t="shared" si="19"/>
        <v>0.48803111909036506</v>
      </c>
    </row>
    <row r="136" spans="1:6" ht="18" customHeight="1">
      <c r="A136" s="99">
        <v>11</v>
      </c>
      <c r="B136" s="100" t="s">
        <v>237</v>
      </c>
      <c r="C136" s="117">
        <v>0</v>
      </c>
      <c r="D136" s="117">
        <v>0</v>
      </c>
      <c r="E136" s="117">
        <f t="shared" si="18"/>
        <v>0</v>
      </c>
      <c r="F136" s="98">
        <f t="shared" si="19"/>
        <v>0</v>
      </c>
    </row>
    <row r="137" spans="1:6" ht="18" customHeight="1">
      <c r="A137" s="101"/>
      <c r="B137" s="102" t="s">
        <v>258</v>
      </c>
      <c r="C137" s="118">
        <f>SUM(C126:C136)</f>
        <v>252793</v>
      </c>
      <c r="D137" s="118">
        <f>SUM(D126:D136)</f>
        <v>282161</v>
      </c>
      <c r="E137" s="118">
        <f t="shared" si="18"/>
        <v>29368</v>
      </c>
      <c r="F137" s="104">
        <f t="shared" si="19"/>
        <v>0.1161741029221537</v>
      </c>
    </row>
    <row r="138" spans="1:6" ht="18" customHeight="1">
      <c r="A138" s="665" t="s">
        <v>259</v>
      </c>
      <c r="B138" s="667" t="s">
        <v>260</v>
      </c>
      <c r="C138" s="669"/>
      <c r="D138" s="670"/>
      <c r="E138" s="670"/>
      <c r="F138" s="671"/>
    </row>
    <row r="139" spans="1:6" ht="18" customHeight="1">
      <c r="A139" s="666"/>
      <c r="B139" s="668"/>
      <c r="C139" s="672"/>
      <c r="D139" s="673"/>
      <c r="E139" s="673"/>
      <c r="F139" s="674"/>
    </row>
    <row r="140" spans="1:6" ht="18" customHeight="1">
      <c r="A140" s="94"/>
      <c r="B140" s="95"/>
      <c r="C140" s="96"/>
      <c r="D140" s="96"/>
      <c r="E140" s="96"/>
      <c r="F140" s="96"/>
    </row>
    <row r="141" spans="1:6" ht="18" customHeight="1">
      <c r="A141" s="94" t="s">
        <v>225</v>
      </c>
      <c r="B141" s="95" t="s">
        <v>261</v>
      </c>
      <c r="C141" s="97"/>
      <c r="D141" s="97"/>
      <c r="E141" s="97"/>
      <c r="F141" s="98"/>
    </row>
    <row r="142" spans="1:6" ht="18" customHeight="1">
      <c r="A142" s="99">
        <v>1</v>
      </c>
      <c r="B142" s="100" t="s">
        <v>227</v>
      </c>
      <c r="C142" s="97">
        <v>16680735</v>
      </c>
      <c r="D142" s="97">
        <v>32819293</v>
      </c>
      <c r="E142" s="97">
        <f aca="true" t="shared" si="20" ref="E142:E153">D142-C142</f>
        <v>16138558</v>
      </c>
      <c r="F142" s="98">
        <f aca="true" t="shared" si="21" ref="F142:F153">IF(C142=0,0,E142/C142)</f>
        <v>0.967496815937667</v>
      </c>
    </row>
    <row r="143" spans="1:6" ht="18" customHeight="1">
      <c r="A143" s="99">
        <v>2</v>
      </c>
      <c r="B143" s="100" t="s">
        <v>228</v>
      </c>
      <c r="C143" s="97">
        <v>2043210</v>
      </c>
      <c r="D143" s="97">
        <v>4717660</v>
      </c>
      <c r="E143" s="97">
        <f t="shared" si="20"/>
        <v>2674450</v>
      </c>
      <c r="F143" s="98">
        <f t="shared" si="21"/>
        <v>1.3089452381301971</v>
      </c>
    </row>
    <row r="144" spans="1:6" ht="18" customHeight="1">
      <c r="A144" s="99">
        <v>3</v>
      </c>
      <c r="B144" s="100" t="s">
        <v>229</v>
      </c>
      <c r="C144" s="97">
        <v>4334336</v>
      </c>
      <c r="D144" s="97">
        <v>7267414</v>
      </c>
      <c r="E144" s="97">
        <f t="shared" si="20"/>
        <v>2933078</v>
      </c>
      <c r="F144" s="98">
        <f t="shared" si="21"/>
        <v>0.6767075741243872</v>
      </c>
    </row>
    <row r="145" spans="1:6" ht="18" customHeight="1">
      <c r="A145" s="99">
        <v>4</v>
      </c>
      <c r="B145" s="100" t="s">
        <v>230</v>
      </c>
      <c r="C145" s="97">
        <v>9691446</v>
      </c>
      <c r="D145" s="97">
        <v>13553180</v>
      </c>
      <c r="E145" s="97">
        <f t="shared" si="20"/>
        <v>3861734</v>
      </c>
      <c r="F145" s="98">
        <f t="shared" si="21"/>
        <v>0.39846829874509954</v>
      </c>
    </row>
    <row r="146" spans="1:6" ht="18" customHeight="1">
      <c r="A146" s="99">
        <v>5</v>
      </c>
      <c r="B146" s="100" t="s">
        <v>231</v>
      </c>
      <c r="C146" s="97">
        <v>78401</v>
      </c>
      <c r="D146" s="97">
        <v>139162</v>
      </c>
      <c r="E146" s="97">
        <f t="shared" si="20"/>
        <v>60761</v>
      </c>
      <c r="F146" s="98">
        <f t="shared" si="21"/>
        <v>0.7750028698613538</v>
      </c>
    </row>
    <row r="147" spans="1:6" ht="18" customHeight="1">
      <c r="A147" s="99">
        <v>6</v>
      </c>
      <c r="B147" s="100" t="s">
        <v>232</v>
      </c>
      <c r="C147" s="97">
        <v>12563502</v>
      </c>
      <c r="D147" s="97">
        <v>19646513</v>
      </c>
      <c r="E147" s="97">
        <f t="shared" si="20"/>
        <v>7083011</v>
      </c>
      <c r="F147" s="98">
        <f t="shared" si="21"/>
        <v>0.5637768036332544</v>
      </c>
    </row>
    <row r="148" spans="1:6" ht="18" customHeight="1">
      <c r="A148" s="99">
        <v>7</v>
      </c>
      <c r="B148" s="100" t="s">
        <v>233</v>
      </c>
      <c r="C148" s="97">
        <v>27074908</v>
      </c>
      <c r="D148" s="97">
        <v>40295856</v>
      </c>
      <c r="E148" s="97">
        <f t="shared" si="20"/>
        <v>13220948</v>
      </c>
      <c r="F148" s="98">
        <f t="shared" si="21"/>
        <v>0.4883099879785372</v>
      </c>
    </row>
    <row r="149" spans="1:6" ht="18" customHeight="1">
      <c r="A149" s="99">
        <v>8</v>
      </c>
      <c r="B149" s="100" t="s">
        <v>234</v>
      </c>
      <c r="C149" s="97">
        <v>1724117</v>
      </c>
      <c r="D149" s="97">
        <v>2104493</v>
      </c>
      <c r="E149" s="97">
        <f t="shared" si="20"/>
        <v>380376</v>
      </c>
      <c r="F149" s="98">
        <f t="shared" si="21"/>
        <v>0.2206207583360062</v>
      </c>
    </row>
    <row r="150" spans="1:6" ht="18" customHeight="1">
      <c r="A150" s="99">
        <v>9</v>
      </c>
      <c r="B150" s="100" t="s">
        <v>235</v>
      </c>
      <c r="C150" s="97">
        <v>16880762</v>
      </c>
      <c r="D150" s="97">
        <v>21973122</v>
      </c>
      <c r="E150" s="97">
        <f t="shared" si="20"/>
        <v>5092360</v>
      </c>
      <c r="F150" s="98">
        <f t="shared" si="21"/>
        <v>0.3016664769043009</v>
      </c>
    </row>
    <row r="151" spans="1:6" ht="18" customHeight="1">
      <c r="A151" s="99">
        <v>10</v>
      </c>
      <c r="B151" s="100" t="s">
        <v>236</v>
      </c>
      <c r="C151" s="97">
        <v>2799758</v>
      </c>
      <c r="D151" s="97">
        <v>5841780</v>
      </c>
      <c r="E151" s="97">
        <f t="shared" si="20"/>
        <v>3042022</v>
      </c>
      <c r="F151" s="98">
        <f t="shared" si="21"/>
        <v>1.0865303358361686</v>
      </c>
    </row>
    <row r="152" spans="1:6" ht="18" customHeight="1">
      <c r="A152" s="99">
        <v>11</v>
      </c>
      <c r="B152" s="100" t="s">
        <v>237</v>
      </c>
      <c r="C152" s="97">
        <v>0</v>
      </c>
      <c r="D152" s="97">
        <v>0</v>
      </c>
      <c r="E152" s="97">
        <f t="shared" si="20"/>
        <v>0</v>
      </c>
      <c r="F152" s="98">
        <f t="shared" si="21"/>
        <v>0</v>
      </c>
    </row>
    <row r="153" spans="1:6" ht="33.75" customHeight="1">
      <c r="A153" s="101"/>
      <c r="B153" s="102" t="s">
        <v>262</v>
      </c>
      <c r="C153" s="103">
        <f>SUM(C142:C152)</f>
        <v>93871175</v>
      </c>
      <c r="D153" s="103">
        <f>SUM(D142:D152)</f>
        <v>148358473</v>
      </c>
      <c r="E153" s="103">
        <f t="shared" si="20"/>
        <v>54487298</v>
      </c>
      <c r="F153" s="104">
        <f t="shared" si="21"/>
        <v>0.5804475974653561</v>
      </c>
    </row>
    <row r="154" spans="1:6" ht="18" customHeight="1">
      <c r="A154" s="94" t="s">
        <v>239</v>
      </c>
      <c r="B154" s="95" t="s">
        <v>263</v>
      </c>
      <c r="C154" s="97"/>
      <c r="D154" s="97"/>
      <c r="E154" s="97"/>
      <c r="F154" s="98"/>
    </row>
    <row r="155" spans="1:6" ht="18" customHeight="1">
      <c r="A155" s="99">
        <v>1</v>
      </c>
      <c r="B155" s="100" t="s">
        <v>227</v>
      </c>
      <c r="C155" s="97">
        <v>2014871</v>
      </c>
      <c r="D155" s="97">
        <v>4265870</v>
      </c>
      <c r="E155" s="97">
        <f aca="true" t="shared" si="22" ref="E155:E166">D155-C155</f>
        <v>2250999</v>
      </c>
      <c r="F155" s="98">
        <f aca="true" t="shared" si="23" ref="F155:F166">IF(C155=0,0,E155/C155)</f>
        <v>1.1171926143162516</v>
      </c>
    </row>
    <row r="156" spans="1:6" ht="18" customHeight="1">
      <c r="A156" s="99">
        <v>2</v>
      </c>
      <c r="B156" s="100" t="s">
        <v>228</v>
      </c>
      <c r="C156" s="97">
        <v>364427</v>
      </c>
      <c r="D156" s="97">
        <v>723988</v>
      </c>
      <c r="E156" s="97">
        <f t="shared" si="22"/>
        <v>359561</v>
      </c>
      <c r="F156" s="98">
        <f t="shared" si="23"/>
        <v>0.9866475316044091</v>
      </c>
    </row>
    <row r="157" spans="1:6" ht="18" customHeight="1">
      <c r="A157" s="99">
        <v>3</v>
      </c>
      <c r="B157" s="100" t="s">
        <v>229</v>
      </c>
      <c r="C157" s="97">
        <v>787347</v>
      </c>
      <c r="D157" s="97">
        <v>1187722</v>
      </c>
      <c r="E157" s="97">
        <f t="shared" si="22"/>
        <v>400375</v>
      </c>
      <c r="F157" s="98">
        <f t="shared" si="23"/>
        <v>0.5085114949317138</v>
      </c>
    </row>
    <row r="158" spans="1:6" ht="18" customHeight="1">
      <c r="A158" s="99">
        <v>4</v>
      </c>
      <c r="B158" s="100" t="s">
        <v>230</v>
      </c>
      <c r="C158" s="97">
        <v>1546136</v>
      </c>
      <c r="D158" s="97">
        <v>2085644</v>
      </c>
      <c r="E158" s="97">
        <f t="shared" si="22"/>
        <v>539508</v>
      </c>
      <c r="F158" s="98">
        <f t="shared" si="23"/>
        <v>0.34893954994903426</v>
      </c>
    </row>
    <row r="159" spans="1:6" ht="18" customHeight="1">
      <c r="A159" s="99">
        <v>5</v>
      </c>
      <c r="B159" s="100" t="s">
        <v>231</v>
      </c>
      <c r="C159" s="97">
        <v>54701</v>
      </c>
      <c r="D159" s="97">
        <v>61494</v>
      </c>
      <c r="E159" s="97">
        <f t="shared" si="22"/>
        <v>6793</v>
      </c>
      <c r="F159" s="98">
        <f t="shared" si="23"/>
        <v>0.12418420138571507</v>
      </c>
    </row>
    <row r="160" spans="1:6" ht="18" customHeight="1">
      <c r="A160" s="99">
        <v>6</v>
      </c>
      <c r="B160" s="100" t="s">
        <v>232</v>
      </c>
      <c r="C160" s="97">
        <v>9383173</v>
      </c>
      <c r="D160" s="97">
        <v>14204712</v>
      </c>
      <c r="E160" s="97">
        <f t="shared" si="22"/>
        <v>4821539</v>
      </c>
      <c r="F160" s="98">
        <f t="shared" si="23"/>
        <v>0.5138495261677473</v>
      </c>
    </row>
    <row r="161" spans="1:6" ht="18" customHeight="1">
      <c r="A161" s="99">
        <v>7</v>
      </c>
      <c r="B161" s="100" t="s">
        <v>233</v>
      </c>
      <c r="C161" s="97">
        <v>13553270</v>
      </c>
      <c r="D161" s="97">
        <v>19453320</v>
      </c>
      <c r="E161" s="97">
        <f t="shared" si="22"/>
        <v>5900050</v>
      </c>
      <c r="F161" s="98">
        <f t="shared" si="23"/>
        <v>0.4353229884743682</v>
      </c>
    </row>
    <row r="162" spans="1:6" ht="18" customHeight="1">
      <c r="A162" s="99">
        <v>8</v>
      </c>
      <c r="B162" s="100" t="s">
        <v>234</v>
      </c>
      <c r="C162" s="97">
        <v>1213352</v>
      </c>
      <c r="D162" s="97">
        <v>1737225</v>
      </c>
      <c r="E162" s="97">
        <f t="shared" si="22"/>
        <v>523873</v>
      </c>
      <c r="F162" s="98">
        <f t="shared" si="23"/>
        <v>0.4317568191258596</v>
      </c>
    </row>
    <row r="163" spans="1:6" ht="18" customHeight="1">
      <c r="A163" s="99">
        <v>9</v>
      </c>
      <c r="B163" s="100" t="s">
        <v>235</v>
      </c>
      <c r="C163" s="97">
        <v>212238</v>
      </c>
      <c r="D163" s="97">
        <v>432348</v>
      </c>
      <c r="E163" s="97">
        <f t="shared" si="22"/>
        <v>220110</v>
      </c>
      <c r="F163" s="98">
        <f t="shared" si="23"/>
        <v>1.0370904362084075</v>
      </c>
    </row>
    <row r="164" spans="1:6" ht="18" customHeight="1">
      <c r="A164" s="99">
        <v>10</v>
      </c>
      <c r="B164" s="100" t="s">
        <v>236</v>
      </c>
      <c r="C164" s="97">
        <v>433356</v>
      </c>
      <c r="D164" s="97">
        <v>936037</v>
      </c>
      <c r="E164" s="97">
        <f t="shared" si="22"/>
        <v>502681</v>
      </c>
      <c r="F164" s="98">
        <f t="shared" si="23"/>
        <v>1.1599724014436168</v>
      </c>
    </row>
    <row r="165" spans="1:6" ht="18" customHeight="1">
      <c r="A165" s="99">
        <v>11</v>
      </c>
      <c r="B165" s="100" t="s">
        <v>237</v>
      </c>
      <c r="C165" s="97">
        <v>0</v>
      </c>
      <c r="D165" s="97">
        <v>0</v>
      </c>
      <c r="E165" s="97">
        <f t="shared" si="22"/>
        <v>0</v>
      </c>
      <c r="F165" s="98">
        <f t="shared" si="23"/>
        <v>0</v>
      </c>
    </row>
    <row r="166" spans="1:6" ht="33.75" customHeight="1">
      <c r="A166" s="101"/>
      <c r="B166" s="102" t="s">
        <v>264</v>
      </c>
      <c r="C166" s="103">
        <f>SUM(C155:C165)</f>
        <v>29562871</v>
      </c>
      <c r="D166" s="103">
        <f>SUM(D155:D165)</f>
        <v>45088360</v>
      </c>
      <c r="E166" s="103">
        <f t="shared" si="22"/>
        <v>15525489</v>
      </c>
      <c r="F166" s="104">
        <f t="shared" si="23"/>
        <v>0.5251685128957875</v>
      </c>
    </row>
    <row r="167" spans="1:6" ht="18" customHeight="1">
      <c r="A167" s="94" t="s">
        <v>256</v>
      </c>
      <c r="B167" s="95" t="s">
        <v>265</v>
      </c>
      <c r="C167" s="97"/>
      <c r="D167" s="97"/>
      <c r="E167" s="97"/>
      <c r="F167" s="98"/>
    </row>
    <row r="168" spans="1:6" ht="18" customHeight="1">
      <c r="A168" s="99">
        <v>1</v>
      </c>
      <c r="B168" s="100" t="s">
        <v>227</v>
      </c>
      <c r="C168" s="117">
        <v>5114</v>
      </c>
      <c r="D168" s="117">
        <v>5717</v>
      </c>
      <c r="E168" s="117">
        <f aca="true" t="shared" si="24" ref="E168:E179">D168-C168</f>
        <v>603</v>
      </c>
      <c r="F168" s="98">
        <f aca="true" t="shared" si="25" ref="F168:F179">IF(C168=0,0,E168/C168)</f>
        <v>0.11791161517403206</v>
      </c>
    </row>
    <row r="169" spans="1:6" ht="18" customHeight="1">
      <c r="A169" s="99">
        <v>2</v>
      </c>
      <c r="B169" s="100" t="s">
        <v>228</v>
      </c>
      <c r="C169" s="117">
        <v>515</v>
      </c>
      <c r="D169" s="117">
        <v>709</v>
      </c>
      <c r="E169" s="117">
        <f t="shared" si="24"/>
        <v>194</v>
      </c>
      <c r="F169" s="98">
        <f t="shared" si="25"/>
        <v>0.3766990291262136</v>
      </c>
    </row>
    <row r="170" spans="1:6" ht="18" customHeight="1">
      <c r="A170" s="99">
        <v>3</v>
      </c>
      <c r="B170" s="100" t="s">
        <v>229</v>
      </c>
      <c r="C170" s="117">
        <v>1895</v>
      </c>
      <c r="D170" s="117">
        <v>2226</v>
      </c>
      <c r="E170" s="117">
        <f t="shared" si="24"/>
        <v>331</v>
      </c>
      <c r="F170" s="98">
        <f t="shared" si="25"/>
        <v>0.17467018469656992</v>
      </c>
    </row>
    <row r="171" spans="1:6" ht="18" customHeight="1">
      <c r="A171" s="99">
        <v>4</v>
      </c>
      <c r="B171" s="100" t="s">
        <v>230</v>
      </c>
      <c r="C171" s="117">
        <v>5886</v>
      </c>
      <c r="D171" s="117">
        <v>6696</v>
      </c>
      <c r="E171" s="117">
        <f t="shared" si="24"/>
        <v>810</v>
      </c>
      <c r="F171" s="98">
        <f t="shared" si="25"/>
        <v>0.13761467889908258</v>
      </c>
    </row>
    <row r="172" spans="1:6" ht="18" customHeight="1">
      <c r="A172" s="99">
        <v>5</v>
      </c>
      <c r="B172" s="100" t="s">
        <v>231</v>
      </c>
      <c r="C172" s="117">
        <v>34</v>
      </c>
      <c r="D172" s="117">
        <v>51</v>
      </c>
      <c r="E172" s="117">
        <f t="shared" si="24"/>
        <v>17</v>
      </c>
      <c r="F172" s="98">
        <f t="shared" si="25"/>
        <v>0.5</v>
      </c>
    </row>
    <row r="173" spans="1:6" ht="18" customHeight="1">
      <c r="A173" s="99">
        <v>6</v>
      </c>
      <c r="B173" s="100" t="s">
        <v>232</v>
      </c>
      <c r="C173" s="117">
        <v>4966</v>
      </c>
      <c r="D173" s="117">
        <v>4672</v>
      </c>
      <c r="E173" s="117">
        <f t="shared" si="24"/>
        <v>-294</v>
      </c>
      <c r="F173" s="98">
        <f t="shared" si="25"/>
        <v>-0.05920257752718486</v>
      </c>
    </row>
    <row r="174" spans="1:6" ht="18" customHeight="1">
      <c r="A174" s="99">
        <v>7</v>
      </c>
      <c r="B174" s="100" t="s">
        <v>233</v>
      </c>
      <c r="C174" s="117">
        <v>9974</v>
      </c>
      <c r="D174" s="117">
        <v>10012</v>
      </c>
      <c r="E174" s="117">
        <f t="shared" si="24"/>
        <v>38</v>
      </c>
      <c r="F174" s="98">
        <f t="shared" si="25"/>
        <v>0.0038099057549629035</v>
      </c>
    </row>
    <row r="175" spans="1:6" ht="18" customHeight="1">
      <c r="A175" s="99">
        <v>8</v>
      </c>
      <c r="B175" s="100" t="s">
        <v>234</v>
      </c>
      <c r="C175" s="117">
        <v>894</v>
      </c>
      <c r="D175" s="117">
        <v>823</v>
      </c>
      <c r="E175" s="117">
        <f t="shared" si="24"/>
        <v>-71</v>
      </c>
      <c r="F175" s="98">
        <f t="shared" si="25"/>
        <v>-0.07941834451901567</v>
      </c>
    </row>
    <row r="176" spans="1:6" ht="18" customHeight="1">
      <c r="A176" s="99">
        <v>9</v>
      </c>
      <c r="B176" s="100" t="s">
        <v>235</v>
      </c>
      <c r="C176" s="117">
        <v>6694</v>
      </c>
      <c r="D176" s="117">
        <v>6691</v>
      </c>
      <c r="E176" s="117">
        <f t="shared" si="24"/>
        <v>-3</v>
      </c>
      <c r="F176" s="98">
        <f t="shared" si="25"/>
        <v>-0.00044816253361219</v>
      </c>
    </row>
    <row r="177" spans="1:6" ht="18" customHeight="1">
      <c r="A177" s="99">
        <v>10</v>
      </c>
      <c r="B177" s="100" t="s">
        <v>236</v>
      </c>
      <c r="C177" s="117">
        <v>1141</v>
      </c>
      <c r="D177" s="117">
        <v>1489</v>
      </c>
      <c r="E177" s="117">
        <f t="shared" si="24"/>
        <v>348</v>
      </c>
      <c r="F177" s="98">
        <f t="shared" si="25"/>
        <v>0.30499561787905344</v>
      </c>
    </row>
    <row r="178" spans="1:6" ht="18" customHeight="1">
      <c r="A178" s="99">
        <v>11</v>
      </c>
      <c r="B178" s="100" t="s">
        <v>237</v>
      </c>
      <c r="C178" s="117">
        <v>0</v>
      </c>
      <c r="D178" s="117">
        <v>0</v>
      </c>
      <c r="E178" s="117">
        <f t="shared" si="24"/>
        <v>0</v>
      </c>
      <c r="F178" s="98">
        <f t="shared" si="25"/>
        <v>0</v>
      </c>
    </row>
    <row r="179" spans="1:6" ht="33.75" customHeight="1">
      <c r="A179" s="101"/>
      <c r="B179" s="102" t="s">
        <v>266</v>
      </c>
      <c r="C179" s="118">
        <f>SUM(C168:C178)</f>
        <v>37113</v>
      </c>
      <c r="D179" s="118">
        <f>SUM(D168:D178)</f>
        <v>39086</v>
      </c>
      <c r="E179" s="118">
        <f t="shared" si="24"/>
        <v>1973</v>
      </c>
      <c r="F179" s="104">
        <f t="shared" si="25"/>
        <v>0.05316196481017433</v>
      </c>
    </row>
  </sheetData>
  <sheetProtection/>
  <mergeCells count="23"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39:A40"/>
    <mergeCell ref="B39:B40"/>
    <mergeCell ref="C39:F40"/>
    <mergeCell ref="A53:A54"/>
    <mergeCell ref="B53:B54"/>
    <mergeCell ref="C53:F54"/>
    <mergeCell ref="A2:F2"/>
    <mergeCell ref="A3:F3"/>
    <mergeCell ref="A4:F4"/>
    <mergeCell ref="A5:F5"/>
    <mergeCell ref="C9:F9"/>
    <mergeCell ref="A10:A11"/>
    <mergeCell ref="B10:B11"/>
    <mergeCell ref="C10:F11"/>
  </mergeCells>
  <printOptions horizontalCentered="1"/>
  <pageMargins left="0.25" right="0.25" top="0.5" bottom="0.5" header="0.25" footer="0.25"/>
  <pageSetup fitToHeight="3" fitToWidth="1" horizontalDpi="1200" verticalDpi="1200" orientation="portrait" paperSize="9" scale="64" r:id="rId1"/>
  <headerFooter alignWithMargins="0">
    <oddHeader>&amp;LOFFICE OF HEALTH CARE ACCESS&amp;CTWELVE MONTHS ACTUAL FILING&amp;RSTAMFORD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79"/>
  <sheetViews>
    <sheetView zoomScale="75" zoomScaleNormal="75" zoomScalePageLayoutView="0" workbookViewId="0" topLeftCell="A1">
      <selection activeCell="A1" sqref="A1"/>
    </sheetView>
  </sheetViews>
  <sheetFormatPr defaultColWidth="9.140625" defaultRowHeight="15" customHeight="1"/>
  <cols>
    <col min="1" max="1" width="8.8515625" style="119" bestFit="1" customWidth="1"/>
    <col min="2" max="2" width="54.8515625" style="119" customWidth="1"/>
    <col min="3" max="3" width="18.28125" style="120" customWidth="1"/>
    <col min="4" max="4" width="18.140625" style="119" customWidth="1"/>
    <col min="5" max="5" width="19.00390625" style="119" bestFit="1" customWidth="1"/>
    <col min="6" max="6" width="17.421875" style="119" customWidth="1"/>
    <col min="7" max="7" width="101.7109375" style="119" customWidth="1"/>
    <col min="8" max="16384" width="9.140625" style="119" customWidth="1"/>
  </cols>
  <sheetData>
    <row r="1" spans="1:7" ht="18" customHeight="1">
      <c r="A1" s="121"/>
      <c r="B1" s="121"/>
      <c r="C1" s="122"/>
      <c r="E1" s="123"/>
      <c r="F1" s="123"/>
      <c r="G1" s="124"/>
    </row>
    <row r="2" spans="1:7" ht="15.75" customHeight="1">
      <c r="A2" s="121"/>
      <c r="C2" s="123" t="s">
        <v>115</v>
      </c>
      <c r="E2" s="123"/>
      <c r="F2" s="123"/>
      <c r="G2" s="124"/>
    </row>
    <row r="3" spans="1:7" ht="15.75" customHeight="1">
      <c r="A3" s="121"/>
      <c r="C3" s="123" t="s">
        <v>116</v>
      </c>
      <c r="E3" s="123"/>
      <c r="F3" s="123"/>
      <c r="G3" s="124"/>
    </row>
    <row r="4" spans="1:7" ht="15.75" customHeight="1">
      <c r="A4" s="121"/>
      <c r="C4" s="123" t="s">
        <v>117</v>
      </c>
      <c r="E4" s="123"/>
      <c r="F4" s="123"/>
      <c r="G4" s="124"/>
    </row>
    <row r="5" spans="1:7" ht="15.75" customHeight="1">
      <c r="A5" s="121"/>
      <c r="C5" s="123" t="s">
        <v>267</v>
      </c>
      <c r="E5" s="121"/>
      <c r="F5" s="121"/>
      <c r="G5" s="124"/>
    </row>
    <row r="6" spans="1:7" ht="15.75" customHeight="1">
      <c r="A6" s="121"/>
      <c r="C6" s="123"/>
      <c r="E6" s="121"/>
      <c r="F6" s="121"/>
      <c r="G6" s="124"/>
    </row>
    <row r="7" spans="1:7" ht="15" customHeight="1">
      <c r="A7" s="125"/>
      <c r="C7" s="119"/>
      <c r="G7" s="124"/>
    </row>
    <row r="8" spans="1:7" ht="15.75" customHeight="1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>
      <c r="A9" s="127"/>
      <c r="B9" s="128"/>
      <c r="C9" s="127" t="s">
        <v>119</v>
      </c>
      <c r="D9" s="127" t="s">
        <v>120</v>
      </c>
      <c r="E9" s="129" t="s">
        <v>121</v>
      </c>
      <c r="F9" s="130" t="s">
        <v>268</v>
      </c>
      <c r="G9" s="124"/>
    </row>
    <row r="10" spans="1:7" ht="15.75" customHeight="1">
      <c r="A10" s="131" t="s">
        <v>269</v>
      </c>
      <c r="B10" s="132" t="s">
        <v>124</v>
      </c>
      <c r="C10" s="133" t="s">
        <v>125</v>
      </c>
      <c r="D10" s="133" t="s">
        <v>125</v>
      </c>
      <c r="E10" s="134" t="s">
        <v>126</v>
      </c>
      <c r="F10" s="133" t="s">
        <v>126</v>
      </c>
      <c r="G10" s="124"/>
    </row>
    <row r="11" spans="1:7" ht="15.75" customHeight="1">
      <c r="A11" s="135"/>
      <c r="B11" s="126"/>
      <c r="C11" s="136"/>
      <c r="D11" s="136"/>
      <c r="E11" s="137"/>
      <c r="F11" s="136"/>
      <c r="G11" s="124"/>
    </row>
    <row r="12" spans="1:7" ht="15.75" customHeight="1">
      <c r="A12" s="138" t="s">
        <v>127</v>
      </c>
      <c r="B12" s="139" t="s">
        <v>270</v>
      </c>
      <c r="C12" s="140"/>
      <c r="D12" s="140"/>
      <c r="E12" s="140"/>
      <c r="F12" s="140"/>
      <c r="G12" s="124"/>
    </row>
    <row r="13" spans="1:7" ht="15.75" customHeight="1">
      <c r="A13" s="141"/>
      <c r="B13" s="142"/>
      <c r="C13" s="143"/>
      <c r="D13" s="143"/>
      <c r="E13" s="143"/>
      <c r="F13" s="143"/>
      <c r="G13" s="124"/>
    </row>
    <row r="14" spans="1:7" ht="15.75" customHeight="1">
      <c r="A14" s="144" t="s">
        <v>225</v>
      </c>
      <c r="B14" s="145" t="s">
        <v>271</v>
      </c>
      <c r="C14" s="146"/>
      <c r="D14" s="146"/>
      <c r="E14" s="147"/>
      <c r="F14" s="148"/>
      <c r="G14" s="124"/>
    </row>
    <row r="15" spans="1:6" ht="15" customHeight="1">
      <c r="A15" s="141">
        <v>1</v>
      </c>
      <c r="B15" s="149" t="s">
        <v>272</v>
      </c>
      <c r="C15" s="146">
        <v>44863659</v>
      </c>
      <c r="D15" s="146">
        <v>51850186</v>
      </c>
      <c r="E15" s="146">
        <f>+D15-C15</f>
        <v>6986527</v>
      </c>
      <c r="F15" s="150">
        <f>IF(C15=0,0,E15/C15)</f>
        <v>0.15572798018993503</v>
      </c>
    </row>
    <row r="16" spans="1:6" ht="15" customHeight="1">
      <c r="A16" s="141">
        <v>2</v>
      </c>
      <c r="B16" s="149" t="s">
        <v>273</v>
      </c>
      <c r="C16" s="146">
        <v>15310689</v>
      </c>
      <c r="D16" s="146">
        <v>17126431</v>
      </c>
      <c r="E16" s="146">
        <f>+D16-C16</f>
        <v>1815742</v>
      </c>
      <c r="F16" s="150">
        <f>IF(C16=0,0,E16/C16)</f>
        <v>0.11859309532053064</v>
      </c>
    </row>
    <row r="17" spans="1:6" ht="15" customHeight="1">
      <c r="A17" s="141">
        <v>3</v>
      </c>
      <c r="B17" s="149" t="s">
        <v>274</v>
      </c>
      <c r="C17" s="146">
        <v>80082283</v>
      </c>
      <c r="D17" s="146">
        <v>85526196</v>
      </c>
      <c r="E17" s="146">
        <f>+D17-C17</f>
        <v>5443913</v>
      </c>
      <c r="F17" s="150">
        <f>IF(C17=0,0,E17/C17)</f>
        <v>0.06797899355591548</v>
      </c>
    </row>
    <row r="18" spans="1:7" ht="15.75" customHeight="1">
      <c r="A18" s="141"/>
      <c r="B18" s="151" t="s">
        <v>275</v>
      </c>
      <c r="C18" s="147">
        <f>SUM(C15:C17)</f>
        <v>140256631</v>
      </c>
      <c r="D18" s="147">
        <f>SUM(D15:D17)</f>
        <v>154502813</v>
      </c>
      <c r="E18" s="147">
        <f>+D18-C18</f>
        <v>14246182</v>
      </c>
      <c r="F18" s="148">
        <f>IF(C18=0,0,E18/C18)</f>
        <v>0.10157225293683263</v>
      </c>
      <c r="G18" s="124"/>
    </row>
    <row r="19" spans="1:7" ht="15.75" customHeight="1">
      <c r="A19" s="141"/>
      <c r="B19" s="152"/>
      <c r="C19" s="146"/>
      <c r="D19" s="146"/>
      <c r="E19" s="147"/>
      <c r="F19" s="148"/>
      <c r="G19" s="124"/>
    </row>
    <row r="20" spans="1:7" ht="15.75" customHeight="1">
      <c r="A20" s="144" t="s">
        <v>239</v>
      </c>
      <c r="B20" s="145" t="s">
        <v>276</v>
      </c>
      <c r="C20" s="146"/>
      <c r="D20" s="146"/>
      <c r="E20" s="147"/>
      <c r="F20" s="148"/>
      <c r="G20" s="124"/>
    </row>
    <row r="21" spans="1:6" ht="15" customHeight="1">
      <c r="A21" s="141">
        <v>1</v>
      </c>
      <c r="B21" s="149" t="s">
        <v>277</v>
      </c>
      <c r="C21" s="146">
        <v>9646656</v>
      </c>
      <c r="D21" s="146">
        <v>11404309</v>
      </c>
      <c r="E21" s="146">
        <f>+D21-C21</f>
        <v>1757653</v>
      </c>
      <c r="F21" s="150">
        <f>IF(C21=0,0,E21/C21)</f>
        <v>0.1822033459055656</v>
      </c>
    </row>
    <row r="22" spans="1:6" ht="15" customHeight="1">
      <c r="A22" s="141">
        <v>2</v>
      </c>
      <c r="B22" s="149" t="s">
        <v>278</v>
      </c>
      <c r="C22" s="146">
        <v>3292129</v>
      </c>
      <c r="D22" s="146">
        <v>3766913</v>
      </c>
      <c r="E22" s="146">
        <f>+D22-C22</f>
        <v>474784</v>
      </c>
      <c r="F22" s="150">
        <f>IF(C22=0,0,E22/C22)</f>
        <v>0.1442179209866928</v>
      </c>
    </row>
    <row r="23" spans="1:6" ht="15" customHeight="1">
      <c r="A23" s="141">
        <v>3</v>
      </c>
      <c r="B23" s="149" t="s">
        <v>279</v>
      </c>
      <c r="C23" s="146">
        <v>17219422</v>
      </c>
      <c r="D23" s="146">
        <v>18811257</v>
      </c>
      <c r="E23" s="146">
        <f>+D23-C23</f>
        <v>1591835</v>
      </c>
      <c r="F23" s="150">
        <f>IF(C23=0,0,E23/C23)</f>
        <v>0.09244415985623676</v>
      </c>
    </row>
    <row r="24" spans="1:7" ht="15.75" customHeight="1">
      <c r="A24" s="141"/>
      <c r="B24" s="151" t="s">
        <v>280</v>
      </c>
      <c r="C24" s="147">
        <f>SUM(C21:C23)</f>
        <v>30158207</v>
      </c>
      <c r="D24" s="147">
        <f>SUM(D21:D23)</f>
        <v>33982479</v>
      </c>
      <c r="E24" s="147">
        <f>+D24-C24</f>
        <v>3824272</v>
      </c>
      <c r="F24" s="148">
        <f>IF(C24=0,0,E24/C24)</f>
        <v>0.12680700812220036</v>
      </c>
      <c r="G24" s="124"/>
    </row>
    <row r="25" spans="1:7" ht="15.75" customHeight="1">
      <c r="A25" s="141"/>
      <c r="B25" s="152"/>
      <c r="C25" s="146"/>
      <c r="D25" s="146"/>
      <c r="E25" s="147"/>
      <c r="F25" s="148"/>
      <c r="G25" s="124"/>
    </row>
    <row r="26" spans="1:7" ht="15.75" customHeight="1">
      <c r="A26" s="144" t="s">
        <v>256</v>
      </c>
      <c r="B26" s="145" t="s">
        <v>281</v>
      </c>
      <c r="C26" s="146"/>
      <c r="D26" s="146"/>
      <c r="E26" s="147"/>
      <c r="F26" s="148"/>
      <c r="G26" s="124"/>
    </row>
    <row r="27" spans="1:6" ht="15" customHeight="1">
      <c r="A27" s="141">
        <v>1</v>
      </c>
      <c r="B27" s="149" t="s">
        <v>282</v>
      </c>
      <c r="C27" s="146">
        <v>6897572</v>
      </c>
      <c r="D27" s="146">
        <v>2317222</v>
      </c>
      <c r="E27" s="146">
        <f>+D27-C27</f>
        <v>-4580350</v>
      </c>
      <c r="F27" s="150">
        <f>IF(C27=0,0,E27/C27)</f>
        <v>-0.66405251007166</v>
      </c>
    </row>
    <row r="28" spans="1:6" ht="15" customHeight="1">
      <c r="A28" s="141">
        <v>2</v>
      </c>
      <c r="B28" s="149" t="s">
        <v>283</v>
      </c>
      <c r="C28" s="146">
        <v>7263984</v>
      </c>
      <c r="D28" s="146">
        <v>10476221</v>
      </c>
      <c r="E28" s="146">
        <f>+D28-C28</f>
        <v>3212237</v>
      </c>
      <c r="F28" s="150">
        <f>IF(C28=0,0,E28/C28)</f>
        <v>0.44221421743219697</v>
      </c>
    </row>
    <row r="29" spans="1:6" ht="15" customHeight="1">
      <c r="A29" s="141">
        <v>3</v>
      </c>
      <c r="B29" s="149" t="s">
        <v>284</v>
      </c>
      <c r="C29" s="146">
        <v>26354212</v>
      </c>
      <c r="D29" s="146">
        <v>31209286</v>
      </c>
      <c r="E29" s="146">
        <f>+D29-C29</f>
        <v>4855074</v>
      </c>
      <c r="F29" s="150">
        <f>IF(C29=0,0,E29/C29)</f>
        <v>0.18422383488453384</v>
      </c>
    </row>
    <row r="30" spans="1:7" ht="15.75" customHeight="1">
      <c r="A30" s="141"/>
      <c r="B30" s="151" t="s">
        <v>285</v>
      </c>
      <c r="C30" s="147">
        <f>SUM(C27:C29)</f>
        <v>40515768</v>
      </c>
      <c r="D30" s="147">
        <f>SUM(D27:D29)</f>
        <v>44002729</v>
      </c>
      <c r="E30" s="147">
        <f>+D30-C30</f>
        <v>3486961</v>
      </c>
      <c r="F30" s="148">
        <f>IF(C30=0,0,E30/C30)</f>
        <v>0.08606429477037188</v>
      </c>
      <c r="G30" s="124"/>
    </row>
    <row r="31" spans="1:7" ht="15.75" customHeight="1">
      <c r="A31" s="141"/>
      <c r="B31" s="152"/>
      <c r="C31" s="146"/>
      <c r="D31" s="146"/>
      <c r="E31" s="147"/>
      <c r="F31" s="148"/>
      <c r="G31" s="124"/>
    </row>
    <row r="32" spans="1:7" ht="15.75" customHeight="1">
      <c r="A32" s="144" t="s">
        <v>286</v>
      </c>
      <c r="B32" s="145" t="s">
        <v>287</v>
      </c>
      <c r="C32" s="146"/>
      <c r="D32" s="146"/>
      <c r="E32" s="147"/>
      <c r="F32" s="148"/>
      <c r="G32" s="124"/>
    </row>
    <row r="33" spans="1:6" ht="15" customHeight="1">
      <c r="A33" s="141">
        <v>1</v>
      </c>
      <c r="B33" s="149" t="s">
        <v>288</v>
      </c>
      <c r="C33" s="146">
        <v>28504460</v>
      </c>
      <c r="D33" s="146">
        <v>32689058</v>
      </c>
      <c r="E33" s="146">
        <f>+D33-C33</f>
        <v>4184598</v>
      </c>
      <c r="F33" s="150">
        <f>IF(C33=0,0,E33/C33)</f>
        <v>0.14680502630114725</v>
      </c>
    </row>
    <row r="34" spans="1:6" ht="15" customHeight="1">
      <c r="A34" s="141">
        <v>2</v>
      </c>
      <c r="B34" s="149" t="s">
        <v>289</v>
      </c>
      <c r="C34" s="146">
        <v>7611733</v>
      </c>
      <c r="D34" s="146">
        <v>7766356</v>
      </c>
      <c r="E34" s="146">
        <f>+D34-C34</f>
        <v>154623</v>
      </c>
      <c r="F34" s="150">
        <f>IF(C34=0,0,E34/C34)</f>
        <v>0.020313770858751877</v>
      </c>
    </row>
    <row r="35" spans="1:7" ht="15.75" customHeight="1">
      <c r="A35" s="141"/>
      <c r="B35" s="151" t="s">
        <v>290</v>
      </c>
      <c r="C35" s="147">
        <f>SUM(C33:C34)</f>
        <v>36116193</v>
      </c>
      <c r="D35" s="147">
        <f>SUM(D33:D34)</f>
        <v>40455414</v>
      </c>
      <c r="E35" s="147">
        <f>+D35-C35</f>
        <v>4339221</v>
      </c>
      <c r="F35" s="148">
        <f>IF(C35=0,0,E35/C35)</f>
        <v>0.1201461350037641</v>
      </c>
      <c r="G35" s="124"/>
    </row>
    <row r="36" spans="1:7" ht="15.75" customHeight="1">
      <c r="A36" s="141"/>
      <c r="B36" s="152"/>
      <c r="C36" s="146"/>
      <c r="D36" s="146"/>
      <c r="E36" s="147"/>
      <c r="F36" s="148"/>
      <c r="G36" s="124"/>
    </row>
    <row r="37" spans="1:7" ht="15.75" customHeight="1">
      <c r="A37" s="144" t="s">
        <v>291</v>
      </c>
      <c r="B37" s="145" t="s">
        <v>292</v>
      </c>
      <c r="C37" s="146"/>
      <c r="D37" s="146"/>
      <c r="E37" s="147"/>
      <c r="F37" s="148"/>
      <c r="G37" s="124"/>
    </row>
    <row r="38" spans="1:6" ht="15" customHeight="1">
      <c r="A38" s="141">
        <v>1</v>
      </c>
      <c r="B38" s="149" t="s">
        <v>293</v>
      </c>
      <c r="C38" s="146">
        <v>17860525</v>
      </c>
      <c r="D38" s="146">
        <v>21697427</v>
      </c>
      <c r="E38" s="146">
        <f>+D38-C38</f>
        <v>3836902</v>
      </c>
      <c r="F38" s="150">
        <f>IF(C38=0,0,E38/C38)</f>
        <v>0.2148258239889365</v>
      </c>
    </row>
    <row r="39" spans="1:6" ht="15" customHeight="1">
      <c r="A39" s="141">
        <v>2</v>
      </c>
      <c r="B39" s="149" t="s">
        <v>294</v>
      </c>
      <c r="C39" s="146">
        <v>4893645</v>
      </c>
      <c r="D39" s="146">
        <v>5258007</v>
      </c>
      <c r="E39" s="146">
        <f>+D39-C39</f>
        <v>364362</v>
      </c>
      <c r="F39" s="150">
        <f>IF(C39=0,0,E39/C39)</f>
        <v>0.07445615691371156</v>
      </c>
    </row>
    <row r="40" spans="1:6" ht="15" customHeight="1">
      <c r="A40" s="141">
        <v>3</v>
      </c>
      <c r="B40" s="149" t="s">
        <v>295</v>
      </c>
      <c r="C40" s="146">
        <v>0</v>
      </c>
      <c r="D40" s="146">
        <v>0</v>
      </c>
      <c r="E40" s="146">
        <f>+D40-C40</f>
        <v>0</v>
      </c>
      <c r="F40" s="150">
        <f>IF(C40=0,0,E40/C40)</f>
        <v>0</v>
      </c>
    </row>
    <row r="41" spans="1:7" ht="15.75" customHeight="1">
      <c r="A41" s="141"/>
      <c r="B41" s="151" t="s">
        <v>296</v>
      </c>
      <c r="C41" s="147">
        <f>SUM(C38:C40)</f>
        <v>22754170</v>
      </c>
      <c r="D41" s="147">
        <f>SUM(D38:D40)</f>
        <v>26955434</v>
      </c>
      <c r="E41" s="147">
        <f>+D41-C41</f>
        <v>4201264</v>
      </c>
      <c r="F41" s="148">
        <f>IF(C41=0,0,E41/C41)</f>
        <v>0.18463710168290032</v>
      </c>
      <c r="G41" s="124"/>
    </row>
    <row r="42" spans="1:7" ht="15.75" customHeight="1">
      <c r="A42" s="141"/>
      <c r="B42" s="152"/>
      <c r="C42" s="146"/>
      <c r="D42" s="146"/>
      <c r="E42" s="147"/>
      <c r="F42" s="148"/>
      <c r="G42" s="124"/>
    </row>
    <row r="43" spans="1:7" ht="15.75" customHeight="1">
      <c r="A43" s="144" t="s">
        <v>297</v>
      </c>
      <c r="B43" s="145" t="s">
        <v>298</v>
      </c>
      <c r="C43" s="146"/>
      <c r="D43" s="146"/>
      <c r="E43" s="147"/>
      <c r="F43" s="148"/>
      <c r="G43" s="124"/>
    </row>
    <row r="44" spans="1:6" ht="15" customHeight="1">
      <c r="A44" s="141">
        <v>1</v>
      </c>
      <c r="B44" s="149" t="s">
        <v>200</v>
      </c>
      <c r="C44" s="146">
        <v>44824866</v>
      </c>
      <c r="D44" s="146">
        <v>47934677</v>
      </c>
      <c r="E44" s="146">
        <f>+D44-C44</f>
        <v>3109811</v>
      </c>
      <c r="F44" s="150">
        <f>IF(C44=0,0,E44/C44)</f>
        <v>0.06937691682112335</v>
      </c>
    </row>
    <row r="45" spans="1:7" ht="15.75" customHeight="1">
      <c r="A45" s="141"/>
      <c r="B45" s="152"/>
      <c r="C45" s="146"/>
      <c r="D45" s="146"/>
      <c r="E45" s="147"/>
      <c r="F45" s="148"/>
      <c r="G45" s="124"/>
    </row>
    <row r="46" spans="1:7" ht="15.75" customHeight="1">
      <c r="A46" s="144" t="s">
        <v>299</v>
      </c>
      <c r="B46" s="145" t="s">
        <v>300</v>
      </c>
      <c r="C46" s="146"/>
      <c r="D46" s="146"/>
      <c r="E46" s="147"/>
      <c r="F46" s="148"/>
      <c r="G46" s="124"/>
    </row>
    <row r="47" spans="1:6" ht="15" customHeight="1">
      <c r="A47" s="141">
        <v>1</v>
      </c>
      <c r="B47" s="149" t="s">
        <v>301</v>
      </c>
      <c r="C47" s="146">
        <v>4222070</v>
      </c>
      <c r="D47" s="146">
        <v>5220009</v>
      </c>
      <c r="E47" s="146">
        <f>+D47-C47</f>
        <v>997939</v>
      </c>
      <c r="F47" s="150">
        <f>IF(C47=0,0,E47/C47)</f>
        <v>0.23636249517416813</v>
      </c>
    </row>
    <row r="48" spans="1:7" ht="15.75" customHeight="1">
      <c r="A48" s="141"/>
      <c r="B48" s="152"/>
      <c r="C48" s="146"/>
      <c r="D48" s="146"/>
      <c r="E48" s="147"/>
      <c r="F48" s="148"/>
      <c r="G48" s="124"/>
    </row>
    <row r="49" spans="1:7" ht="15.75" customHeight="1">
      <c r="A49" s="144" t="s">
        <v>302</v>
      </c>
      <c r="B49" s="145" t="s">
        <v>303</v>
      </c>
      <c r="C49" s="146"/>
      <c r="D49" s="146"/>
      <c r="E49" s="147"/>
      <c r="F49" s="148"/>
      <c r="G49" s="124"/>
    </row>
    <row r="50" spans="1:6" ht="15" customHeight="1">
      <c r="A50" s="141">
        <v>1</v>
      </c>
      <c r="B50" s="149" t="s">
        <v>304</v>
      </c>
      <c r="C50" s="146">
        <v>11023186</v>
      </c>
      <c r="D50" s="146">
        <v>10211990</v>
      </c>
      <c r="E50" s="146">
        <f>+D50-C50</f>
        <v>-811196</v>
      </c>
      <c r="F50" s="150">
        <f>IF(C50=0,0,E50/C50)</f>
        <v>-0.07358997661837512</v>
      </c>
    </row>
    <row r="51" spans="1:7" ht="15.75" customHeight="1">
      <c r="A51" s="141"/>
      <c r="B51" s="152"/>
      <c r="C51" s="146"/>
      <c r="D51" s="146"/>
      <c r="E51" s="147"/>
      <c r="F51" s="148"/>
      <c r="G51" s="124"/>
    </row>
    <row r="52" spans="1:7" ht="15.75" customHeight="1">
      <c r="A52" s="144" t="s">
        <v>305</v>
      </c>
      <c r="B52" s="145" t="s">
        <v>306</v>
      </c>
      <c r="C52" s="146"/>
      <c r="D52" s="146"/>
      <c r="E52" s="147"/>
      <c r="F52" s="148"/>
      <c r="G52" s="124"/>
    </row>
    <row r="53" spans="1:6" ht="15" customHeight="1">
      <c r="A53" s="141">
        <v>1</v>
      </c>
      <c r="B53" s="149" t="s">
        <v>307</v>
      </c>
      <c r="C53" s="146">
        <v>140243</v>
      </c>
      <c r="D53" s="146">
        <v>138005</v>
      </c>
      <c r="E53" s="146">
        <f aca="true" t="shared" si="0" ref="E53:E59">+D53-C53</f>
        <v>-2238</v>
      </c>
      <c r="F53" s="150">
        <f aca="true" t="shared" si="1" ref="F53:F59">IF(C53=0,0,E53/C53)</f>
        <v>-0.015958015729840347</v>
      </c>
    </row>
    <row r="54" spans="1:6" ht="15" customHeight="1">
      <c r="A54" s="141">
        <v>2</v>
      </c>
      <c r="B54" s="149" t="s">
        <v>308</v>
      </c>
      <c r="C54" s="146">
        <v>1992565</v>
      </c>
      <c r="D54" s="146">
        <v>2249485</v>
      </c>
      <c r="E54" s="146">
        <f t="shared" si="0"/>
        <v>256920</v>
      </c>
      <c r="F54" s="150">
        <f t="shared" si="1"/>
        <v>0.12893933196658577</v>
      </c>
    </row>
    <row r="55" spans="1:6" ht="15" customHeight="1">
      <c r="A55" s="141">
        <v>3</v>
      </c>
      <c r="B55" s="149" t="s">
        <v>309</v>
      </c>
      <c r="C55" s="146">
        <v>8794</v>
      </c>
      <c r="D55" s="146">
        <v>1396</v>
      </c>
      <c r="E55" s="146">
        <f t="shared" si="0"/>
        <v>-7398</v>
      </c>
      <c r="F55" s="150">
        <f t="shared" si="1"/>
        <v>-0.8412554014100523</v>
      </c>
    </row>
    <row r="56" spans="1:6" ht="15" customHeight="1">
      <c r="A56" s="141">
        <v>4</v>
      </c>
      <c r="B56" s="149" t="s">
        <v>310</v>
      </c>
      <c r="C56" s="146">
        <v>2883127</v>
      </c>
      <c r="D56" s="146">
        <v>2990896</v>
      </c>
      <c r="E56" s="146">
        <f t="shared" si="0"/>
        <v>107769</v>
      </c>
      <c r="F56" s="150">
        <f t="shared" si="1"/>
        <v>0.03737920667386487</v>
      </c>
    </row>
    <row r="57" spans="1:6" ht="15" customHeight="1">
      <c r="A57" s="141">
        <v>5</v>
      </c>
      <c r="B57" s="149" t="s">
        <v>311</v>
      </c>
      <c r="C57" s="146">
        <v>592576</v>
      </c>
      <c r="D57" s="146">
        <v>730536</v>
      </c>
      <c r="E57" s="146">
        <f t="shared" si="0"/>
        <v>137960</v>
      </c>
      <c r="F57" s="150">
        <f t="shared" si="1"/>
        <v>0.2328140187925262</v>
      </c>
    </row>
    <row r="58" spans="1:6" ht="15" customHeight="1">
      <c r="A58" s="141">
        <v>6</v>
      </c>
      <c r="B58" s="149" t="s">
        <v>312</v>
      </c>
      <c r="C58" s="146">
        <v>160043</v>
      </c>
      <c r="D58" s="146">
        <v>264523</v>
      </c>
      <c r="E58" s="146">
        <f t="shared" si="0"/>
        <v>104480</v>
      </c>
      <c r="F58" s="150">
        <f t="shared" si="1"/>
        <v>0.6528245534012734</v>
      </c>
    </row>
    <row r="59" spans="1:7" ht="15.75" customHeight="1">
      <c r="A59" s="141"/>
      <c r="B59" s="151" t="s">
        <v>313</v>
      </c>
      <c r="C59" s="147">
        <f>SUM(C53:C58)</f>
        <v>5777348</v>
      </c>
      <c r="D59" s="147">
        <f>SUM(D53:D58)</f>
        <v>6374841</v>
      </c>
      <c r="E59" s="147">
        <f t="shared" si="0"/>
        <v>597493</v>
      </c>
      <c r="F59" s="148">
        <f t="shared" si="1"/>
        <v>0.1034199428526722</v>
      </c>
      <c r="G59" s="124"/>
    </row>
    <row r="60" spans="1:7" ht="15.75" customHeight="1">
      <c r="A60" s="141"/>
      <c r="B60" s="152"/>
      <c r="C60" s="146"/>
      <c r="D60" s="146"/>
      <c r="E60" s="147"/>
      <c r="F60" s="148"/>
      <c r="G60" s="124"/>
    </row>
    <row r="61" spans="1:7" ht="15.75" customHeight="1">
      <c r="A61" s="144" t="s">
        <v>314</v>
      </c>
      <c r="B61" s="145" t="s">
        <v>315</v>
      </c>
      <c r="C61" s="146"/>
      <c r="D61" s="146"/>
      <c r="E61" s="147"/>
      <c r="F61" s="148"/>
      <c r="G61" s="124"/>
    </row>
    <row r="62" spans="1:6" ht="15" customHeight="1">
      <c r="A62" s="141">
        <v>1</v>
      </c>
      <c r="B62" s="149" t="s">
        <v>316</v>
      </c>
      <c r="C62" s="146">
        <v>484315</v>
      </c>
      <c r="D62" s="146">
        <v>392830</v>
      </c>
      <c r="E62" s="146">
        <f aca="true" t="shared" si="2" ref="E62:E78">+D62-C62</f>
        <v>-91485</v>
      </c>
      <c r="F62" s="150">
        <f aca="true" t="shared" si="3" ref="F62:F78">IF(C62=0,0,E62/C62)</f>
        <v>-0.18889565675232028</v>
      </c>
    </row>
    <row r="63" spans="1:6" ht="15" customHeight="1">
      <c r="A63" s="141">
        <v>2</v>
      </c>
      <c r="B63" s="149" t="s">
        <v>317</v>
      </c>
      <c r="C63" s="146">
        <v>2007968</v>
      </c>
      <c r="D63" s="146">
        <v>2222089</v>
      </c>
      <c r="E63" s="146">
        <f t="shared" si="2"/>
        <v>214121</v>
      </c>
      <c r="F63" s="150">
        <f t="shared" si="3"/>
        <v>0.10663566351655006</v>
      </c>
    </row>
    <row r="64" spans="1:6" ht="15" customHeight="1">
      <c r="A64" s="141">
        <v>3</v>
      </c>
      <c r="B64" s="149" t="s">
        <v>318</v>
      </c>
      <c r="C64" s="146">
        <v>10178341</v>
      </c>
      <c r="D64" s="146">
        <v>5295027</v>
      </c>
      <c r="E64" s="146">
        <f t="shared" si="2"/>
        <v>-4883314</v>
      </c>
      <c r="F64" s="150">
        <f t="shared" si="3"/>
        <v>-0.47977504388976555</v>
      </c>
    </row>
    <row r="65" spans="1:6" ht="15" customHeight="1">
      <c r="A65" s="141">
        <v>4</v>
      </c>
      <c r="B65" s="149" t="s">
        <v>319</v>
      </c>
      <c r="C65" s="146">
        <v>1052663</v>
      </c>
      <c r="D65" s="146">
        <v>1301023</v>
      </c>
      <c r="E65" s="146">
        <f t="shared" si="2"/>
        <v>248360</v>
      </c>
      <c r="F65" s="150">
        <f t="shared" si="3"/>
        <v>0.23593495734152337</v>
      </c>
    </row>
    <row r="66" spans="1:6" ht="15" customHeight="1">
      <c r="A66" s="141">
        <v>5</v>
      </c>
      <c r="B66" s="149" t="s">
        <v>320</v>
      </c>
      <c r="C66" s="146">
        <v>1912462</v>
      </c>
      <c r="D66" s="146">
        <v>1808951</v>
      </c>
      <c r="E66" s="146">
        <f t="shared" si="2"/>
        <v>-103511</v>
      </c>
      <c r="F66" s="150">
        <f t="shared" si="3"/>
        <v>-0.054124474107197944</v>
      </c>
    </row>
    <row r="67" spans="1:6" ht="15" customHeight="1">
      <c r="A67" s="141">
        <v>6</v>
      </c>
      <c r="B67" s="149" t="s">
        <v>321</v>
      </c>
      <c r="C67" s="146">
        <v>6007809</v>
      </c>
      <c r="D67" s="146">
        <v>6391291</v>
      </c>
      <c r="E67" s="146">
        <f t="shared" si="2"/>
        <v>383482</v>
      </c>
      <c r="F67" s="150">
        <f t="shared" si="3"/>
        <v>0.06383059115228197</v>
      </c>
    </row>
    <row r="68" spans="1:6" ht="15" customHeight="1">
      <c r="A68" s="141">
        <v>7</v>
      </c>
      <c r="B68" s="149" t="s">
        <v>322</v>
      </c>
      <c r="C68" s="146">
        <v>8684635</v>
      </c>
      <c r="D68" s="146">
        <v>10333577</v>
      </c>
      <c r="E68" s="146">
        <f t="shared" si="2"/>
        <v>1648942</v>
      </c>
      <c r="F68" s="150">
        <f t="shared" si="3"/>
        <v>0.18986888913581285</v>
      </c>
    </row>
    <row r="69" spans="1:6" ht="15" customHeight="1">
      <c r="A69" s="141">
        <v>8</v>
      </c>
      <c r="B69" s="149" t="s">
        <v>323</v>
      </c>
      <c r="C69" s="146">
        <v>709906</v>
      </c>
      <c r="D69" s="146">
        <v>852811</v>
      </c>
      <c r="E69" s="146">
        <f t="shared" si="2"/>
        <v>142905</v>
      </c>
      <c r="F69" s="150">
        <f t="shared" si="3"/>
        <v>0.2013012990452257</v>
      </c>
    </row>
    <row r="70" spans="1:6" ht="15" customHeight="1">
      <c r="A70" s="141">
        <v>9</v>
      </c>
      <c r="B70" s="149" t="s">
        <v>324</v>
      </c>
      <c r="C70" s="146">
        <v>863624</v>
      </c>
      <c r="D70" s="146">
        <v>646371</v>
      </c>
      <c r="E70" s="146">
        <f t="shared" si="2"/>
        <v>-217253</v>
      </c>
      <c r="F70" s="150">
        <f t="shared" si="3"/>
        <v>-0.25155970653895676</v>
      </c>
    </row>
    <row r="71" spans="1:6" ht="15" customHeight="1">
      <c r="A71" s="141">
        <v>10</v>
      </c>
      <c r="B71" s="149" t="s">
        <v>325</v>
      </c>
      <c r="C71" s="146">
        <v>0</v>
      </c>
      <c r="D71" s="146">
        <v>0</v>
      </c>
      <c r="E71" s="146">
        <f t="shared" si="2"/>
        <v>0</v>
      </c>
      <c r="F71" s="150">
        <f t="shared" si="3"/>
        <v>0</v>
      </c>
    </row>
    <row r="72" spans="1:6" ht="15" customHeight="1">
      <c r="A72" s="141">
        <v>11</v>
      </c>
      <c r="B72" s="149" t="s">
        <v>326</v>
      </c>
      <c r="C72" s="146">
        <v>0</v>
      </c>
      <c r="D72" s="146">
        <v>0</v>
      </c>
      <c r="E72" s="146">
        <f t="shared" si="2"/>
        <v>0</v>
      </c>
      <c r="F72" s="150">
        <f t="shared" si="3"/>
        <v>0</v>
      </c>
    </row>
    <row r="73" spans="1:6" ht="15" customHeight="1">
      <c r="A73" s="141">
        <v>12</v>
      </c>
      <c r="B73" s="149" t="s">
        <v>327</v>
      </c>
      <c r="C73" s="146">
        <v>10202367</v>
      </c>
      <c r="D73" s="146">
        <v>10466066</v>
      </c>
      <c r="E73" s="146">
        <f t="shared" si="2"/>
        <v>263699</v>
      </c>
      <c r="F73" s="150">
        <f t="shared" si="3"/>
        <v>0.02584684514877773</v>
      </c>
    </row>
    <row r="74" spans="1:6" ht="15" customHeight="1">
      <c r="A74" s="141">
        <v>13</v>
      </c>
      <c r="B74" s="149" t="s">
        <v>328</v>
      </c>
      <c r="C74" s="146">
        <v>148924</v>
      </c>
      <c r="D74" s="146">
        <v>74036</v>
      </c>
      <c r="E74" s="146">
        <f t="shared" si="2"/>
        <v>-74888</v>
      </c>
      <c r="F74" s="150">
        <f t="shared" si="3"/>
        <v>-0.5028605194595901</v>
      </c>
    </row>
    <row r="75" spans="1:6" ht="15" customHeight="1">
      <c r="A75" s="141">
        <v>14</v>
      </c>
      <c r="B75" s="149" t="s">
        <v>329</v>
      </c>
      <c r="C75" s="146">
        <v>173593</v>
      </c>
      <c r="D75" s="146">
        <v>396344</v>
      </c>
      <c r="E75" s="146">
        <f t="shared" si="2"/>
        <v>222751</v>
      </c>
      <c r="F75" s="150">
        <f t="shared" si="3"/>
        <v>1.2831796212980937</v>
      </c>
    </row>
    <row r="76" spans="1:6" ht="15" customHeight="1">
      <c r="A76" s="141">
        <v>15</v>
      </c>
      <c r="B76" s="149" t="s">
        <v>330</v>
      </c>
      <c r="C76" s="146">
        <v>1940684</v>
      </c>
      <c r="D76" s="146">
        <v>2101579</v>
      </c>
      <c r="E76" s="146">
        <f t="shared" si="2"/>
        <v>160895</v>
      </c>
      <c r="F76" s="150">
        <f t="shared" si="3"/>
        <v>0.08290633611654448</v>
      </c>
    </row>
    <row r="77" spans="1:6" ht="15" customHeight="1">
      <c r="A77" s="141">
        <v>16</v>
      </c>
      <c r="B77" s="149" t="s">
        <v>331</v>
      </c>
      <c r="C77" s="146">
        <v>8691922</v>
      </c>
      <c r="D77" s="146">
        <v>12916936</v>
      </c>
      <c r="E77" s="146">
        <f t="shared" si="2"/>
        <v>4225014</v>
      </c>
      <c r="F77" s="150">
        <f t="shared" si="3"/>
        <v>0.48608512593647296</v>
      </c>
    </row>
    <row r="78" spans="1:7" ht="15.75" customHeight="1">
      <c r="A78" s="141"/>
      <c r="B78" s="151" t="s">
        <v>332</v>
      </c>
      <c r="C78" s="147">
        <f>SUM(C62:C77)</f>
        <v>53059213</v>
      </c>
      <c r="D78" s="147">
        <f>SUM(D62:D77)</f>
        <v>55198931</v>
      </c>
      <c r="E78" s="147">
        <f t="shared" si="2"/>
        <v>2139718</v>
      </c>
      <c r="F78" s="148">
        <f t="shared" si="3"/>
        <v>0.04032698336479284</v>
      </c>
      <c r="G78" s="124"/>
    </row>
    <row r="79" spans="1:7" ht="15.75" customHeight="1">
      <c r="A79" s="141"/>
      <c r="B79" s="152"/>
      <c r="C79" s="146"/>
      <c r="D79" s="146"/>
      <c r="E79" s="147"/>
      <c r="F79" s="148"/>
      <c r="G79" s="124"/>
    </row>
    <row r="80" spans="1:7" ht="15.75" customHeight="1">
      <c r="A80" s="144" t="s">
        <v>333</v>
      </c>
      <c r="B80" s="145" t="s">
        <v>334</v>
      </c>
      <c r="C80" s="146"/>
      <c r="D80" s="146"/>
      <c r="E80" s="147"/>
      <c r="F80" s="148"/>
      <c r="G80" s="124"/>
    </row>
    <row r="81" spans="1:6" ht="15" customHeight="1">
      <c r="A81" s="141">
        <v>1</v>
      </c>
      <c r="B81" s="149" t="s">
        <v>335</v>
      </c>
      <c r="C81" s="146">
        <v>426186</v>
      </c>
      <c r="D81" s="146">
        <v>680562</v>
      </c>
      <c r="E81" s="146">
        <f>+D81-C81</f>
        <v>254376</v>
      </c>
      <c r="F81" s="150">
        <f>IF(C81=0,0,E81/C81)</f>
        <v>0.5968661570300291</v>
      </c>
    </row>
    <row r="82" spans="1:7" ht="15.75" customHeight="1">
      <c r="A82" s="141"/>
      <c r="B82" s="152"/>
      <c r="C82" s="146"/>
      <c r="D82" s="146"/>
      <c r="E82" s="147"/>
      <c r="F82" s="148"/>
      <c r="G82" s="124"/>
    </row>
    <row r="83" spans="1:7" ht="15.75" customHeight="1">
      <c r="A83" s="153"/>
      <c r="B83" s="154" t="s">
        <v>336</v>
      </c>
      <c r="C83" s="147">
        <f>+C81+C78+C59+C50+C47+C44+C41+C35+C30+C24+C18</f>
        <v>389133838</v>
      </c>
      <c r="D83" s="147">
        <f>+D81+D78+D59+D50+D47+D44+D41+D35+D30+D24+D18</f>
        <v>425519879</v>
      </c>
      <c r="E83" s="147">
        <f>+D83-C83</f>
        <v>36386041</v>
      </c>
      <c r="F83" s="148">
        <f>IF(C83=0,0,E83/C83)</f>
        <v>0.09350520938248501</v>
      </c>
      <c r="G83" s="155"/>
    </row>
    <row r="84" spans="1:7" ht="15.75" customHeight="1">
      <c r="A84" s="153"/>
      <c r="B84" s="154"/>
      <c r="C84" s="146"/>
      <c r="D84" s="146"/>
      <c r="E84" s="146"/>
      <c r="F84" s="156"/>
      <c r="G84" s="124"/>
    </row>
    <row r="85" spans="1:7" ht="15.75" customHeight="1">
      <c r="A85" s="153"/>
      <c r="B85" s="157" t="s">
        <v>337</v>
      </c>
      <c r="C85" s="146"/>
      <c r="D85" s="146"/>
      <c r="E85" s="146"/>
      <c r="F85" s="156"/>
      <c r="G85" s="124"/>
    </row>
    <row r="86" spans="1:7" ht="15.75" customHeight="1">
      <c r="A86" s="153"/>
      <c r="B86" s="157"/>
      <c r="C86" s="146"/>
      <c r="D86" s="146"/>
      <c r="E86" s="146"/>
      <c r="F86" s="156"/>
      <c r="G86" s="124"/>
    </row>
    <row r="87" spans="1:7" ht="15.75" customHeight="1">
      <c r="A87" s="153"/>
      <c r="B87" s="157"/>
      <c r="C87" s="146"/>
      <c r="D87" s="146"/>
      <c r="E87" s="146"/>
      <c r="F87" s="156"/>
      <c r="G87" s="124"/>
    </row>
    <row r="88" spans="1:7" ht="15.75" customHeight="1">
      <c r="A88" s="158" t="s">
        <v>159</v>
      </c>
      <c r="B88" s="142" t="s">
        <v>338</v>
      </c>
      <c r="C88" s="143"/>
      <c r="D88" s="143"/>
      <c r="E88" s="159"/>
      <c r="F88" s="160"/>
      <c r="G88" s="155"/>
    </row>
    <row r="89" spans="1:7" ht="15.75" customHeight="1">
      <c r="A89" s="141"/>
      <c r="B89" s="142"/>
      <c r="C89" s="143"/>
      <c r="D89" s="143"/>
      <c r="E89" s="159"/>
      <c r="F89" s="160"/>
      <c r="G89" s="155"/>
    </row>
    <row r="90" spans="1:7" ht="15.75" customHeight="1">
      <c r="A90" s="144" t="s">
        <v>225</v>
      </c>
      <c r="B90" s="145" t="s">
        <v>339</v>
      </c>
      <c r="C90" s="146"/>
      <c r="D90" s="146"/>
      <c r="E90" s="147"/>
      <c r="F90" s="160"/>
      <c r="G90" s="155"/>
    </row>
    <row r="91" spans="1:7" ht="15" customHeight="1">
      <c r="A91" s="141">
        <v>1</v>
      </c>
      <c r="B91" s="161" t="s">
        <v>340</v>
      </c>
      <c r="C91" s="146">
        <v>94396076</v>
      </c>
      <c r="D91" s="146">
        <v>106374739</v>
      </c>
      <c r="E91" s="146">
        <f aca="true" t="shared" si="4" ref="E91:E109">D91-C91</f>
        <v>11978663</v>
      </c>
      <c r="F91" s="150">
        <f aca="true" t="shared" si="5" ref="F91:F109">IF(C91=0,0,E91/C91)</f>
        <v>0.12689789139116334</v>
      </c>
      <c r="G91" s="155"/>
    </row>
    <row r="92" spans="1:7" ht="15" customHeight="1">
      <c r="A92" s="141">
        <v>2</v>
      </c>
      <c r="B92" s="161" t="s">
        <v>341</v>
      </c>
      <c r="C92" s="146">
        <v>3948144</v>
      </c>
      <c r="D92" s="146">
        <v>3585914</v>
      </c>
      <c r="E92" s="146">
        <f t="shared" si="4"/>
        <v>-362230</v>
      </c>
      <c r="F92" s="150">
        <f t="shared" si="5"/>
        <v>-0.0917469069010654</v>
      </c>
      <c r="G92" s="155"/>
    </row>
    <row r="93" spans="1:7" ht="15" customHeight="1">
      <c r="A93" s="141">
        <v>3</v>
      </c>
      <c r="B93" s="161" t="s">
        <v>342</v>
      </c>
      <c r="C93" s="146">
        <v>9266016</v>
      </c>
      <c r="D93" s="146">
        <v>9054279</v>
      </c>
      <c r="E93" s="146">
        <f t="shared" si="4"/>
        <v>-211737</v>
      </c>
      <c r="F93" s="150">
        <f t="shared" si="5"/>
        <v>-0.02285092104308907</v>
      </c>
      <c r="G93" s="155"/>
    </row>
    <row r="94" spans="1:7" ht="15" customHeight="1">
      <c r="A94" s="141">
        <v>4</v>
      </c>
      <c r="B94" s="161" t="s">
        <v>343</v>
      </c>
      <c r="C94" s="146">
        <v>3431046</v>
      </c>
      <c r="D94" s="146">
        <v>3227615</v>
      </c>
      <c r="E94" s="146">
        <f t="shared" si="4"/>
        <v>-203431</v>
      </c>
      <c r="F94" s="150">
        <f t="shared" si="5"/>
        <v>-0.05929124820827235</v>
      </c>
      <c r="G94" s="155"/>
    </row>
    <row r="95" spans="1:7" ht="15" customHeight="1">
      <c r="A95" s="141">
        <v>5</v>
      </c>
      <c r="B95" s="161" t="s">
        <v>344</v>
      </c>
      <c r="C95" s="146">
        <v>9236868</v>
      </c>
      <c r="D95" s="146">
        <v>11903548</v>
      </c>
      <c r="E95" s="146">
        <f t="shared" si="4"/>
        <v>2666680</v>
      </c>
      <c r="F95" s="150">
        <f t="shared" si="5"/>
        <v>0.28869958951454106</v>
      </c>
      <c r="G95" s="155"/>
    </row>
    <row r="96" spans="1:7" ht="15" customHeight="1">
      <c r="A96" s="141">
        <v>6</v>
      </c>
      <c r="B96" s="161" t="s">
        <v>345</v>
      </c>
      <c r="C96" s="146">
        <v>1289386</v>
      </c>
      <c r="D96" s="146">
        <v>242</v>
      </c>
      <c r="E96" s="146">
        <f t="shared" si="4"/>
        <v>-1289144</v>
      </c>
      <c r="F96" s="150">
        <f t="shared" si="5"/>
        <v>-0.9998123137679484</v>
      </c>
      <c r="G96" s="155"/>
    </row>
    <row r="97" spans="1:7" ht="15" customHeight="1">
      <c r="A97" s="141">
        <v>7</v>
      </c>
      <c r="B97" s="161" t="s">
        <v>346</v>
      </c>
      <c r="C97" s="146">
        <v>5870046</v>
      </c>
      <c r="D97" s="146">
        <v>4874092</v>
      </c>
      <c r="E97" s="146">
        <f t="shared" si="4"/>
        <v>-995954</v>
      </c>
      <c r="F97" s="150">
        <f t="shared" si="5"/>
        <v>-0.1696671542267301</v>
      </c>
      <c r="G97" s="155"/>
    </row>
    <row r="98" spans="1:7" ht="15" customHeight="1">
      <c r="A98" s="141">
        <v>8</v>
      </c>
      <c r="B98" s="161" t="s">
        <v>347</v>
      </c>
      <c r="C98" s="146">
        <v>978205</v>
      </c>
      <c r="D98" s="146">
        <v>1200943</v>
      </c>
      <c r="E98" s="146">
        <f t="shared" si="4"/>
        <v>222738</v>
      </c>
      <c r="F98" s="150">
        <f t="shared" si="5"/>
        <v>0.22770073757545709</v>
      </c>
      <c r="G98" s="155"/>
    </row>
    <row r="99" spans="1:7" ht="15" customHeight="1">
      <c r="A99" s="141">
        <v>9</v>
      </c>
      <c r="B99" s="161" t="s">
        <v>348</v>
      </c>
      <c r="C99" s="146">
        <v>6809517</v>
      </c>
      <c r="D99" s="146">
        <v>6433526</v>
      </c>
      <c r="E99" s="146">
        <f t="shared" si="4"/>
        <v>-375991</v>
      </c>
      <c r="F99" s="150">
        <f t="shared" si="5"/>
        <v>-0.055215516753978296</v>
      </c>
      <c r="G99" s="155"/>
    </row>
    <row r="100" spans="1:7" ht="15" customHeight="1">
      <c r="A100" s="141">
        <v>10</v>
      </c>
      <c r="B100" s="161" t="s">
        <v>349</v>
      </c>
      <c r="C100" s="146">
        <v>5313661</v>
      </c>
      <c r="D100" s="146">
        <v>5621162</v>
      </c>
      <c r="E100" s="146">
        <f t="shared" si="4"/>
        <v>307501</v>
      </c>
      <c r="F100" s="150">
        <f t="shared" si="5"/>
        <v>0.057869894221705145</v>
      </c>
      <c r="G100" s="155"/>
    </row>
    <row r="101" spans="1:7" ht="15" customHeight="1">
      <c r="A101" s="141">
        <v>11</v>
      </c>
      <c r="B101" s="161" t="s">
        <v>350</v>
      </c>
      <c r="C101" s="146">
        <v>4589430</v>
      </c>
      <c r="D101" s="146">
        <v>4651470</v>
      </c>
      <c r="E101" s="146">
        <f t="shared" si="4"/>
        <v>62040</v>
      </c>
      <c r="F101" s="150">
        <f t="shared" si="5"/>
        <v>0.013518018577470405</v>
      </c>
      <c r="G101" s="155"/>
    </row>
    <row r="102" spans="1:7" ht="15" customHeight="1">
      <c r="A102" s="141">
        <v>12</v>
      </c>
      <c r="B102" s="161" t="s">
        <v>351</v>
      </c>
      <c r="C102" s="146">
        <v>1805391</v>
      </c>
      <c r="D102" s="146">
        <v>2112227</v>
      </c>
      <c r="E102" s="146">
        <f t="shared" si="4"/>
        <v>306836</v>
      </c>
      <c r="F102" s="150">
        <f t="shared" si="5"/>
        <v>0.16995542793777083</v>
      </c>
      <c r="G102" s="155"/>
    </row>
    <row r="103" spans="1:7" ht="15" customHeight="1">
      <c r="A103" s="141">
        <v>13</v>
      </c>
      <c r="B103" s="161" t="s">
        <v>352</v>
      </c>
      <c r="C103" s="146">
        <v>1011953</v>
      </c>
      <c r="D103" s="146">
        <v>1029482</v>
      </c>
      <c r="E103" s="146">
        <f t="shared" si="4"/>
        <v>17529</v>
      </c>
      <c r="F103" s="150">
        <f t="shared" si="5"/>
        <v>0.017321950723007885</v>
      </c>
      <c r="G103" s="155"/>
    </row>
    <row r="104" spans="1:7" ht="15" customHeight="1">
      <c r="A104" s="141">
        <v>14</v>
      </c>
      <c r="B104" s="161" t="s">
        <v>353</v>
      </c>
      <c r="C104" s="146">
        <v>1525530</v>
      </c>
      <c r="D104" s="146">
        <v>1535974</v>
      </c>
      <c r="E104" s="146">
        <f t="shared" si="4"/>
        <v>10444</v>
      </c>
      <c r="F104" s="150">
        <f t="shared" si="5"/>
        <v>0.00684614527410146</v>
      </c>
      <c r="G104" s="155"/>
    </row>
    <row r="105" spans="1:7" ht="15" customHeight="1">
      <c r="A105" s="141">
        <v>15</v>
      </c>
      <c r="B105" s="161" t="s">
        <v>322</v>
      </c>
      <c r="C105" s="146">
        <v>11785745</v>
      </c>
      <c r="D105" s="146">
        <v>13378768</v>
      </c>
      <c r="E105" s="146">
        <f t="shared" si="4"/>
        <v>1593023</v>
      </c>
      <c r="F105" s="150">
        <f t="shared" si="5"/>
        <v>0.135165235629992</v>
      </c>
      <c r="G105" s="155"/>
    </row>
    <row r="106" spans="1:7" ht="15" customHeight="1">
      <c r="A106" s="141">
        <v>16</v>
      </c>
      <c r="B106" s="161" t="s">
        <v>354</v>
      </c>
      <c r="C106" s="146">
        <v>1865453</v>
      </c>
      <c r="D106" s="146">
        <v>1938081</v>
      </c>
      <c r="E106" s="146">
        <f t="shared" si="4"/>
        <v>72628</v>
      </c>
      <c r="F106" s="150">
        <f t="shared" si="5"/>
        <v>0.03893317065613553</v>
      </c>
      <c r="G106" s="155"/>
    </row>
    <row r="107" spans="1:7" ht="15" customHeight="1">
      <c r="A107" s="141">
        <v>17</v>
      </c>
      <c r="B107" s="161" t="s">
        <v>355</v>
      </c>
      <c r="C107" s="146">
        <v>10620216</v>
      </c>
      <c r="D107" s="146">
        <v>11269195</v>
      </c>
      <c r="E107" s="146">
        <f t="shared" si="4"/>
        <v>648979</v>
      </c>
      <c r="F107" s="150">
        <f t="shared" si="5"/>
        <v>0.06110789083762515</v>
      </c>
      <c r="G107" s="155"/>
    </row>
    <row r="108" spans="1:7" ht="15" customHeight="1">
      <c r="A108" s="141">
        <v>18</v>
      </c>
      <c r="B108" s="161" t="s">
        <v>356</v>
      </c>
      <c r="C108" s="146">
        <v>9503502</v>
      </c>
      <c r="D108" s="146">
        <v>9527483</v>
      </c>
      <c r="E108" s="146">
        <f t="shared" si="4"/>
        <v>23981</v>
      </c>
      <c r="F108" s="150">
        <f t="shared" si="5"/>
        <v>0.0025233855898594013</v>
      </c>
      <c r="G108" s="155"/>
    </row>
    <row r="109" spans="1:7" ht="15.75" customHeight="1">
      <c r="A109" s="141"/>
      <c r="B109" s="154" t="s">
        <v>357</v>
      </c>
      <c r="C109" s="147">
        <f>SUM(C91:C108)</f>
        <v>183246185</v>
      </c>
      <c r="D109" s="147">
        <f>SUM(D91:D108)</f>
        <v>197718740</v>
      </c>
      <c r="E109" s="147">
        <f t="shared" si="4"/>
        <v>14472555</v>
      </c>
      <c r="F109" s="148">
        <f t="shared" si="5"/>
        <v>0.07897875199966646</v>
      </c>
      <c r="G109" s="155"/>
    </row>
    <row r="110" spans="1:7" ht="15.75" customHeight="1">
      <c r="A110" s="141"/>
      <c r="B110" s="162"/>
      <c r="C110" s="146"/>
      <c r="D110" s="146"/>
      <c r="E110" s="147"/>
      <c r="F110" s="160"/>
      <c r="G110" s="155"/>
    </row>
    <row r="111" spans="1:7" ht="15.75" customHeight="1">
      <c r="A111" s="144" t="s">
        <v>239</v>
      </c>
      <c r="B111" s="145" t="s">
        <v>358</v>
      </c>
      <c r="C111" s="146"/>
      <c r="D111" s="146"/>
      <c r="E111" s="147"/>
      <c r="F111" s="160"/>
      <c r="G111" s="155"/>
    </row>
    <row r="112" spans="1:7" ht="15" customHeight="1">
      <c r="A112" s="141">
        <v>1</v>
      </c>
      <c r="B112" s="161" t="s">
        <v>359</v>
      </c>
      <c r="C112" s="146">
        <v>2161923</v>
      </c>
      <c r="D112" s="146">
        <v>2850549</v>
      </c>
      <c r="E112" s="146">
        <f aca="true" t="shared" si="6" ref="E112:E118">D112-C112</f>
        <v>688626</v>
      </c>
      <c r="F112" s="150">
        <f aca="true" t="shared" si="7" ref="F112:F118">IF(C112=0,0,E112/C112)</f>
        <v>0.31852475781977435</v>
      </c>
      <c r="G112" s="155"/>
    </row>
    <row r="113" spans="1:7" ht="15" customHeight="1">
      <c r="A113" s="141">
        <v>2</v>
      </c>
      <c r="B113" s="161" t="s">
        <v>360</v>
      </c>
      <c r="C113" s="146">
        <v>4737685</v>
      </c>
      <c r="D113" s="146">
        <v>4984663</v>
      </c>
      <c r="E113" s="146">
        <f t="shared" si="6"/>
        <v>246978</v>
      </c>
      <c r="F113" s="150">
        <f t="shared" si="7"/>
        <v>0.0521305236629282</v>
      </c>
      <c r="G113" s="155"/>
    </row>
    <row r="114" spans="1:7" ht="15" customHeight="1">
      <c r="A114" s="141">
        <v>3</v>
      </c>
      <c r="B114" s="161" t="s">
        <v>361</v>
      </c>
      <c r="C114" s="146">
        <v>6926161</v>
      </c>
      <c r="D114" s="146">
        <v>5018165</v>
      </c>
      <c r="E114" s="146">
        <f t="shared" si="6"/>
        <v>-1907996</v>
      </c>
      <c r="F114" s="150">
        <f t="shared" si="7"/>
        <v>-0.2754767034725297</v>
      </c>
      <c r="G114" s="155"/>
    </row>
    <row r="115" spans="1:7" ht="15" customHeight="1">
      <c r="A115" s="141">
        <v>4</v>
      </c>
      <c r="B115" s="161" t="s">
        <v>362</v>
      </c>
      <c r="C115" s="146">
        <v>2529948</v>
      </c>
      <c r="D115" s="146">
        <v>2878991</v>
      </c>
      <c r="E115" s="146">
        <f t="shared" si="6"/>
        <v>349043</v>
      </c>
      <c r="F115" s="150">
        <f t="shared" si="7"/>
        <v>0.13796449571295535</v>
      </c>
      <c r="G115" s="155"/>
    </row>
    <row r="116" spans="1:7" ht="15" customHeight="1">
      <c r="A116" s="141">
        <v>5</v>
      </c>
      <c r="B116" s="161" t="s">
        <v>363</v>
      </c>
      <c r="C116" s="146">
        <v>683734</v>
      </c>
      <c r="D116" s="146">
        <v>761839</v>
      </c>
      <c r="E116" s="146">
        <f t="shared" si="6"/>
        <v>78105</v>
      </c>
      <c r="F116" s="150">
        <f t="shared" si="7"/>
        <v>0.11423302044362281</v>
      </c>
      <c r="G116" s="155"/>
    </row>
    <row r="117" spans="1:7" ht="15" customHeight="1">
      <c r="A117" s="141">
        <v>6</v>
      </c>
      <c r="B117" s="161" t="s">
        <v>364</v>
      </c>
      <c r="C117" s="146">
        <v>3486963</v>
      </c>
      <c r="D117" s="146">
        <v>3550451</v>
      </c>
      <c r="E117" s="146">
        <f t="shared" si="6"/>
        <v>63488</v>
      </c>
      <c r="F117" s="150">
        <f t="shared" si="7"/>
        <v>0.018207247969077963</v>
      </c>
      <c r="G117" s="155"/>
    </row>
    <row r="118" spans="1:7" ht="15.75" customHeight="1">
      <c r="A118" s="141"/>
      <c r="B118" s="154" t="s">
        <v>365</v>
      </c>
      <c r="C118" s="147">
        <f>SUM(C112:C117)</f>
        <v>20526414</v>
      </c>
      <c r="D118" s="147">
        <f>SUM(D112:D117)</f>
        <v>20044658</v>
      </c>
      <c r="E118" s="147">
        <f t="shared" si="6"/>
        <v>-481756</v>
      </c>
      <c r="F118" s="148">
        <f t="shared" si="7"/>
        <v>-0.023470051807393148</v>
      </c>
      <c r="G118" s="155"/>
    </row>
    <row r="119" spans="1:7" ht="15.75" customHeight="1">
      <c r="A119" s="141"/>
      <c r="B119" s="162"/>
      <c r="C119" s="146"/>
      <c r="D119" s="146"/>
      <c r="E119" s="147"/>
      <c r="F119" s="160"/>
      <c r="G119" s="155"/>
    </row>
    <row r="120" spans="1:7" ht="15.75" customHeight="1">
      <c r="A120" s="144" t="s">
        <v>256</v>
      </c>
      <c r="B120" s="145" t="s">
        <v>366</v>
      </c>
      <c r="C120" s="146"/>
      <c r="D120" s="146"/>
      <c r="E120" s="147"/>
      <c r="F120" s="160"/>
      <c r="G120" s="155"/>
    </row>
    <row r="121" spans="1:7" ht="15" customHeight="1">
      <c r="A121" s="141">
        <v>1</v>
      </c>
      <c r="B121" s="161" t="s">
        <v>367</v>
      </c>
      <c r="C121" s="146">
        <v>40638960</v>
      </c>
      <c r="D121" s="146">
        <v>41923041</v>
      </c>
      <c r="E121" s="146">
        <f aca="true" t="shared" si="8" ref="E121:E155">D121-C121</f>
        <v>1284081</v>
      </c>
      <c r="F121" s="150">
        <f aca="true" t="shared" si="9" ref="F121:F155">IF(C121=0,0,E121/C121)</f>
        <v>0.03159728989127675</v>
      </c>
      <c r="G121" s="155"/>
    </row>
    <row r="122" spans="1:7" ht="15" customHeight="1">
      <c r="A122" s="141">
        <v>2</v>
      </c>
      <c r="B122" s="161" t="s">
        <v>368</v>
      </c>
      <c r="C122" s="146">
        <v>4517183</v>
      </c>
      <c r="D122" s="146">
        <v>4746152</v>
      </c>
      <c r="E122" s="146">
        <f t="shared" si="8"/>
        <v>228969</v>
      </c>
      <c r="F122" s="150">
        <f t="shared" si="9"/>
        <v>0.050688448973619175</v>
      </c>
      <c r="G122" s="155"/>
    </row>
    <row r="123" spans="1:7" ht="15" customHeight="1">
      <c r="A123" s="141">
        <v>3</v>
      </c>
      <c r="B123" s="161" t="s">
        <v>369</v>
      </c>
      <c r="C123" s="146">
        <v>492317</v>
      </c>
      <c r="D123" s="146">
        <v>477301</v>
      </c>
      <c r="E123" s="146">
        <f t="shared" si="8"/>
        <v>-15016</v>
      </c>
      <c r="F123" s="150">
        <f t="shared" si="9"/>
        <v>-0.03050067334664454</v>
      </c>
      <c r="G123" s="155"/>
    </row>
    <row r="124" spans="1:7" ht="15" customHeight="1">
      <c r="A124" s="141">
        <v>4</v>
      </c>
      <c r="B124" s="161" t="s">
        <v>370</v>
      </c>
      <c r="C124" s="146">
        <v>5665439</v>
      </c>
      <c r="D124" s="146">
        <v>6145370</v>
      </c>
      <c r="E124" s="146">
        <f t="shared" si="8"/>
        <v>479931</v>
      </c>
      <c r="F124" s="150">
        <f t="shared" si="9"/>
        <v>0.084712058500674</v>
      </c>
      <c r="G124" s="155"/>
    </row>
    <row r="125" spans="1:7" ht="15" customHeight="1">
      <c r="A125" s="141">
        <v>5</v>
      </c>
      <c r="B125" s="161" t="s">
        <v>371</v>
      </c>
      <c r="C125" s="146">
        <v>9098042</v>
      </c>
      <c r="D125" s="146">
        <v>9247540</v>
      </c>
      <c r="E125" s="146">
        <f t="shared" si="8"/>
        <v>149498</v>
      </c>
      <c r="F125" s="150">
        <f t="shared" si="9"/>
        <v>0.016431887212655205</v>
      </c>
      <c r="G125" s="155"/>
    </row>
    <row r="126" spans="1:7" ht="15" customHeight="1">
      <c r="A126" s="141">
        <v>6</v>
      </c>
      <c r="B126" s="161" t="s">
        <v>372</v>
      </c>
      <c r="C126" s="146">
        <v>1839123</v>
      </c>
      <c r="D126" s="146">
        <v>1913546</v>
      </c>
      <c r="E126" s="146">
        <f t="shared" si="8"/>
        <v>74423</v>
      </c>
      <c r="F126" s="150">
        <f t="shared" si="9"/>
        <v>0.040466570207647885</v>
      </c>
      <c r="G126" s="155"/>
    </row>
    <row r="127" spans="1:7" ht="15" customHeight="1">
      <c r="A127" s="141">
        <v>7</v>
      </c>
      <c r="B127" s="161" t="s">
        <v>373</v>
      </c>
      <c r="C127" s="146">
        <v>2209253</v>
      </c>
      <c r="D127" s="146">
        <v>3687445</v>
      </c>
      <c r="E127" s="146">
        <f t="shared" si="8"/>
        <v>1478192</v>
      </c>
      <c r="F127" s="150">
        <f t="shared" si="9"/>
        <v>0.6690913172914102</v>
      </c>
      <c r="G127" s="155"/>
    </row>
    <row r="128" spans="1:7" ht="15" customHeight="1">
      <c r="A128" s="141">
        <v>8</v>
      </c>
      <c r="B128" s="161" t="s">
        <v>374</v>
      </c>
      <c r="C128" s="146">
        <v>1547462</v>
      </c>
      <c r="D128" s="146">
        <v>1485363</v>
      </c>
      <c r="E128" s="146">
        <f t="shared" si="8"/>
        <v>-62099</v>
      </c>
      <c r="F128" s="150">
        <f t="shared" si="9"/>
        <v>-0.0401295799186022</v>
      </c>
      <c r="G128" s="155"/>
    </row>
    <row r="129" spans="1:7" ht="15" customHeight="1">
      <c r="A129" s="141">
        <v>9</v>
      </c>
      <c r="B129" s="161" t="s">
        <v>375</v>
      </c>
      <c r="C129" s="146">
        <v>1509455</v>
      </c>
      <c r="D129" s="146">
        <v>1668588</v>
      </c>
      <c r="E129" s="146">
        <f t="shared" si="8"/>
        <v>159133</v>
      </c>
      <c r="F129" s="150">
        <f t="shared" si="9"/>
        <v>0.10542414315100483</v>
      </c>
      <c r="G129" s="155"/>
    </row>
    <row r="130" spans="1:7" ht="15" customHeight="1">
      <c r="A130" s="141">
        <v>10</v>
      </c>
      <c r="B130" s="161" t="s">
        <v>376</v>
      </c>
      <c r="C130" s="146">
        <v>12903151</v>
      </c>
      <c r="D130" s="146">
        <v>15438972</v>
      </c>
      <c r="E130" s="146">
        <f t="shared" si="8"/>
        <v>2535821</v>
      </c>
      <c r="F130" s="150">
        <f t="shared" si="9"/>
        <v>0.19652726686682967</v>
      </c>
      <c r="G130" s="155"/>
    </row>
    <row r="131" spans="1:7" ht="15" customHeight="1">
      <c r="A131" s="141">
        <v>11</v>
      </c>
      <c r="B131" s="161" t="s">
        <v>377</v>
      </c>
      <c r="C131" s="146">
        <v>0</v>
      </c>
      <c r="D131" s="146">
        <v>0</v>
      </c>
      <c r="E131" s="146">
        <f t="shared" si="8"/>
        <v>0</v>
      </c>
      <c r="F131" s="150">
        <f t="shared" si="9"/>
        <v>0</v>
      </c>
      <c r="G131" s="155"/>
    </row>
    <row r="132" spans="1:7" ht="15" customHeight="1">
      <c r="A132" s="141">
        <v>12</v>
      </c>
      <c r="B132" s="161" t="s">
        <v>378</v>
      </c>
      <c r="C132" s="146">
        <v>5126390</v>
      </c>
      <c r="D132" s="146">
        <v>7993591</v>
      </c>
      <c r="E132" s="146">
        <f t="shared" si="8"/>
        <v>2867201</v>
      </c>
      <c r="F132" s="150">
        <f t="shared" si="9"/>
        <v>0.5593021599995318</v>
      </c>
      <c r="G132" s="155"/>
    </row>
    <row r="133" spans="1:7" ht="15" customHeight="1">
      <c r="A133" s="141">
        <v>13</v>
      </c>
      <c r="B133" s="161" t="s">
        <v>379</v>
      </c>
      <c r="C133" s="146">
        <v>3029940</v>
      </c>
      <c r="D133" s="146">
        <v>3929385</v>
      </c>
      <c r="E133" s="146">
        <f t="shared" si="8"/>
        <v>899445</v>
      </c>
      <c r="F133" s="150">
        <f t="shared" si="9"/>
        <v>0.2968524129190677</v>
      </c>
      <c r="G133" s="155"/>
    </row>
    <row r="134" spans="1:7" ht="15" customHeight="1">
      <c r="A134" s="141">
        <v>14</v>
      </c>
      <c r="B134" s="161" t="s">
        <v>380</v>
      </c>
      <c r="C134" s="146">
        <v>299508</v>
      </c>
      <c r="D134" s="146">
        <v>351319</v>
      </c>
      <c r="E134" s="146">
        <f t="shared" si="8"/>
        <v>51811</v>
      </c>
      <c r="F134" s="150">
        <f t="shared" si="9"/>
        <v>0.17298703206592145</v>
      </c>
      <c r="G134" s="155"/>
    </row>
    <row r="135" spans="1:7" ht="15" customHeight="1">
      <c r="A135" s="141">
        <v>15</v>
      </c>
      <c r="B135" s="161" t="s">
        <v>381</v>
      </c>
      <c r="C135" s="146">
        <v>180321</v>
      </c>
      <c r="D135" s="146">
        <v>206727</v>
      </c>
      <c r="E135" s="146">
        <f t="shared" si="8"/>
        <v>26406</v>
      </c>
      <c r="F135" s="150">
        <f t="shared" si="9"/>
        <v>0.14643885071622273</v>
      </c>
      <c r="G135" s="155"/>
    </row>
    <row r="136" spans="1:7" ht="15" customHeight="1">
      <c r="A136" s="141">
        <v>16</v>
      </c>
      <c r="B136" s="161" t="s">
        <v>382</v>
      </c>
      <c r="C136" s="146">
        <v>37138</v>
      </c>
      <c r="D136" s="146">
        <v>34970</v>
      </c>
      <c r="E136" s="146">
        <f t="shared" si="8"/>
        <v>-2168</v>
      </c>
      <c r="F136" s="150">
        <f t="shared" si="9"/>
        <v>-0.05837686466691798</v>
      </c>
      <c r="G136" s="155"/>
    </row>
    <row r="137" spans="1:7" ht="15" customHeight="1">
      <c r="A137" s="141">
        <v>17</v>
      </c>
      <c r="B137" s="161" t="s">
        <v>383</v>
      </c>
      <c r="C137" s="146">
        <v>0</v>
      </c>
      <c r="D137" s="146">
        <v>0</v>
      </c>
      <c r="E137" s="146">
        <f t="shared" si="8"/>
        <v>0</v>
      </c>
      <c r="F137" s="150">
        <f t="shared" si="9"/>
        <v>0</v>
      </c>
      <c r="G137" s="155"/>
    </row>
    <row r="138" spans="1:7" ht="15" customHeight="1">
      <c r="A138" s="141">
        <v>18</v>
      </c>
      <c r="B138" s="161" t="s">
        <v>384</v>
      </c>
      <c r="C138" s="146">
        <v>3283449</v>
      </c>
      <c r="D138" s="146">
        <v>3363984</v>
      </c>
      <c r="E138" s="146">
        <f t="shared" si="8"/>
        <v>80535</v>
      </c>
      <c r="F138" s="150">
        <f t="shared" si="9"/>
        <v>0.024527562328514923</v>
      </c>
      <c r="G138" s="155"/>
    </row>
    <row r="139" spans="1:7" ht="15" customHeight="1">
      <c r="A139" s="141">
        <v>19</v>
      </c>
      <c r="B139" s="161" t="s">
        <v>385</v>
      </c>
      <c r="C139" s="146">
        <v>860463</v>
      </c>
      <c r="D139" s="146">
        <v>982155</v>
      </c>
      <c r="E139" s="146">
        <f t="shared" si="8"/>
        <v>121692</v>
      </c>
      <c r="F139" s="150">
        <f t="shared" si="9"/>
        <v>0.141426185669808</v>
      </c>
      <c r="G139" s="155"/>
    </row>
    <row r="140" spans="1:7" ht="15" customHeight="1">
      <c r="A140" s="141">
        <v>20</v>
      </c>
      <c r="B140" s="161" t="s">
        <v>386</v>
      </c>
      <c r="C140" s="146">
        <v>654502</v>
      </c>
      <c r="D140" s="146">
        <v>753337</v>
      </c>
      <c r="E140" s="146">
        <f t="shared" si="8"/>
        <v>98835</v>
      </c>
      <c r="F140" s="150">
        <f t="shared" si="9"/>
        <v>0.1510079419161439</v>
      </c>
      <c r="G140" s="155"/>
    </row>
    <row r="141" spans="1:7" ht="15" customHeight="1">
      <c r="A141" s="141">
        <v>21</v>
      </c>
      <c r="B141" s="161" t="s">
        <v>387</v>
      </c>
      <c r="C141" s="146">
        <v>0</v>
      </c>
      <c r="D141" s="146">
        <v>0</v>
      </c>
      <c r="E141" s="146">
        <f t="shared" si="8"/>
        <v>0</v>
      </c>
      <c r="F141" s="150">
        <f t="shared" si="9"/>
        <v>0</v>
      </c>
      <c r="G141" s="155"/>
    </row>
    <row r="142" spans="1:7" ht="15" customHeight="1">
      <c r="A142" s="141">
        <v>22</v>
      </c>
      <c r="B142" s="161" t="s">
        <v>388</v>
      </c>
      <c r="C142" s="146">
        <v>0</v>
      </c>
      <c r="D142" s="146">
        <v>0</v>
      </c>
      <c r="E142" s="146">
        <f t="shared" si="8"/>
        <v>0</v>
      </c>
      <c r="F142" s="150">
        <f t="shared" si="9"/>
        <v>0</v>
      </c>
      <c r="G142" s="155"/>
    </row>
    <row r="143" spans="1:7" ht="15" customHeight="1">
      <c r="A143" s="141">
        <v>23</v>
      </c>
      <c r="B143" s="161" t="s">
        <v>389</v>
      </c>
      <c r="C143" s="146">
        <v>469410</v>
      </c>
      <c r="D143" s="146">
        <v>494722</v>
      </c>
      <c r="E143" s="146">
        <f t="shared" si="8"/>
        <v>25312</v>
      </c>
      <c r="F143" s="150">
        <f t="shared" si="9"/>
        <v>0.053923009735625575</v>
      </c>
      <c r="G143" s="155"/>
    </row>
    <row r="144" spans="1:7" ht="15" customHeight="1">
      <c r="A144" s="141">
        <v>24</v>
      </c>
      <c r="B144" s="161" t="s">
        <v>390</v>
      </c>
      <c r="C144" s="146">
        <v>6965545</v>
      </c>
      <c r="D144" s="146">
        <v>7767195</v>
      </c>
      <c r="E144" s="146">
        <f t="shared" si="8"/>
        <v>801650</v>
      </c>
      <c r="F144" s="150">
        <f t="shared" si="9"/>
        <v>0.11508790769422923</v>
      </c>
      <c r="G144" s="155"/>
    </row>
    <row r="145" spans="1:7" ht="15" customHeight="1">
      <c r="A145" s="141">
        <v>25</v>
      </c>
      <c r="B145" s="161" t="s">
        <v>391</v>
      </c>
      <c r="C145" s="146">
        <v>1905659</v>
      </c>
      <c r="D145" s="146">
        <v>1959146</v>
      </c>
      <c r="E145" s="146">
        <f t="shared" si="8"/>
        <v>53487</v>
      </c>
      <c r="F145" s="150">
        <f t="shared" si="9"/>
        <v>0.028067455929943395</v>
      </c>
      <c r="G145" s="155"/>
    </row>
    <row r="146" spans="1:7" ht="15" customHeight="1">
      <c r="A146" s="141">
        <v>26</v>
      </c>
      <c r="B146" s="161" t="s">
        <v>392</v>
      </c>
      <c r="C146" s="146">
        <v>0</v>
      </c>
      <c r="D146" s="146">
        <v>0</v>
      </c>
      <c r="E146" s="146">
        <f t="shared" si="8"/>
        <v>0</v>
      </c>
      <c r="F146" s="150">
        <f t="shared" si="9"/>
        <v>0</v>
      </c>
      <c r="G146" s="155"/>
    </row>
    <row r="147" spans="1:7" ht="15" customHeight="1">
      <c r="A147" s="141">
        <v>27</v>
      </c>
      <c r="B147" s="161" t="s">
        <v>393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>
      <c r="A148" s="141">
        <v>28</v>
      </c>
      <c r="B148" s="161" t="s">
        <v>394</v>
      </c>
      <c r="C148" s="146">
        <v>0</v>
      </c>
      <c r="D148" s="146">
        <v>0</v>
      </c>
      <c r="E148" s="146">
        <f t="shared" si="8"/>
        <v>0</v>
      </c>
      <c r="F148" s="150">
        <f t="shared" si="9"/>
        <v>0</v>
      </c>
      <c r="G148" s="155"/>
    </row>
    <row r="149" spans="1:7" ht="15" customHeight="1">
      <c r="A149" s="141">
        <v>29</v>
      </c>
      <c r="B149" s="161" t="s">
        <v>395</v>
      </c>
      <c r="C149" s="146">
        <v>0</v>
      </c>
      <c r="D149" s="146">
        <v>0</v>
      </c>
      <c r="E149" s="146">
        <f t="shared" si="8"/>
        <v>0</v>
      </c>
      <c r="F149" s="150">
        <f t="shared" si="9"/>
        <v>0</v>
      </c>
      <c r="G149" s="155"/>
    </row>
    <row r="150" spans="1:7" ht="15" customHeight="1">
      <c r="A150" s="141">
        <v>30</v>
      </c>
      <c r="B150" s="161" t="s">
        <v>396</v>
      </c>
      <c r="C150" s="146">
        <v>0</v>
      </c>
      <c r="D150" s="146">
        <v>0</v>
      </c>
      <c r="E150" s="146">
        <f t="shared" si="8"/>
        <v>0</v>
      </c>
      <c r="F150" s="150">
        <f t="shared" si="9"/>
        <v>0</v>
      </c>
      <c r="G150" s="155"/>
    </row>
    <row r="151" spans="1:7" ht="15" customHeight="1">
      <c r="A151" s="141">
        <v>31</v>
      </c>
      <c r="B151" s="161" t="s">
        <v>397</v>
      </c>
      <c r="C151" s="146">
        <v>0</v>
      </c>
      <c r="D151" s="146">
        <v>0</v>
      </c>
      <c r="E151" s="146">
        <f t="shared" si="8"/>
        <v>0</v>
      </c>
      <c r="F151" s="150">
        <f t="shared" si="9"/>
        <v>0</v>
      </c>
      <c r="G151" s="155"/>
    </row>
    <row r="152" spans="1:7" ht="15" customHeight="1">
      <c r="A152" s="141">
        <v>32</v>
      </c>
      <c r="B152" s="161" t="s">
        <v>398</v>
      </c>
      <c r="C152" s="146">
        <v>3307527</v>
      </c>
      <c r="D152" s="146">
        <v>3666007</v>
      </c>
      <c r="E152" s="146">
        <f t="shared" si="8"/>
        <v>358480</v>
      </c>
      <c r="F152" s="150">
        <f t="shared" si="9"/>
        <v>0.10838309105262028</v>
      </c>
      <c r="G152" s="155"/>
    </row>
    <row r="153" spans="1:7" ht="15" customHeight="1">
      <c r="A153" s="141">
        <v>33</v>
      </c>
      <c r="B153" s="161" t="s">
        <v>399</v>
      </c>
      <c r="C153" s="146">
        <v>0</v>
      </c>
      <c r="D153" s="146">
        <v>0</v>
      </c>
      <c r="E153" s="146">
        <f t="shared" si="8"/>
        <v>0</v>
      </c>
      <c r="F153" s="150">
        <f t="shared" si="9"/>
        <v>0</v>
      </c>
      <c r="G153" s="155"/>
    </row>
    <row r="154" spans="1:7" ht="15" customHeight="1">
      <c r="A154" s="141">
        <v>34</v>
      </c>
      <c r="B154" s="161" t="s">
        <v>400</v>
      </c>
      <c r="C154" s="146">
        <v>0</v>
      </c>
      <c r="D154" s="146">
        <v>0</v>
      </c>
      <c r="E154" s="146">
        <f t="shared" si="8"/>
        <v>0</v>
      </c>
      <c r="F154" s="150">
        <f t="shared" si="9"/>
        <v>0</v>
      </c>
      <c r="G154" s="155"/>
    </row>
    <row r="155" spans="1:7" ht="15.75" customHeight="1">
      <c r="A155" s="141"/>
      <c r="B155" s="154" t="s">
        <v>401</v>
      </c>
      <c r="C155" s="147">
        <f>SUM(C121:C154)</f>
        <v>106540237</v>
      </c>
      <c r="D155" s="147">
        <f>SUM(D121:D154)</f>
        <v>118235856</v>
      </c>
      <c r="E155" s="147">
        <f t="shared" si="8"/>
        <v>11695619</v>
      </c>
      <c r="F155" s="148">
        <f t="shared" si="9"/>
        <v>0.10977654386107663</v>
      </c>
      <c r="G155" s="155"/>
    </row>
    <row r="156" spans="1:7" ht="15.75" customHeight="1">
      <c r="A156" s="141"/>
      <c r="B156" s="162"/>
      <c r="C156" s="146"/>
      <c r="D156" s="146"/>
      <c r="E156" s="147"/>
      <c r="F156" s="160"/>
      <c r="G156" s="155"/>
    </row>
    <row r="157" spans="1:7" ht="15.75" customHeight="1">
      <c r="A157" s="144" t="s">
        <v>286</v>
      </c>
      <c r="B157" s="145" t="s">
        <v>402</v>
      </c>
      <c r="C157" s="146"/>
      <c r="D157" s="146"/>
      <c r="E157" s="147"/>
      <c r="F157" s="160"/>
      <c r="G157" s="155"/>
    </row>
    <row r="158" spans="1:7" ht="15" customHeight="1">
      <c r="A158" s="141">
        <v>1</v>
      </c>
      <c r="B158" s="161" t="s">
        <v>403</v>
      </c>
      <c r="C158" s="146">
        <v>30929060</v>
      </c>
      <c r="D158" s="146">
        <v>34923222</v>
      </c>
      <c r="E158" s="146">
        <f aca="true" t="shared" si="10" ref="E158:E171">D158-C158</f>
        <v>3994162</v>
      </c>
      <c r="F158" s="150">
        <f aca="true" t="shared" si="11" ref="F158:F171">IF(C158=0,0,E158/C158)</f>
        <v>0.12913945654992426</v>
      </c>
      <c r="G158" s="155"/>
    </row>
    <row r="159" spans="1:7" ht="15" customHeight="1">
      <c r="A159" s="141">
        <v>2</v>
      </c>
      <c r="B159" s="161" t="s">
        <v>404</v>
      </c>
      <c r="C159" s="146">
        <v>6249886</v>
      </c>
      <c r="D159" s="146">
        <v>7407067</v>
      </c>
      <c r="E159" s="146">
        <f t="shared" si="10"/>
        <v>1157181</v>
      </c>
      <c r="F159" s="150">
        <f t="shared" si="11"/>
        <v>0.18515233717863014</v>
      </c>
      <c r="G159" s="155"/>
    </row>
    <row r="160" spans="1:7" ht="15" customHeight="1">
      <c r="A160" s="141">
        <v>3</v>
      </c>
      <c r="B160" s="161" t="s">
        <v>405</v>
      </c>
      <c r="C160" s="146">
        <v>0</v>
      </c>
      <c r="D160" s="146">
        <v>0</v>
      </c>
      <c r="E160" s="146">
        <f t="shared" si="10"/>
        <v>0</v>
      </c>
      <c r="F160" s="150">
        <f t="shared" si="11"/>
        <v>0</v>
      </c>
      <c r="G160" s="155"/>
    </row>
    <row r="161" spans="1:7" ht="15" customHeight="1">
      <c r="A161" s="141">
        <v>4</v>
      </c>
      <c r="B161" s="161" t="s">
        <v>406</v>
      </c>
      <c r="C161" s="146">
        <v>3484144</v>
      </c>
      <c r="D161" s="146">
        <v>3731737</v>
      </c>
      <c r="E161" s="146">
        <f t="shared" si="10"/>
        <v>247593</v>
      </c>
      <c r="F161" s="150">
        <f t="shared" si="11"/>
        <v>0.07106279189379085</v>
      </c>
      <c r="G161" s="155"/>
    </row>
    <row r="162" spans="1:7" ht="15" customHeight="1">
      <c r="A162" s="141">
        <v>5</v>
      </c>
      <c r="B162" s="161" t="s">
        <v>407</v>
      </c>
      <c r="C162" s="146">
        <v>4493823</v>
      </c>
      <c r="D162" s="146">
        <v>4649542</v>
      </c>
      <c r="E162" s="146">
        <f t="shared" si="10"/>
        <v>155719</v>
      </c>
      <c r="F162" s="150">
        <f t="shared" si="11"/>
        <v>0.034651787575968165</v>
      </c>
      <c r="G162" s="155"/>
    </row>
    <row r="163" spans="1:7" ht="15" customHeight="1">
      <c r="A163" s="141">
        <v>6</v>
      </c>
      <c r="B163" s="161" t="s">
        <v>408</v>
      </c>
      <c r="C163" s="146">
        <v>4795302</v>
      </c>
      <c r="D163" s="146">
        <v>5629735</v>
      </c>
      <c r="E163" s="146">
        <f t="shared" si="10"/>
        <v>834433</v>
      </c>
      <c r="F163" s="150">
        <f t="shared" si="11"/>
        <v>0.1740105211308902</v>
      </c>
      <c r="G163" s="155"/>
    </row>
    <row r="164" spans="1:7" ht="15" customHeight="1">
      <c r="A164" s="141">
        <v>7</v>
      </c>
      <c r="B164" s="161" t="s">
        <v>409</v>
      </c>
      <c r="C164" s="146">
        <v>1581576</v>
      </c>
      <c r="D164" s="146">
        <v>1963580</v>
      </c>
      <c r="E164" s="146">
        <f t="shared" si="10"/>
        <v>382004</v>
      </c>
      <c r="F164" s="150">
        <f t="shared" si="11"/>
        <v>0.2415337612609195</v>
      </c>
      <c r="G164" s="155"/>
    </row>
    <row r="165" spans="1:7" ht="15" customHeight="1">
      <c r="A165" s="141">
        <v>8</v>
      </c>
      <c r="B165" s="161" t="s">
        <v>410</v>
      </c>
      <c r="C165" s="146">
        <v>0</v>
      </c>
      <c r="D165" s="146">
        <v>0</v>
      </c>
      <c r="E165" s="146">
        <f t="shared" si="10"/>
        <v>0</v>
      </c>
      <c r="F165" s="150">
        <f t="shared" si="11"/>
        <v>0</v>
      </c>
      <c r="G165" s="155"/>
    </row>
    <row r="166" spans="1:7" ht="15" customHeight="1">
      <c r="A166" s="141">
        <v>9</v>
      </c>
      <c r="B166" s="161" t="s">
        <v>411</v>
      </c>
      <c r="C166" s="146">
        <v>1757902</v>
      </c>
      <c r="D166" s="146">
        <v>2451418</v>
      </c>
      <c r="E166" s="146">
        <f t="shared" si="10"/>
        <v>693516</v>
      </c>
      <c r="F166" s="150">
        <f t="shared" si="11"/>
        <v>0.39451345979468705</v>
      </c>
      <c r="G166" s="155"/>
    </row>
    <row r="167" spans="1:7" ht="15" customHeight="1">
      <c r="A167" s="141">
        <v>10</v>
      </c>
      <c r="B167" s="161" t="s">
        <v>412</v>
      </c>
      <c r="C167" s="146">
        <v>2682722</v>
      </c>
      <c r="D167" s="146">
        <v>2977292</v>
      </c>
      <c r="E167" s="146">
        <f t="shared" si="10"/>
        <v>294570</v>
      </c>
      <c r="F167" s="150">
        <f t="shared" si="11"/>
        <v>0.10980265566092946</v>
      </c>
      <c r="G167" s="155"/>
    </row>
    <row r="168" spans="1:7" ht="15" customHeight="1">
      <c r="A168" s="141">
        <v>11</v>
      </c>
      <c r="B168" s="161" t="s">
        <v>413</v>
      </c>
      <c r="C168" s="146">
        <v>0</v>
      </c>
      <c r="D168" s="146">
        <v>0</v>
      </c>
      <c r="E168" s="146">
        <f t="shared" si="10"/>
        <v>0</v>
      </c>
      <c r="F168" s="150">
        <f t="shared" si="11"/>
        <v>0</v>
      </c>
      <c r="G168" s="155"/>
    </row>
    <row r="169" spans="1:7" ht="15" customHeight="1">
      <c r="A169" s="141">
        <v>12</v>
      </c>
      <c r="B169" s="161" t="s">
        <v>414</v>
      </c>
      <c r="C169" s="146">
        <v>5594257</v>
      </c>
      <c r="D169" s="146">
        <v>7272195</v>
      </c>
      <c r="E169" s="146">
        <f t="shared" si="10"/>
        <v>1677938</v>
      </c>
      <c r="F169" s="150">
        <f t="shared" si="11"/>
        <v>0.2999393842649703</v>
      </c>
      <c r="G169" s="155"/>
    </row>
    <row r="170" spans="1:7" ht="15" customHeight="1">
      <c r="A170" s="141">
        <v>13</v>
      </c>
      <c r="B170" s="161" t="s">
        <v>415</v>
      </c>
      <c r="C170" s="146">
        <v>0</v>
      </c>
      <c r="D170" s="146">
        <v>0</v>
      </c>
      <c r="E170" s="146">
        <f t="shared" si="10"/>
        <v>0</v>
      </c>
      <c r="F170" s="150">
        <f t="shared" si="11"/>
        <v>0</v>
      </c>
      <c r="G170" s="155"/>
    </row>
    <row r="171" spans="1:7" ht="15.75" customHeight="1">
      <c r="A171" s="141"/>
      <c r="B171" s="154" t="s">
        <v>416</v>
      </c>
      <c r="C171" s="147">
        <f>SUM(C158:C170)</f>
        <v>61568672</v>
      </c>
      <c r="D171" s="147">
        <f>SUM(D158:D170)</f>
        <v>71005788</v>
      </c>
      <c r="E171" s="147">
        <f t="shared" si="10"/>
        <v>9437116</v>
      </c>
      <c r="F171" s="148">
        <f t="shared" si="11"/>
        <v>0.15327788781931173</v>
      </c>
      <c r="G171" s="155"/>
    </row>
    <row r="172" spans="1:7" ht="15.75" customHeight="1">
      <c r="A172" s="141"/>
      <c r="B172" s="162"/>
      <c r="C172" s="146"/>
      <c r="D172" s="146"/>
      <c r="E172" s="147"/>
      <c r="F172" s="160"/>
      <c r="G172" s="155"/>
    </row>
    <row r="173" spans="1:7" ht="15.75" customHeight="1">
      <c r="A173" s="144" t="s">
        <v>291</v>
      </c>
      <c r="B173" s="145" t="s">
        <v>417</v>
      </c>
      <c r="C173" s="146"/>
      <c r="D173" s="146"/>
      <c r="E173" s="147"/>
      <c r="F173" s="160"/>
      <c r="G173" s="155"/>
    </row>
    <row r="174" spans="1:7" ht="15" customHeight="1">
      <c r="A174" s="141">
        <v>1</v>
      </c>
      <c r="B174" s="161" t="s">
        <v>418</v>
      </c>
      <c r="C174" s="146">
        <v>17252330</v>
      </c>
      <c r="D174" s="146">
        <v>18514837</v>
      </c>
      <c r="E174" s="146">
        <f>D174-C174</f>
        <v>1262507</v>
      </c>
      <c r="F174" s="150">
        <f>IF(C174=0,0,E174/C174)</f>
        <v>0.07317892713621871</v>
      </c>
      <c r="G174" s="155"/>
    </row>
    <row r="175" spans="1:7" ht="15.75" customHeight="1">
      <c r="A175" s="141"/>
      <c r="B175" s="162"/>
      <c r="C175" s="146"/>
      <c r="D175" s="146"/>
      <c r="E175" s="147"/>
      <c r="F175" s="160"/>
      <c r="G175" s="155"/>
    </row>
    <row r="176" spans="1:7" ht="15.75" customHeight="1">
      <c r="A176" s="153"/>
      <c r="B176" s="154" t="s">
        <v>419</v>
      </c>
      <c r="C176" s="147">
        <f>+C174+C171+C155+C118+C109</f>
        <v>389133838</v>
      </c>
      <c r="D176" s="147">
        <f>+D174+D171+D155+D118+D109</f>
        <v>425519879</v>
      </c>
      <c r="E176" s="147">
        <f>D176-C176</f>
        <v>36386041</v>
      </c>
      <c r="F176" s="148">
        <f>IF(C176=0,0,E176/C176)</f>
        <v>0.09350520938248501</v>
      </c>
      <c r="G176" s="155"/>
    </row>
    <row r="177" spans="1:7" ht="15.75" customHeight="1">
      <c r="A177" s="153"/>
      <c r="B177" s="162"/>
      <c r="C177" s="146"/>
      <c r="D177" s="146"/>
      <c r="E177" s="147"/>
      <c r="F177" s="148"/>
      <c r="G177" s="155"/>
    </row>
    <row r="178" spans="1:7" ht="15.75" customHeight="1">
      <c r="A178" s="153"/>
      <c r="B178" s="157" t="s">
        <v>420</v>
      </c>
      <c r="C178" s="146"/>
      <c r="D178" s="146"/>
      <c r="E178" s="147"/>
      <c r="F178" s="148"/>
      <c r="G178" s="155"/>
    </row>
    <row r="179" spans="1:7" ht="15" customHeight="1">
      <c r="A179" s="153"/>
      <c r="B179" s="162"/>
      <c r="C179" s="163"/>
      <c r="D179" s="163"/>
      <c r="E179" s="163"/>
      <c r="F179" s="163"/>
      <c r="G179" s="155"/>
    </row>
  </sheetData>
  <sheetProtection/>
  <printOptions/>
  <pageMargins left="0.25" right="0.25" top="0.5" bottom="0.5" header="0.25" footer="0.25"/>
  <pageSetup horizontalDpi="1200" verticalDpi="1200" orientation="portrait" paperSize="9" scale="74" r:id="rId1"/>
  <headerFooter alignWithMargins="0">
    <oddHeader>&amp;LOFFICE OF HEALTH CARE ACCESS&amp;CTWELVE MONTHS ACTUAL FILING&amp;RSTAMFORD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92"/>
  <sheetViews>
    <sheetView zoomScale="85" zoomScaleNormal="85" zoomScalePageLayoutView="0" workbookViewId="0" topLeftCell="A1">
      <selection activeCell="A1" sqref="A1"/>
    </sheetView>
  </sheetViews>
  <sheetFormatPr defaultColWidth="9.140625" defaultRowHeight="24" customHeight="1"/>
  <cols>
    <col min="1" max="1" width="7.7109375" style="1" customWidth="1"/>
    <col min="2" max="2" width="63.00390625" style="1" customWidth="1"/>
    <col min="3" max="4" width="21.8515625" style="1" customWidth="1"/>
    <col min="5" max="6" width="21.8515625" style="2" customWidth="1"/>
    <col min="7" max="16384" width="9.140625" style="1" customWidth="1"/>
  </cols>
  <sheetData>
    <row r="1" spans="1:6" ht="24" customHeight="1">
      <c r="A1" s="21"/>
      <c r="B1" s="3" t="s">
        <v>115</v>
      </c>
      <c r="C1" s="3"/>
      <c r="D1" s="3"/>
      <c r="E1" s="4"/>
      <c r="F1" s="5"/>
    </row>
    <row r="2" spans="1:6" ht="24" customHeight="1">
      <c r="A2" s="35"/>
      <c r="B2" s="3" t="s">
        <v>116</v>
      </c>
      <c r="C2" s="3"/>
      <c r="D2" s="3"/>
      <c r="E2" s="4"/>
      <c r="F2" s="5"/>
    </row>
    <row r="3" spans="1:6" ht="24" customHeight="1">
      <c r="A3" s="35"/>
      <c r="B3" s="3" t="s">
        <v>117</v>
      </c>
      <c r="C3" s="3"/>
      <c r="D3" s="3"/>
      <c r="E3" s="4"/>
      <c r="F3" s="5"/>
    </row>
    <row r="4" spans="1:6" ht="24" customHeight="1">
      <c r="A4" s="35"/>
      <c r="B4" s="3" t="s">
        <v>421</v>
      </c>
      <c r="C4" s="4"/>
      <c r="D4" s="4"/>
      <c r="E4" s="4"/>
      <c r="F4" s="5"/>
    </row>
    <row r="5" spans="1:6" ht="24" customHeight="1">
      <c r="A5" s="35"/>
      <c r="B5" s="3"/>
      <c r="C5" s="3"/>
      <c r="D5" s="3"/>
      <c r="E5" s="4"/>
      <c r="F5" s="5"/>
    </row>
    <row r="6" spans="1:6" ht="24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>
      <c r="A7" s="11"/>
      <c r="B7" s="9"/>
      <c r="C7" s="11" t="s">
        <v>125</v>
      </c>
      <c r="D7" s="11" t="s">
        <v>125</v>
      </c>
      <c r="E7" s="11" t="s">
        <v>125</v>
      </c>
      <c r="F7" s="11"/>
    </row>
    <row r="8" spans="1:6" ht="24" customHeight="1">
      <c r="A8" s="13" t="s">
        <v>123</v>
      </c>
      <c r="B8" s="16" t="s">
        <v>124</v>
      </c>
      <c r="C8" s="13" t="s">
        <v>422</v>
      </c>
      <c r="D8" s="13" t="s">
        <v>119</v>
      </c>
      <c r="E8" s="13" t="s">
        <v>120</v>
      </c>
      <c r="F8" s="13"/>
    </row>
    <row r="9" spans="1:6" ht="24" customHeight="1">
      <c r="A9" s="13"/>
      <c r="B9" s="16"/>
      <c r="C9" s="13"/>
      <c r="D9" s="13"/>
      <c r="E9" s="13"/>
      <c r="F9" s="13"/>
    </row>
    <row r="10" spans="1:6" ht="24" customHeight="1">
      <c r="A10" s="20" t="s">
        <v>129</v>
      </c>
      <c r="B10" s="30" t="s">
        <v>423</v>
      </c>
      <c r="C10" s="27"/>
      <c r="D10" s="27"/>
      <c r="E10" s="53"/>
      <c r="F10" s="13"/>
    </row>
    <row r="11" spans="1:6" ht="24" customHeight="1">
      <c r="A11" s="44">
        <v>1</v>
      </c>
      <c r="B11" s="48" t="s">
        <v>190</v>
      </c>
      <c r="C11" s="51">
        <v>333269000</v>
      </c>
      <c r="D11" s="164">
        <v>381968990</v>
      </c>
      <c r="E11" s="51">
        <v>416937724</v>
      </c>
      <c r="F11" s="13"/>
    </row>
    <row r="12" spans="1:6" ht="24" customHeight="1">
      <c r="A12" s="44">
        <v>2</v>
      </c>
      <c r="B12" s="165" t="s">
        <v>424</v>
      </c>
      <c r="C12" s="49">
        <v>18398213</v>
      </c>
      <c r="D12" s="49">
        <v>23149832</v>
      </c>
      <c r="E12" s="49">
        <v>27261542</v>
      </c>
      <c r="F12" s="13"/>
    </row>
    <row r="13" spans="1:6" ht="24" customHeight="1">
      <c r="A13" s="44">
        <v>3</v>
      </c>
      <c r="B13" s="48" t="s">
        <v>193</v>
      </c>
      <c r="C13" s="51">
        <f>+C11+C12</f>
        <v>351667213</v>
      </c>
      <c r="D13" s="51">
        <f>+D11+D12</f>
        <v>405118822</v>
      </c>
      <c r="E13" s="51">
        <f>+E11+E12</f>
        <v>444199266</v>
      </c>
      <c r="F13" s="13"/>
    </row>
    <row r="14" spans="1:6" ht="24" customHeight="1">
      <c r="A14" s="44">
        <v>4</v>
      </c>
      <c r="B14" s="166" t="s">
        <v>204</v>
      </c>
      <c r="C14" s="49">
        <v>341537208</v>
      </c>
      <c r="D14" s="49">
        <v>389133838</v>
      </c>
      <c r="E14" s="49">
        <v>425519879</v>
      </c>
      <c r="F14" s="13"/>
    </row>
    <row r="15" spans="1:6" ht="24" customHeight="1">
      <c r="A15" s="44">
        <v>5</v>
      </c>
      <c r="B15" s="48" t="s">
        <v>205</v>
      </c>
      <c r="C15" s="51">
        <f>+C13-C14</f>
        <v>10130005</v>
      </c>
      <c r="D15" s="51">
        <f>+D13-D14</f>
        <v>15984984</v>
      </c>
      <c r="E15" s="51">
        <f>+E13-E14</f>
        <v>18679387</v>
      </c>
      <c r="F15" s="13"/>
    </row>
    <row r="16" spans="1:6" ht="24" customHeight="1">
      <c r="A16" s="44">
        <v>6</v>
      </c>
      <c r="B16" s="166" t="s">
        <v>210</v>
      </c>
      <c r="C16" s="49">
        <v>3300297</v>
      </c>
      <c r="D16" s="49">
        <v>-4206071</v>
      </c>
      <c r="E16" s="49">
        <v>-988395</v>
      </c>
      <c r="F16" s="13"/>
    </row>
    <row r="17" spans="1:6" ht="24" customHeight="1">
      <c r="A17" s="44">
        <v>7</v>
      </c>
      <c r="B17" s="45" t="s">
        <v>425</v>
      </c>
      <c r="C17" s="51">
        <f>C15+C16</f>
        <v>13430302</v>
      </c>
      <c r="D17" s="51">
        <f>D15+D16</f>
        <v>11778913</v>
      </c>
      <c r="E17" s="51">
        <f>E15+E16</f>
        <v>17690992</v>
      </c>
      <c r="F17" s="13"/>
    </row>
    <row r="18" spans="1:6" ht="24" customHeight="1">
      <c r="A18" s="44"/>
      <c r="B18" s="30"/>
      <c r="C18" s="167"/>
      <c r="D18" s="167"/>
      <c r="E18" s="168"/>
      <c r="F18" s="13"/>
    </row>
    <row r="19" spans="1:6" ht="24" customHeight="1">
      <c r="A19" s="20" t="s">
        <v>141</v>
      </c>
      <c r="B19" s="30" t="s">
        <v>426</v>
      </c>
      <c r="C19" s="27"/>
      <c r="D19" s="27"/>
      <c r="E19" s="53"/>
      <c r="F19" s="13"/>
    </row>
    <row r="20" spans="1:6" ht="24" customHeight="1">
      <c r="A20" s="25">
        <v>1</v>
      </c>
      <c r="B20" s="48" t="s">
        <v>427</v>
      </c>
      <c r="C20" s="169">
        <f>IF(+C27=0,0,+C24/+C27)</f>
        <v>0.02853783716712552</v>
      </c>
      <c r="D20" s="169">
        <f>IF(+D27=0,0,+D24/+D27)</f>
        <v>0.039871478171069695</v>
      </c>
      <c r="E20" s="169">
        <f>IF(+E27=0,0,+E24/+E27)</f>
        <v>0.042145597552366895</v>
      </c>
      <c r="F20" s="13"/>
    </row>
    <row r="21" spans="1:6" ht="24" customHeight="1">
      <c r="A21" s="25">
        <v>2</v>
      </c>
      <c r="B21" s="48" t="s">
        <v>428</v>
      </c>
      <c r="C21" s="169">
        <f>IF(C27=0,0,+C26/C27)</f>
        <v>0.009297462181820529</v>
      </c>
      <c r="D21" s="169">
        <f>IF(D27=0,0,+D26/D27)</f>
        <v>-0.010491237780561387</v>
      </c>
      <c r="E21" s="169">
        <f>IF(E27=0,0,+E26/E27)</f>
        <v>-0.002230078422422089</v>
      </c>
      <c r="F21" s="13"/>
    </row>
    <row r="22" spans="1:6" ht="24" customHeight="1">
      <c r="A22" s="25">
        <v>3</v>
      </c>
      <c r="B22" s="48" t="s">
        <v>429</v>
      </c>
      <c r="C22" s="169">
        <f>IF(C27=0,0,+C28/C27)</f>
        <v>0.03783529934894605</v>
      </c>
      <c r="D22" s="169">
        <f>IF(D27=0,0,+D28/D27)</f>
        <v>0.029380240390508308</v>
      </c>
      <c r="E22" s="169">
        <f>IF(E27=0,0,+E28/E27)</f>
        <v>0.03991551912994481</v>
      </c>
      <c r="F22" s="13"/>
    </row>
    <row r="23" spans="1:6" ht="24" customHeight="1">
      <c r="A23" s="21"/>
      <c r="B23" s="48"/>
      <c r="C23" s="169"/>
      <c r="D23" s="169"/>
      <c r="E23" s="169"/>
      <c r="F23" s="13"/>
    </row>
    <row r="24" spans="1:6" ht="24" customHeight="1">
      <c r="A24" s="21">
        <v>4</v>
      </c>
      <c r="B24" s="48" t="s">
        <v>205</v>
      </c>
      <c r="C24" s="51">
        <f>+C15</f>
        <v>10130005</v>
      </c>
      <c r="D24" s="51">
        <f>+D15</f>
        <v>15984984</v>
      </c>
      <c r="E24" s="51">
        <f>+E15</f>
        <v>18679387</v>
      </c>
      <c r="F24" s="13"/>
    </row>
    <row r="25" spans="1:6" ht="24" customHeight="1">
      <c r="A25" s="21">
        <v>5</v>
      </c>
      <c r="B25" s="48" t="s">
        <v>193</v>
      </c>
      <c r="C25" s="51">
        <f>+C13</f>
        <v>351667213</v>
      </c>
      <c r="D25" s="51">
        <f>+D13</f>
        <v>405118822</v>
      </c>
      <c r="E25" s="51">
        <f>+E13</f>
        <v>444199266</v>
      </c>
      <c r="F25" s="13"/>
    </row>
    <row r="26" spans="1:6" ht="24" customHeight="1">
      <c r="A26" s="21">
        <v>6</v>
      </c>
      <c r="B26" s="48" t="s">
        <v>210</v>
      </c>
      <c r="C26" s="51">
        <f>+C16</f>
        <v>3300297</v>
      </c>
      <c r="D26" s="51">
        <f>+D16</f>
        <v>-4206071</v>
      </c>
      <c r="E26" s="51">
        <f>+E16</f>
        <v>-988395</v>
      </c>
      <c r="F26" s="13"/>
    </row>
    <row r="27" spans="1:6" ht="24" customHeight="1">
      <c r="A27" s="21">
        <v>7</v>
      </c>
      <c r="B27" s="48" t="s">
        <v>430</v>
      </c>
      <c r="C27" s="51">
        <f>+C25+C26</f>
        <v>354967510</v>
      </c>
      <c r="D27" s="51">
        <f>+D25+D26</f>
        <v>400912751</v>
      </c>
      <c r="E27" s="51">
        <f>+E25+E26</f>
        <v>443210871</v>
      </c>
      <c r="F27" s="13"/>
    </row>
    <row r="28" spans="1:6" ht="24" customHeight="1">
      <c r="A28" s="21">
        <v>8</v>
      </c>
      <c r="B28" s="45" t="s">
        <v>425</v>
      </c>
      <c r="C28" s="51">
        <f>+C17</f>
        <v>13430302</v>
      </c>
      <c r="D28" s="51">
        <f>+D17</f>
        <v>11778913</v>
      </c>
      <c r="E28" s="51">
        <f>+E17</f>
        <v>17690992</v>
      </c>
      <c r="F28" s="13"/>
    </row>
    <row r="29" spans="1:6" ht="24" customHeight="1">
      <c r="A29" s="170"/>
      <c r="B29" s="48"/>
      <c r="C29" s="51"/>
      <c r="D29" s="51"/>
      <c r="E29" s="51"/>
      <c r="F29" s="13"/>
    </row>
    <row r="30" spans="1:6" ht="24" customHeight="1">
      <c r="A30" s="20" t="s">
        <v>151</v>
      </c>
      <c r="B30" s="41" t="s">
        <v>431</v>
      </c>
      <c r="C30" s="27"/>
      <c r="D30" s="27"/>
      <c r="E30" s="53"/>
      <c r="F30" s="13"/>
    </row>
    <row r="31" spans="1:6" ht="24" customHeight="1">
      <c r="A31" s="25">
        <v>1</v>
      </c>
      <c r="B31" s="22" t="s">
        <v>432</v>
      </c>
      <c r="C31" s="51">
        <v>110051759</v>
      </c>
      <c r="D31" s="51">
        <v>111130289</v>
      </c>
      <c r="E31" s="51">
        <v>42615000</v>
      </c>
      <c r="F31" s="13"/>
    </row>
    <row r="32" spans="1:6" ht="24" customHeight="1">
      <c r="A32" s="25">
        <v>2</v>
      </c>
      <c r="B32" s="48" t="s">
        <v>433</v>
      </c>
      <c r="C32" s="51">
        <v>142777414</v>
      </c>
      <c r="D32" s="51">
        <v>141187158</v>
      </c>
      <c r="E32" s="51">
        <v>70813000</v>
      </c>
      <c r="F32" s="13"/>
    </row>
    <row r="33" spans="1:6" ht="24" customHeight="1">
      <c r="A33" s="25">
        <v>3</v>
      </c>
      <c r="B33" s="48" t="s">
        <v>434</v>
      </c>
      <c r="C33" s="51">
        <v>142777414</v>
      </c>
      <c r="D33" s="51">
        <f>+D32-C32</f>
        <v>-1590256</v>
      </c>
      <c r="E33" s="51">
        <f>+E32-D32</f>
        <v>-70374158</v>
      </c>
      <c r="F33" s="5"/>
    </row>
    <row r="34" spans="1:6" ht="24" customHeight="1">
      <c r="A34" s="25">
        <v>4</v>
      </c>
      <c r="B34" s="48" t="s">
        <v>435</v>
      </c>
      <c r="C34" s="171">
        <v>0</v>
      </c>
      <c r="D34" s="171">
        <f>IF(C32=0,0,+D33/C32)</f>
        <v>-0.01113800814462153</v>
      </c>
      <c r="E34" s="171">
        <f>IF(D32=0,0,+E33/D32)</f>
        <v>-0.4984458855670145</v>
      </c>
      <c r="F34" s="5"/>
    </row>
    <row r="35" spans="1:6" ht="24" customHeight="1">
      <c r="A35" s="170"/>
      <c r="B35" s="26"/>
      <c r="C35" s="27"/>
      <c r="D35" s="27"/>
      <c r="E35" s="53"/>
      <c r="F35" s="5"/>
    </row>
    <row r="36" spans="1:6" ht="24" customHeight="1">
      <c r="A36" s="20" t="s">
        <v>436</v>
      </c>
      <c r="B36" s="41" t="s">
        <v>437</v>
      </c>
      <c r="C36" s="4"/>
      <c r="D36" s="4"/>
      <c r="E36" s="4"/>
      <c r="F36" s="5"/>
    </row>
    <row r="37" spans="1:6" ht="24" customHeight="1">
      <c r="A37" s="20"/>
      <c r="B37" s="41"/>
      <c r="C37" s="4"/>
      <c r="D37" s="4"/>
      <c r="E37" s="4"/>
      <c r="F37" s="5"/>
    </row>
    <row r="38" spans="1:6" ht="24" customHeight="1">
      <c r="A38" s="29">
        <v>1</v>
      </c>
      <c r="B38" s="30" t="s">
        <v>438</v>
      </c>
      <c r="C38" s="172">
        <f>IF((C40+C41)=0,0,+C39/(C40+C41))</f>
        <v>0.39914304445076254</v>
      </c>
      <c r="D38" s="172">
        <f>IF((D40+D41)=0,0,+D39/(D40+D41))</f>
        <v>0.3840947670071284</v>
      </c>
      <c r="E38" s="172">
        <f>IF((E40+E41)=0,0,+E39/(E40+E41))</f>
        <v>0.3604448521637755</v>
      </c>
      <c r="F38" s="5"/>
    </row>
    <row r="39" spans="1:6" ht="24" customHeight="1">
      <c r="A39" s="21">
        <v>2</v>
      </c>
      <c r="B39" s="48" t="s">
        <v>439</v>
      </c>
      <c r="C39" s="51">
        <v>339535205</v>
      </c>
      <c r="D39" s="51">
        <v>389133838</v>
      </c>
      <c r="E39" s="23">
        <v>425519879</v>
      </c>
      <c r="F39" s="5"/>
    </row>
    <row r="40" spans="1:6" ht="24" customHeight="1">
      <c r="A40" s="21">
        <v>3</v>
      </c>
      <c r="B40" s="48" t="s">
        <v>440</v>
      </c>
      <c r="C40" s="51">
        <v>826773019</v>
      </c>
      <c r="D40" s="51">
        <v>989969511</v>
      </c>
      <c r="E40" s="23">
        <v>1157017313</v>
      </c>
      <c r="F40" s="5"/>
    </row>
    <row r="41" spans="1:6" ht="24" customHeight="1">
      <c r="A41" s="21">
        <v>4</v>
      </c>
      <c r="B41" s="48" t="s">
        <v>441</v>
      </c>
      <c r="C41" s="51">
        <v>23887439</v>
      </c>
      <c r="D41" s="51">
        <v>23149832</v>
      </c>
      <c r="E41" s="23">
        <v>23523556</v>
      </c>
      <c r="F41" s="5"/>
    </row>
    <row r="42" spans="1:6" ht="24" customHeight="1">
      <c r="A42" s="170"/>
      <c r="B42" s="48"/>
      <c r="C42" s="3"/>
      <c r="D42" s="3"/>
      <c r="E42" s="4"/>
      <c r="F42" s="5"/>
    </row>
    <row r="43" spans="1:6" ht="24" customHeight="1">
      <c r="A43" s="29">
        <v>5</v>
      </c>
      <c r="B43" s="30" t="s">
        <v>442</v>
      </c>
      <c r="C43" s="173">
        <f>IF(C38=0,0,IF((C46-C47)=0,0,((+C44-C45)/(C46-C47)/C38)))</f>
        <v>1.250748085646258</v>
      </c>
      <c r="D43" s="173">
        <f>IF(D38=0,0,IF((D46-D47)=0,0,((+D44-D45)/(D46-D47)/D38)))</f>
        <v>1.277726213179045</v>
      </c>
      <c r="E43" s="173">
        <f>IF(E38=0,0,IF((E46-E47)=0,0,((+E44-E45)/(E46-E47)/E38)))</f>
        <v>1.3212789093356772</v>
      </c>
      <c r="F43" s="5"/>
    </row>
    <row r="44" spans="1:6" ht="24" customHeight="1">
      <c r="A44" s="21">
        <v>6</v>
      </c>
      <c r="B44" s="48" t="s">
        <v>443</v>
      </c>
      <c r="C44" s="51">
        <v>199763626</v>
      </c>
      <c r="D44" s="51">
        <v>231886476</v>
      </c>
      <c r="E44" s="23">
        <v>259720619</v>
      </c>
      <c r="F44" s="5"/>
    </row>
    <row r="45" spans="1:6" ht="24" customHeight="1">
      <c r="A45" s="21">
        <v>7</v>
      </c>
      <c r="B45" s="48" t="s">
        <v>444</v>
      </c>
      <c r="C45" s="51">
        <v>2763296</v>
      </c>
      <c r="D45" s="51">
        <v>2697781</v>
      </c>
      <c r="E45" s="23">
        <v>2237759</v>
      </c>
      <c r="F45" s="5"/>
    </row>
    <row r="46" spans="1:6" ht="24" customHeight="1">
      <c r="A46" s="21">
        <v>8</v>
      </c>
      <c r="B46" s="48" t="s">
        <v>445</v>
      </c>
      <c r="C46" s="51">
        <v>442065022</v>
      </c>
      <c r="D46" s="51">
        <v>519385427</v>
      </c>
      <c r="E46" s="23">
        <v>600282993</v>
      </c>
      <c r="F46" s="5"/>
    </row>
    <row r="47" spans="1:6" ht="24" customHeight="1">
      <c r="A47" s="21">
        <v>9</v>
      </c>
      <c r="B47" s="48" t="s">
        <v>446</v>
      </c>
      <c r="C47" s="51">
        <v>47454609</v>
      </c>
      <c r="D47" s="51">
        <v>52385302</v>
      </c>
      <c r="E47" s="174">
        <v>59634503</v>
      </c>
      <c r="F47" s="5"/>
    </row>
    <row r="48" spans="1:6" ht="24" customHeight="1">
      <c r="A48" s="170"/>
      <c r="B48" s="48"/>
      <c r="C48" s="3"/>
      <c r="D48" s="3"/>
      <c r="E48" s="4"/>
      <c r="F48" s="5"/>
    </row>
    <row r="49" spans="1:6" ht="24" customHeight="1">
      <c r="A49" s="29">
        <v>10</v>
      </c>
      <c r="B49" s="30" t="s">
        <v>447</v>
      </c>
      <c r="C49" s="175">
        <f>IF(C38=0,0,IF(C51=0,0,(C50/C51)/C38))</f>
        <v>0.6906001593789544</v>
      </c>
      <c r="D49" s="175">
        <f>IF(D38=0,0,IF(D51=0,0,(D50/D51)/D38))</f>
        <v>0.6403889817117407</v>
      </c>
      <c r="E49" s="175">
        <f>IF(E38=0,0,IF(E51=0,0,(E50/E51)/E38))</f>
        <v>0.6284971543404219</v>
      </c>
      <c r="F49" s="7"/>
    </row>
    <row r="50" spans="1:6" ht="24" customHeight="1">
      <c r="A50" s="21">
        <v>11</v>
      </c>
      <c r="B50" s="48" t="s">
        <v>448</v>
      </c>
      <c r="C50" s="176">
        <v>83782798</v>
      </c>
      <c r="D50" s="176">
        <v>92011949</v>
      </c>
      <c r="E50" s="176">
        <v>96033569</v>
      </c>
      <c r="F50" s="11"/>
    </row>
    <row r="51" spans="1:6" ht="24" customHeight="1">
      <c r="A51" s="21">
        <v>12</v>
      </c>
      <c r="B51" s="48" t="s">
        <v>449</v>
      </c>
      <c r="C51" s="176">
        <v>303948231</v>
      </c>
      <c r="D51" s="176">
        <v>374077846</v>
      </c>
      <c r="E51" s="176">
        <v>423917091</v>
      </c>
      <c r="F51" s="11"/>
    </row>
    <row r="52" spans="1:6" ht="24" customHeight="1">
      <c r="A52" s="170"/>
      <c r="B52" s="48"/>
      <c r="C52" s="11"/>
      <c r="D52" s="11"/>
      <c r="E52" s="11"/>
      <c r="F52" s="11"/>
    </row>
    <row r="53" spans="1:6" ht="24" customHeight="1">
      <c r="A53" s="29">
        <v>13</v>
      </c>
      <c r="B53" s="30" t="s">
        <v>450</v>
      </c>
      <c r="C53" s="175">
        <f>IF(C38=0,0,IF(C55=0,0,(C54/C55)/C38))</f>
        <v>0.49365168156669004</v>
      </c>
      <c r="D53" s="175">
        <f>IF(D38=0,0,IF(D55=0,0,(D54/D55)/D38))</f>
        <v>0.5861725555804722</v>
      </c>
      <c r="E53" s="175">
        <f>IF(E38=0,0,IF(E55=0,0,(E54/E55)/E38))</f>
        <v>0.6128913405125036</v>
      </c>
      <c r="F53" s="13"/>
    </row>
    <row r="54" spans="1:6" ht="24" customHeight="1">
      <c r="A54" s="21">
        <v>14</v>
      </c>
      <c r="B54" s="48" t="s">
        <v>451</v>
      </c>
      <c r="C54" s="176">
        <v>12859146</v>
      </c>
      <c r="D54" s="176">
        <v>16419447</v>
      </c>
      <c r="E54" s="176">
        <v>21860705</v>
      </c>
      <c r="F54" s="13"/>
    </row>
    <row r="55" spans="1:6" ht="24" customHeight="1">
      <c r="A55" s="21">
        <v>15</v>
      </c>
      <c r="B55" s="48" t="s">
        <v>452</v>
      </c>
      <c r="C55" s="176">
        <v>65262385</v>
      </c>
      <c r="D55" s="176">
        <v>72928059</v>
      </c>
      <c r="E55" s="176">
        <v>98955936</v>
      </c>
      <c r="F55" s="13"/>
    </row>
    <row r="56" spans="1:6" ht="24" customHeight="1">
      <c r="A56" s="170"/>
      <c r="B56" s="177"/>
      <c r="C56" s="13"/>
      <c r="D56" s="13"/>
      <c r="E56" s="13"/>
      <c r="F56" s="13"/>
    </row>
    <row r="57" spans="1:6" ht="24" customHeight="1">
      <c r="A57" s="29">
        <v>16</v>
      </c>
      <c r="B57" s="30" t="s">
        <v>453</v>
      </c>
      <c r="C57" s="53">
        <f>+C60*C38</f>
        <v>19424296.258196358</v>
      </c>
      <c r="D57" s="53">
        <f>+D60*D38</f>
        <v>23253122.92896094</v>
      </c>
      <c r="E57" s="53">
        <f>+E60*E38</f>
        <v>21570630.421079792</v>
      </c>
      <c r="F57" s="13"/>
    </row>
    <row r="58" spans="1:6" ht="24" customHeight="1">
      <c r="A58" s="21">
        <v>17</v>
      </c>
      <c r="B58" s="48" t="s">
        <v>454</v>
      </c>
      <c r="C58" s="51">
        <v>14266408</v>
      </c>
      <c r="D58" s="51">
        <v>15715201</v>
      </c>
      <c r="E58" s="52">
        <v>11909791</v>
      </c>
      <c r="F58" s="28"/>
    </row>
    <row r="59" spans="1:6" ht="24" customHeight="1">
      <c r="A59" s="21">
        <v>18</v>
      </c>
      <c r="B59" s="48" t="s">
        <v>200</v>
      </c>
      <c r="C59" s="51">
        <v>34398592</v>
      </c>
      <c r="D59" s="51">
        <v>44824866</v>
      </c>
      <c r="E59" s="52">
        <v>47934677</v>
      </c>
      <c r="F59" s="28"/>
    </row>
    <row r="60" spans="1:6" ht="24" customHeight="1">
      <c r="A60" s="21">
        <v>19</v>
      </c>
      <c r="B60" s="48" t="s">
        <v>455</v>
      </c>
      <c r="C60" s="51">
        <v>48665000</v>
      </c>
      <c r="D60" s="51">
        <v>60540067</v>
      </c>
      <c r="E60" s="52">
        <v>59844468</v>
      </c>
      <c r="F60" s="28"/>
    </row>
    <row r="61" spans="1:6" ht="24" customHeight="1">
      <c r="A61" s="170"/>
      <c r="B61" s="16"/>
      <c r="C61" s="13"/>
      <c r="D61" s="13"/>
      <c r="E61" s="13"/>
      <c r="F61" s="13"/>
    </row>
    <row r="62" spans="1:6" ht="24" customHeight="1">
      <c r="A62" s="29">
        <v>20</v>
      </c>
      <c r="B62" s="30" t="s">
        <v>456</v>
      </c>
      <c r="C62" s="178">
        <f>IF(C63=0,0,+C57/C63)</f>
        <v>0.05720848964158623</v>
      </c>
      <c r="D62" s="178">
        <f>IF(D63=0,0,+D57/D63)</f>
        <v>0.05975610614711163</v>
      </c>
      <c r="E62" s="178">
        <f>IF(E63=0,0,+E57/E63)</f>
        <v>0.050692415291553966</v>
      </c>
      <c r="F62" s="13"/>
    </row>
    <row r="63" spans="1:6" ht="24" customHeight="1">
      <c r="A63" s="21">
        <v>21</v>
      </c>
      <c r="B63" s="45" t="s">
        <v>439</v>
      </c>
      <c r="C63" s="176">
        <v>339535205</v>
      </c>
      <c r="D63" s="176">
        <v>389133838</v>
      </c>
      <c r="E63" s="176">
        <v>425519879</v>
      </c>
      <c r="F63" s="13"/>
    </row>
    <row r="64" spans="1:6" ht="24" customHeight="1">
      <c r="A64" s="170"/>
      <c r="B64" s="48"/>
      <c r="C64" s="44"/>
      <c r="D64" s="44"/>
      <c r="E64" s="44"/>
      <c r="F64" s="13"/>
    </row>
    <row r="65" spans="1:6" ht="24" customHeight="1">
      <c r="A65" s="29" t="s">
        <v>457</v>
      </c>
      <c r="B65" s="41" t="s">
        <v>458</v>
      </c>
      <c r="C65" s="27"/>
      <c r="D65" s="27"/>
      <c r="E65" s="53"/>
      <c r="F65" s="28"/>
    </row>
    <row r="66" spans="1:6" ht="24" customHeight="1">
      <c r="A66" s="29"/>
      <c r="B66" s="41"/>
      <c r="C66" s="27"/>
      <c r="D66" s="27"/>
      <c r="E66" s="53"/>
      <c r="F66" s="28"/>
    </row>
    <row r="67" spans="1:6" ht="24" customHeight="1">
      <c r="A67" s="29">
        <v>1</v>
      </c>
      <c r="B67" s="30" t="s">
        <v>459</v>
      </c>
      <c r="C67" s="179">
        <f>IF(C69=0,0,C68/C69)</f>
        <v>1.3900219412391763</v>
      </c>
      <c r="D67" s="179">
        <f>IF(D69=0,0,D68/D69)</f>
        <v>1.1534823128923561</v>
      </c>
      <c r="E67" s="179">
        <f>IF(E69=0,0,E68/E69)</f>
        <v>1.1907333758858283</v>
      </c>
      <c r="F67" s="28"/>
    </row>
    <row r="68" spans="1:6" ht="24" customHeight="1">
      <c r="A68" s="21">
        <v>2</v>
      </c>
      <c r="B68" s="48" t="s">
        <v>140</v>
      </c>
      <c r="C68" s="180">
        <v>68485440</v>
      </c>
      <c r="D68" s="180">
        <v>66693691</v>
      </c>
      <c r="E68" s="180">
        <v>72755000</v>
      </c>
      <c r="F68" s="28"/>
    </row>
    <row r="69" spans="1:6" ht="24" customHeight="1">
      <c r="A69" s="21">
        <v>3</v>
      </c>
      <c r="B69" s="48" t="s">
        <v>169</v>
      </c>
      <c r="C69" s="180">
        <v>49269323</v>
      </c>
      <c r="D69" s="180">
        <v>57819431</v>
      </c>
      <c r="E69" s="180">
        <v>61101000</v>
      </c>
      <c r="F69" s="28"/>
    </row>
    <row r="70" spans="1:6" ht="24" customHeight="1">
      <c r="A70" s="21"/>
      <c r="B70" s="26"/>
      <c r="C70" s="27"/>
      <c r="D70" s="27"/>
      <c r="E70" s="53"/>
      <c r="F70" s="28"/>
    </row>
    <row r="71" spans="1:6" ht="24" customHeight="1">
      <c r="A71" s="29">
        <v>4</v>
      </c>
      <c r="B71" s="30" t="s">
        <v>460</v>
      </c>
      <c r="C71" s="181">
        <f>IF((C77/365)=0,0,+C74/(C77/365))</f>
        <v>19.862992064886726</v>
      </c>
      <c r="D71" s="181">
        <f>IF((D77/365)=0,0,+D74/(D77/365))</f>
        <v>6.905632315273564</v>
      </c>
      <c r="E71" s="181">
        <f>IF((E77/365)=0,0,+E74/(E77/365))</f>
        <v>9.005845968021559</v>
      </c>
      <c r="F71" s="28"/>
    </row>
    <row r="72" spans="1:6" ht="24" customHeight="1">
      <c r="A72" s="21">
        <v>5</v>
      </c>
      <c r="B72" s="22" t="s">
        <v>131</v>
      </c>
      <c r="C72" s="182">
        <v>17242346</v>
      </c>
      <c r="D72" s="182">
        <v>6765949</v>
      </c>
      <c r="E72" s="182">
        <v>9668000</v>
      </c>
      <c r="F72" s="28"/>
    </row>
    <row r="73" spans="1:6" ht="24" customHeight="1">
      <c r="A73" s="21">
        <v>6</v>
      </c>
      <c r="B73" s="183" t="s">
        <v>132</v>
      </c>
      <c r="C73" s="184">
        <v>164746</v>
      </c>
      <c r="D73" s="184">
        <v>165786</v>
      </c>
      <c r="E73" s="184">
        <v>166000</v>
      </c>
      <c r="F73" s="28"/>
    </row>
    <row r="74" spans="1:6" ht="24" customHeight="1">
      <c r="A74" s="21">
        <v>7</v>
      </c>
      <c r="B74" s="48" t="s">
        <v>461</v>
      </c>
      <c r="C74" s="180">
        <f>+C72+C73</f>
        <v>17407092</v>
      </c>
      <c r="D74" s="180">
        <f>+D72+D73</f>
        <v>6931735</v>
      </c>
      <c r="E74" s="180">
        <f>+E72+E73</f>
        <v>9834000</v>
      </c>
      <c r="F74" s="28"/>
    </row>
    <row r="75" spans="1:6" ht="24" customHeight="1">
      <c r="A75" s="21">
        <v>8</v>
      </c>
      <c r="B75" s="48" t="s">
        <v>439</v>
      </c>
      <c r="C75" s="180">
        <f>+C14</f>
        <v>341537208</v>
      </c>
      <c r="D75" s="180">
        <f>+D14</f>
        <v>389133838</v>
      </c>
      <c r="E75" s="180">
        <f>+E14</f>
        <v>425519879</v>
      </c>
      <c r="F75" s="28"/>
    </row>
    <row r="76" spans="1:6" ht="24" customHeight="1">
      <c r="A76" s="21">
        <v>9</v>
      </c>
      <c r="B76" s="45" t="s">
        <v>462</v>
      </c>
      <c r="C76" s="180">
        <v>21666538</v>
      </c>
      <c r="D76" s="180">
        <v>22754170</v>
      </c>
      <c r="E76" s="180">
        <v>26955434</v>
      </c>
      <c r="F76" s="28"/>
    </row>
    <row r="77" spans="1:6" ht="24" customHeight="1">
      <c r="A77" s="21">
        <v>10</v>
      </c>
      <c r="B77" s="45" t="s">
        <v>463</v>
      </c>
      <c r="C77" s="180">
        <f>+C75-C76</f>
        <v>319870670</v>
      </c>
      <c r="D77" s="180">
        <f>+D75-D76</f>
        <v>366379668</v>
      </c>
      <c r="E77" s="180">
        <f>+E75-E76</f>
        <v>398564445</v>
      </c>
      <c r="F77" s="28"/>
    </row>
    <row r="78" spans="1:6" ht="24" customHeight="1">
      <c r="A78" s="170"/>
      <c r="B78" s="8"/>
      <c r="C78" s="185"/>
      <c r="D78" s="185"/>
      <c r="E78" s="186"/>
      <c r="F78" s="28"/>
    </row>
    <row r="79" spans="1:6" ht="24" customHeight="1">
      <c r="A79" s="29">
        <v>11</v>
      </c>
      <c r="B79" s="187" t="s">
        <v>464</v>
      </c>
      <c r="C79" s="179">
        <f>IF((C84/365)=0,0,+C83/(C84/365))</f>
        <v>42.335724294788896</v>
      </c>
      <c r="D79" s="179">
        <f>IF((D84/365)=0,0,+D83/(D84/365))</f>
        <v>43.46003146747593</v>
      </c>
      <c r="E79" s="179">
        <f>IF((E84/365)=0,0,+E83/(E84/365))</f>
        <v>43.132460712525976</v>
      </c>
      <c r="F79" s="28"/>
    </row>
    <row r="80" spans="1:6" ht="24" customHeight="1">
      <c r="A80" s="21">
        <v>12</v>
      </c>
      <c r="B80" s="188" t="s">
        <v>465</v>
      </c>
      <c r="C80" s="189">
        <v>40899300</v>
      </c>
      <c r="D80" s="189">
        <v>48238736</v>
      </c>
      <c r="E80" s="189">
        <v>50590000</v>
      </c>
      <c r="F80" s="28"/>
    </row>
    <row r="81" spans="1:6" ht="24" customHeight="1">
      <c r="A81" s="21">
        <v>13</v>
      </c>
      <c r="B81" s="188" t="s">
        <v>136</v>
      </c>
      <c r="C81" s="190">
        <v>0</v>
      </c>
      <c r="D81" s="190">
        <v>0</v>
      </c>
      <c r="E81" s="190">
        <v>0</v>
      </c>
      <c r="F81" s="28"/>
    </row>
    <row r="82" spans="1:6" ht="24" customHeight="1">
      <c r="A82" s="21">
        <v>14</v>
      </c>
      <c r="B82" s="188" t="s">
        <v>164</v>
      </c>
      <c r="C82" s="190">
        <v>2244000</v>
      </c>
      <c r="D82" s="190">
        <v>2758231</v>
      </c>
      <c r="E82" s="190">
        <v>1320000</v>
      </c>
      <c r="F82" s="28"/>
    </row>
    <row r="83" spans="1:6" ht="33.75" customHeight="1">
      <c r="A83" s="21">
        <v>15</v>
      </c>
      <c r="B83" s="45" t="s">
        <v>466</v>
      </c>
      <c r="C83" s="191">
        <f>+C80+C81-C82</f>
        <v>38655300</v>
      </c>
      <c r="D83" s="191">
        <f>+D80+D81-D82</f>
        <v>45480505</v>
      </c>
      <c r="E83" s="191">
        <f>+E80+E81-E82</f>
        <v>49270000</v>
      </c>
      <c r="F83" s="28"/>
    </row>
    <row r="84" spans="1:6" ht="24" customHeight="1">
      <c r="A84" s="21">
        <v>16</v>
      </c>
      <c r="B84" s="48" t="s">
        <v>190</v>
      </c>
      <c r="C84" s="180">
        <f>+C11</f>
        <v>333269000</v>
      </c>
      <c r="D84" s="191">
        <f>+D11</f>
        <v>381968990</v>
      </c>
      <c r="E84" s="191">
        <f>+E11</f>
        <v>416937724</v>
      </c>
      <c r="F84" s="28"/>
    </row>
    <row r="85" spans="1:6" ht="24" customHeight="1">
      <c r="A85" s="170"/>
      <c r="B85" s="48"/>
      <c r="C85" s="51"/>
      <c r="D85" s="164"/>
      <c r="E85" s="164"/>
      <c r="F85" s="28"/>
    </row>
    <row r="86" spans="1:6" ht="24" customHeight="1">
      <c r="A86" s="29">
        <v>17</v>
      </c>
      <c r="B86" s="30" t="s">
        <v>467</v>
      </c>
      <c r="C86" s="179">
        <f>IF((C90/365)=0,0,+C87/(C90/365))</f>
        <v>56.22054343088099</v>
      </c>
      <c r="D86" s="179">
        <f>IF((D90/365)=0,0,+D87/(D90/365))</f>
        <v>57.601701617896545</v>
      </c>
      <c r="E86" s="179">
        <f>IF((E90/365)=0,0,+E87/(E90/365))</f>
        <v>55.95548042425109</v>
      </c>
      <c r="F86" s="13"/>
    </row>
    <row r="87" spans="1:6" ht="24" customHeight="1">
      <c r="A87" s="21">
        <v>18</v>
      </c>
      <c r="B87" s="48" t="s">
        <v>169</v>
      </c>
      <c r="C87" s="51">
        <f>+C69</f>
        <v>49269323</v>
      </c>
      <c r="D87" s="51">
        <f>+D69</f>
        <v>57819431</v>
      </c>
      <c r="E87" s="51">
        <f>+E69</f>
        <v>61101000</v>
      </c>
      <c r="F87" s="28"/>
    </row>
    <row r="88" spans="1:6" ht="24" customHeight="1">
      <c r="A88" s="21">
        <v>19</v>
      </c>
      <c r="B88" s="48" t="s">
        <v>439</v>
      </c>
      <c r="C88" s="51">
        <f aca="true" t="shared" si="0" ref="C88:E89">+C75</f>
        <v>341537208</v>
      </c>
      <c r="D88" s="51">
        <f t="shared" si="0"/>
        <v>389133838</v>
      </c>
      <c r="E88" s="51">
        <f t="shared" si="0"/>
        <v>425519879</v>
      </c>
      <c r="F88" s="28"/>
    </row>
    <row r="89" spans="1:6" ht="24" customHeight="1">
      <c r="A89" s="21">
        <v>20</v>
      </c>
      <c r="B89" s="48" t="s">
        <v>462</v>
      </c>
      <c r="C89" s="52">
        <f t="shared" si="0"/>
        <v>21666538</v>
      </c>
      <c r="D89" s="52">
        <f t="shared" si="0"/>
        <v>22754170</v>
      </c>
      <c r="E89" s="52">
        <f t="shared" si="0"/>
        <v>26955434</v>
      </c>
      <c r="F89" s="28"/>
    </row>
    <row r="90" spans="1:6" ht="24" customHeight="1">
      <c r="A90" s="21">
        <v>21</v>
      </c>
      <c r="B90" s="48" t="s">
        <v>468</v>
      </c>
      <c r="C90" s="51">
        <f>+C88-C89</f>
        <v>319870670</v>
      </c>
      <c r="D90" s="51">
        <f>+D88-D89</f>
        <v>366379668</v>
      </c>
      <c r="E90" s="51">
        <f>+E88-E89</f>
        <v>398564445</v>
      </c>
      <c r="F90" s="28"/>
    </row>
    <row r="91" spans="1:6" ht="24" customHeight="1">
      <c r="A91" s="170"/>
      <c r="B91" s="48"/>
      <c r="C91" s="51"/>
      <c r="D91" s="51"/>
      <c r="E91" s="53"/>
      <c r="F91" s="28"/>
    </row>
    <row r="92" spans="1:6" ht="24" customHeight="1">
      <c r="A92" s="29" t="s">
        <v>469</v>
      </c>
      <c r="B92" s="41" t="s">
        <v>470</v>
      </c>
      <c r="C92" s="51"/>
      <c r="D92" s="51"/>
      <c r="E92" s="53"/>
      <c r="F92" s="28"/>
    </row>
    <row r="93" spans="1:6" ht="24" customHeight="1">
      <c r="A93" s="29"/>
      <c r="B93" s="41"/>
      <c r="C93" s="51"/>
      <c r="D93" s="51"/>
      <c r="E93" s="53"/>
      <c r="F93" s="28"/>
    </row>
    <row r="94" spans="1:6" ht="24" customHeight="1">
      <c r="A94" s="29">
        <v>1</v>
      </c>
      <c r="B94" s="30" t="s">
        <v>471</v>
      </c>
      <c r="C94" s="192">
        <f>IF(C96=0,0,(C95/C96)*100)</f>
        <v>42.3874414548486</v>
      </c>
      <c r="D94" s="192">
        <f>IF(D96=0,0,(D95/D96)*100)</f>
        <v>38.36135459503559</v>
      </c>
      <c r="E94" s="192">
        <f>IF(E96=0,0,(E95/E96)*100)</f>
        <v>20.447923675099407</v>
      </c>
      <c r="F94" s="28"/>
    </row>
    <row r="95" spans="1:6" ht="24" customHeight="1">
      <c r="A95" s="21">
        <v>2</v>
      </c>
      <c r="B95" s="48" t="s">
        <v>182</v>
      </c>
      <c r="C95" s="51">
        <f>+C32</f>
        <v>142777414</v>
      </c>
      <c r="D95" s="51">
        <f>+D32</f>
        <v>141187158</v>
      </c>
      <c r="E95" s="51">
        <f>+E32</f>
        <v>70813000</v>
      </c>
      <c r="F95" s="28"/>
    </row>
    <row r="96" spans="1:6" ht="24" customHeight="1">
      <c r="A96" s="21">
        <v>3</v>
      </c>
      <c r="B96" s="48" t="s">
        <v>158</v>
      </c>
      <c r="C96" s="51">
        <v>336838953</v>
      </c>
      <c r="D96" s="51">
        <v>368045288</v>
      </c>
      <c r="E96" s="51">
        <v>346309000</v>
      </c>
      <c r="F96" s="28"/>
    </row>
    <row r="97" spans="1:6" ht="24" customHeight="1">
      <c r="A97" s="170"/>
      <c r="B97" s="30"/>
      <c r="C97" s="193"/>
      <c r="D97" s="193"/>
      <c r="E97" s="53"/>
      <c r="F97" s="28"/>
    </row>
    <row r="98" spans="1:6" ht="24" customHeight="1">
      <c r="A98" s="29">
        <v>4</v>
      </c>
      <c r="B98" s="30" t="s">
        <v>472</v>
      </c>
      <c r="C98" s="192">
        <f>IF(C104=0,0,(C101/C104)*100)</f>
        <v>24.399406160920897</v>
      </c>
      <c r="D98" s="192">
        <f>IF(D104=0,0,(D101/D104)*100)</f>
        <v>20.45524233969216</v>
      </c>
      <c r="E98" s="192">
        <f>IF(E104=0,0,(E101/E104)*100)</f>
        <v>26.03350865326305</v>
      </c>
      <c r="F98" s="28"/>
    </row>
    <row r="99" spans="1:6" ht="24" customHeight="1">
      <c r="A99" s="21">
        <v>5</v>
      </c>
      <c r="B99" s="48" t="s">
        <v>473</v>
      </c>
      <c r="C99" s="51">
        <f>+C28</f>
        <v>13430302</v>
      </c>
      <c r="D99" s="51">
        <f>+D28</f>
        <v>11778913</v>
      </c>
      <c r="E99" s="51">
        <f>+E28</f>
        <v>17690992</v>
      </c>
      <c r="F99" s="28"/>
    </row>
    <row r="100" spans="1:6" ht="24" customHeight="1">
      <c r="A100" s="21">
        <v>6</v>
      </c>
      <c r="B100" s="48" t="s">
        <v>462</v>
      </c>
      <c r="C100" s="52">
        <f>+C76</f>
        <v>21666538</v>
      </c>
      <c r="D100" s="52">
        <f>+D76</f>
        <v>22754170</v>
      </c>
      <c r="E100" s="52">
        <f>+E76</f>
        <v>26955434</v>
      </c>
      <c r="F100" s="28"/>
    </row>
    <row r="101" spans="1:6" ht="24" customHeight="1">
      <c r="A101" s="21">
        <v>7</v>
      </c>
      <c r="B101" s="48" t="s">
        <v>474</v>
      </c>
      <c r="C101" s="51">
        <f>+C99+C100</f>
        <v>35096840</v>
      </c>
      <c r="D101" s="51">
        <f>+D99+D100</f>
        <v>34533083</v>
      </c>
      <c r="E101" s="51">
        <f>+E99+E100</f>
        <v>44646426</v>
      </c>
      <c r="F101" s="28"/>
    </row>
    <row r="102" spans="1:6" ht="24" customHeight="1">
      <c r="A102" s="21">
        <v>8</v>
      </c>
      <c r="B102" s="48" t="s">
        <v>169</v>
      </c>
      <c r="C102" s="180">
        <f>+C69</f>
        <v>49269323</v>
      </c>
      <c r="D102" s="180">
        <f>+D69</f>
        <v>57819431</v>
      </c>
      <c r="E102" s="180">
        <f>+E69</f>
        <v>61101000</v>
      </c>
      <c r="F102" s="28"/>
    </row>
    <row r="103" spans="1:6" ht="24" customHeight="1">
      <c r="A103" s="21">
        <v>9</v>
      </c>
      <c r="B103" s="48" t="s">
        <v>173</v>
      </c>
      <c r="C103" s="194">
        <v>94573686</v>
      </c>
      <c r="D103" s="194">
        <v>111003223</v>
      </c>
      <c r="E103" s="194">
        <v>110395000</v>
      </c>
      <c r="F103" s="28"/>
    </row>
    <row r="104" spans="1:6" ht="24" customHeight="1">
      <c r="A104" s="21">
        <v>10</v>
      </c>
      <c r="B104" s="195" t="s">
        <v>475</v>
      </c>
      <c r="C104" s="180">
        <f>+C102+C103</f>
        <v>143843009</v>
      </c>
      <c r="D104" s="180">
        <f>+D102+D103</f>
        <v>168822654</v>
      </c>
      <c r="E104" s="180">
        <f>+E102+E103</f>
        <v>171496000</v>
      </c>
      <c r="F104" s="28"/>
    </row>
    <row r="105" spans="1:6" ht="24" customHeight="1">
      <c r="A105" s="170"/>
      <c r="B105" s="30"/>
      <c r="C105" s="196"/>
      <c r="D105" s="196"/>
      <c r="E105" s="186"/>
      <c r="F105" s="28"/>
    </row>
    <row r="106" spans="1:6" ht="24" customHeight="1">
      <c r="A106" s="20">
        <v>11</v>
      </c>
      <c r="B106" s="30" t="s">
        <v>476</v>
      </c>
      <c r="C106" s="197">
        <f>IF(C109=0,0,(C107/C109)*100)</f>
        <v>39.84548038749347</v>
      </c>
      <c r="D106" s="197">
        <f>IF(D109=0,0,(D107/D109)*100)</f>
        <v>44.01564506934941</v>
      </c>
      <c r="E106" s="197">
        <f>IF(E109=0,0,(E107/E109)*100)</f>
        <v>60.92170323606022</v>
      </c>
      <c r="F106" s="28"/>
    </row>
    <row r="107" spans="1:6" ht="24" customHeight="1">
      <c r="A107" s="17">
        <v>12</v>
      </c>
      <c r="B107" s="48" t="s">
        <v>173</v>
      </c>
      <c r="C107" s="180">
        <f>+C103</f>
        <v>94573686</v>
      </c>
      <c r="D107" s="180">
        <f>+D103</f>
        <v>111003223</v>
      </c>
      <c r="E107" s="180">
        <f>+E103</f>
        <v>110395000</v>
      </c>
      <c r="F107" s="28"/>
    </row>
    <row r="108" spans="1:6" ht="24" customHeight="1">
      <c r="A108" s="17">
        <v>13</v>
      </c>
      <c r="B108" s="48" t="s">
        <v>182</v>
      </c>
      <c r="C108" s="180">
        <f>+C32</f>
        <v>142777414</v>
      </c>
      <c r="D108" s="180">
        <f>+D32</f>
        <v>141187158</v>
      </c>
      <c r="E108" s="180">
        <f>+E32</f>
        <v>70813000</v>
      </c>
      <c r="F108" s="28"/>
    </row>
    <row r="109" spans="1:6" ht="24" customHeight="1">
      <c r="A109" s="17">
        <v>14</v>
      </c>
      <c r="B109" s="48" t="s">
        <v>477</v>
      </c>
      <c r="C109" s="180">
        <f>+C107+C108</f>
        <v>237351100</v>
      </c>
      <c r="D109" s="180">
        <f>+D107+D108</f>
        <v>252190381</v>
      </c>
      <c r="E109" s="180">
        <f>+E107+E108</f>
        <v>181208000</v>
      </c>
      <c r="F109" s="28"/>
    </row>
    <row r="110" spans="1:6" ht="24" customHeight="1">
      <c r="A110" s="170"/>
      <c r="B110" s="48"/>
      <c r="C110" s="51"/>
      <c r="D110" s="51"/>
      <c r="E110" s="53"/>
      <c r="F110" s="28"/>
    </row>
    <row r="111" spans="1:5" ht="24" customHeight="1">
      <c r="A111" s="20">
        <v>15</v>
      </c>
      <c r="B111" s="187" t="s">
        <v>478</v>
      </c>
      <c r="C111" s="197">
        <f>IF((+C113+C115)=0,0,((+C112+C113+C114)/(+C113+C115)))</f>
        <v>8.585340603812895</v>
      </c>
      <c r="D111" s="197">
        <f>IF((+D113+D115)=0,0,((+D112+D113+D114)/(+D113+D115)))</f>
        <v>9.179182960017243</v>
      </c>
      <c r="E111" s="197">
        <f>IF((+E113+E115)=0,0,((+E112+E113+E114)/(+E113+E115)))</f>
        <v>1.2886712683987642</v>
      </c>
    </row>
    <row r="112" spans="1:6" ht="24" customHeight="1">
      <c r="A112" s="17">
        <v>16</v>
      </c>
      <c r="B112" s="48" t="s">
        <v>479</v>
      </c>
      <c r="C112" s="180">
        <f>+C17</f>
        <v>13430302</v>
      </c>
      <c r="D112" s="180">
        <f>+D17</f>
        <v>11778913</v>
      </c>
      <c r="E112" s="180">
        <f>+E17</f>
        <v>17690992</v>
      </c>
      <c r="F112" s="28"/>
    </row>
    <row r="113" spans="1:6" ht="24" customHeight="1">
      <c r="A113" s="17">
        <v>17</v>
      </c>
      <c r="B113" s="48" t="s">
        <v>301</v>
      </c>
      <c r="C113" s="180">
        <v>4626930</v>
      </c>
      <c r="D113" s="180">
        <v>4222070</v>
      </c>
      <c r="E113" s="180">
        <v>5220009</v>
      </c>
      <c r="F113" s="28"/>
    </row>
    <row r="114" spans="1:6" ht="24" customHeight="1">
      <c r="A114" s="17">
        <v>18</v>
      </c>
      <c r="B114" s="48" t="s">
        <v>480</v>
      </c>
      <c r="C114" s="180">
        <v>21666538</v>
      </c>
      <c r="D114" s="180">
        <v>22754170</v>
      </c>
      <c r="E114" s="180">
        <v>26955434</v>
      </c>
      <c r="F114" s="28"/>
    </row>
    <row r="115" spans="1:6" ht="24" customHeight="1">
      <c r="A115" s="17">
        <v>19</v>
      </c>
      <c r="B115" s="48" t="s">
        <v>217</v>
      </c>
      <c r="C115" s="180">
        <v>0</v>
      </c>
      <c r="D115" s="180">
        <v>0</v>
      </c>
      <c r="E115" s="180">
        <v>33476000</v>
      </c>
      <c r="F115" s="28"/>
    </row>
    <row r="116" spans="1:6" ht="24" customHeight="1">
      <c r="A116" s="170"/>
      <c r="B116" s="48"/>
      <c r="C116" s="51"/>
      <c r="D116" s="51"/>
      <c r="E116" s="53"/>
      <c r="F116" s="28"/>
    </row>
    <row r="117" spans="1:5" ht="24" customHeight="1">
      <c r="A117" s="20" t="s">
        <v>481</v>
      </c>
      <c r="B117" s="30" t="s">
        <v>482</v>
      </c>
      <c r="C117" s="27"/>
      <c r="D117" s="27"/>
      <c r="E117" s="53"/>
    </row>
    <row r="118" spans="1:6" ht="24" customHeight="1">
      <c r="A118" s="170"/>
      <c r="B118" s="48"/>
      <c r="C118" s="51"/>
      <c r="D118" s="51"/>
      <c r="E118" s="53"/>
      <c r="F118" s="28"/>
    </row>
    <row r="119" spans="1:5" ht="24" customHeight="1">
      <c r="A119" s="20">
        <v>20</v>
      </c>
      <c r="B119" s="187" t="s">
        <v>483</v>
      </c>
      <c r="C119" s="197">
        <f>IF(+C121=0,0,(+C120)/(+C121))</f>
        <v>9.869234715763081</v>
      </c>
      <c r="D119" s="197">
        <f>IF(+D121=0,0,(+D120)/(+D121))</f>
        <v>10.373383164492486</v>
      </c>
      <c r="E119" s="197">
        <f>IF(+E121=0,0,(+E120)/(+E121))</f>
        <v>9.756585629450448</v>
      </c>
    </row>
    <row r="120" spans="1:6" ht="24" customHeight="1">
      <c r="A120" s="17">
        <v>21</v>
      </c>
      <c r="B120" s="48" t="s">
        <v>484</v>
      </c>
      <c r="C120" s="180">
        <v>213832149</v>
      </c>
      <c r="D120" s="180">
        <v>236037724</v>
      </c>
      <c r="E120" s="180">
        <v>262993000</v>
      </c>
      <c r="F120" s="28"/>
    </row>
    <row r="121" spans="1:6" ht="24" customHeight="1">
      <c r="A121" s="17">
        <v>22</v>
      </c>
      <c r="B121" s="48" t="s">
        <v>480</v>
      </c>
      <c r="C121" s="180">
        <v>21666538</v>
      </c>
      <c r="D121" s="180">
        <v>22754170</v>
      </c>
      <c r="E121" s="180">
        <v>26955434</v>
      </c>
      <c r="F121" s="28"/>
    </row>
    <row r="122" spans="1:6" ht="24" customHeight="1">
      <c r="A122" s="170"/>
      <c r="B122" s="48"/>
      <c r="C122" s="51"/>
      <c r="D122" s="51"/>
      <c r="E122" s="53"/>
      <c r="F122" s="28"/>
    </row>
    <row r="123" spans="1:5" ht="24" customHeight="1">
      <c r="A123" s="20" t="s">
        <v>485</v>
      </c>
      <c r="B123" s="30" t="s">
        <v>486</v>
      </c>
      <c r="C123" s="27"/>
      <c r="D123" s="27"/>
      <c r="E123" s="53"/>
    </row>
    <row r="124" spans="1:5" ht="24" customHeight="1">
      <c r="A124" s="44">
        <v>1</v>
      </c>
      <c r="B124" s="48" t="s">
        <v>487</v>
      </c>
      <c r="C124" s="198">
        <v>73908</v>
      </c>
      <c r="D124" s="198">
        <v>76971</v>
      </c>
      <c r="E124" s="198">
        <v>75272</v>
      </c>
    </row>
    <row r="125" spans="1:5" ht="24" customHeight="1">
      <c r="A125" s="44">
        <v>2</v>
      </c>
      <c r="B125" s="48" t="s">
        <v>488</v>
      </c>
      <c r="C125" s="198">
        <v>16672</v>
      </c>
      <c r="D125" s="198">
        <v>15856</v>
      </c>
      <c r="E125" s="198">
        <v>14888</v>
      </c>
    </row>
    <row r="126" spans="1:5" ht="24" customHeight="1">
      <c r="A126" s="44">
        <v>3</v>
      </c>
      <c r="B126" s="48" t="s">
        <v>489</v>
      </c>
      <c r="C126" s="199">
        <f>IF(C125=0,0,C124/C125)</f>
        <v>4.4330614203454894</v>
      </c>
      <c r="D126" s="199">
        <f>IF(D125=0,0,D124/D125)</f>
        <v>4.854376892028254</v>
      </c>
      <c r="E126" s="199">
        <f>IF(E125=0,0,E124/E125)</f>
        <v>5.055883933369157</v>
      </c>
    </row>
    <row r="127" spans="1:5" ht="24" customHeight="1">
      <c r="A127" s="44">
        <v>4</v>
      </c>
      <c r="B127" s="48" t="s">
        <v>490</v>
      </c>
      <c r="C127" s="198">
        <v>319</v>
      </c>
      <c r="D127" s="198">
        <v>319</v>
      </c>
      <c r="E127" s="198">
        <v>321</v>
      </c>
    </row>
    <row r="128" spans="1:8" ht="24" customHeight="1">
      <c r="A128" s="44">
        <v>5</v>
      </c>
      <c r="B128" s="48" t="s">
        <v>491</v>
      </c>
      <c r="C128" s="198">
        <v>0</v>
      </c>
      <c r="D128" s="198">
        <v>0</v>
      </c>
      <c r="E128" s="198">
        <v>330</v>
      </c>
      <c r="G128" s="6"/>
      <c r="H128" s="12"/>
    </row>
    <row r="129" spans="1:8" ht="24" customHeight="1">
      <c r="A129" s="44">
        <v>6</v>
      </c>
      <c r="B129" s="48" t="s">
        <v>492</v>
      </c>
      <c r="C129" s="198">
        <v>330</v>
      </c>
      <c r="D129" s="198">
        <v>330</v>
      </c>
      <c r="E129" s="198">
        <v>330</v>
      </c>
      <c r="G129" s="6"/>
      <c r="H129" s="12"/>
    </row>
    <row r="130" spans="1:5" ht="24" customHeight="1">
      <c r="A130" s="44">
        <v>6</v>
      </c>
      <c r="B130" s="48" t="s">
        <v>493</v>
      </c>
      <c r="C130" s="171">
        <v>0.6347</v>
      </c>
      <c r="D130" s="171">
        <v>0.661</v>
      </c>
      <c r="E130" s="171">
        <v>0.6424</v>
      </c>
    </row>
    <row r="131" spans="1:5" ht="24" customHeight="1">
      <c r="A131" s="44">
        <v>7</v>
      </c>
      <c r="B131" s="48" t="s">
        <v>494</v>
      </c>
      <c r="C131" s="171">
        <v>0.6135</v>
      </c>
      <c r="D131" s="171">
        <v>0.639</v>
      </c>
      <c r="E131" s="171">
        <v>0.6249</v>
      </c>
    </row>
    <row r="132" spans="1:5" ht="24" customHeight="1">
      <c r="A132" s="44">
        <v>8</v>
      </c>
      <c r="B132" s="48" t="s">
        <v>495</v>
      </c>
      <c r="C132" s="199">
        <v>1774.5</v>
      </c>
      <c r="D132" s="199">
        <v>1879.3</v>
      </c>
      <c r="E132" s="199">
        <v>1898.4</v>
      </c>
    </row>
    <row r="133" ht="24" customHeight="1">
      <c r="B133" s="55"/>
    </row>
    <row r="134" spans="1:6" ht="19.5" customHeight="1">
      <c r="A134" s="200" t="s">
        <v>127</v>
      </c>
      <c r="B134" s="30" t="s">
        <v>496</v>
      </c>
      <c r="C134" s="201"/>
      <c r="D134" s="201"/>
      <c r="E134" s="201"/>
      <c r="F134" s="56"/>
    </row>
    <row r="135" spans="1:7" ht="19.5" customHeight="1">
      <c r="A135" s="202">
        <v>1</v>
      </c>
      <c r="B135" s="195" t="s">
        <v>497</v>
      </c>
      <c r="C135" s="203">
        <f>IF(C149=0,0,C143/C149)</f>
        <v>0.4772899017402502</v>
      </c>
      <c r="D135" s="203">
        <f>IF(D149=0,0,D143/D149)</f>
        <v>0.471731825890545</v>
      </c>
      <c r="E135" s="203">
        <f>IF(E149=0,0,E143/E149)</f>
        <v>0.46727778739815623</v>
      </c>
      <c r="G135" s="6"/>
    </row>
    <row r="136" spans="1:5" ht="19.5" customHeight="1">
      <c r="A136" s="202">
        <v>2</v>
      </c>
      <c r="B136" s="195" t="s">
        <v>498</v>
      </c>
      <c r="C136" s="203">
        <f>IF(C149=0,0,C144/C149)</f>
        <v>0.36763201509361304</v>
      </c>
      <c r="D136" s="203">
        <f>IF(D149=0,0,D144/D149)</f>
        <v>0.377868047291812</v>
      </c>
      <c r="E136" s="203">
        <f>IF(E149=0,0,E144/E149)</f>
        <v>0.3663878545609974</v>
      </c>
    </row>
    <row r="137" spans="1:7" ht="19.5" customHeight="1">
      <c r="A137" s="202">
        <v>3</v>
      </c>
      <c r="B137" s="195" t="s">
        <v>499</v>
      </c>
      <c r="C137" s="203">
        <f>IF(C149=0,0,C145/C149)</f>
        <v>0.0789362781564114</v>
      </c>
      <c r="D137" s="203">
        <f>IF(D149=0,0,D145/D149)</f>
        <v>0.07366697478019603</v>
      </c>
      <c r="E137" s="203">
        <f>IF(E149=0,0,E145/E149)</f>
        <v>0.0855267547755355</v>
      </c>
      <c r="G137" s="6"/>
    </row>
    <row r="138" spans="1:7" ht="19.5" customHeight="1">
      <c r="A138" s="202">
        <v>4</v>
      </c>
      <c r="B138" s="195" t="s">
        <v>500</v>
      </c>
      <c r="C138" s="203">
        <f>IF(C149=0,0,C146/C149)</f>
        <v>0.018413733455421338</v>
      </c>
      <c r="D138" s="203">
        <f>IF(D149=0,0,D146/D149)</f>
        <v>0.02329858722285438</v>
      </c>
      <c r="E138" s="203">
        <f>IF(E149=0,0,E146/E149)</f>
        <v>0.028767422601220834</v>
      </c>
      <c r="G138" s="6"/>
    </row>
    <row r="139" spans="1:5" ht="19.5" customHeight="1">
      <c r="A139" s="202">
        <v>5</v>
      </c>
      <c r="B139" s="195" t="s">
        <v>501</v>
      </c>
      <c r="C139" s="203">
        <f>IF(C149=0,0,C147/C149)</f>
        <v>0.057397384662355555</v>
      </c>
      <c r="D139" s="203">
        <f>IF(D149=0,0,D147/D149)</f>
        <v>0.0529160761194392</v>
      </c>
      <c r="E139" s="203">
        <f>IF(E149=0,0,E147/E149)</f>
        <v>0.05154158224769796</v>
      </c>
    </row>
    <row r="140" spans="1:5" ht="19.5" customHeight="1">
      <c r="A140" s="202">
        <v>6</v>
      </c>
      <c r="B140" s="195" t="s">
        <v>502</v>
      </c>
      <c r="C140" s="203">
        <f>IF(C149=0,0,C148/C149)</f>
        <v>0.00033068689194851435</v>
      </c>
      <c r="D140" s="203">
        <f>IF(D149=0,0,D148/D149)</f>
        <v>0.0005184886951533601</v>
      </c>
      <c r="E140" s="203">
        <f>IF(E149=0,0,E148/E149)</f>
        <v>0.0004985984163920631</v>
      </c>
    </row>
    <row r="141" spans="1:5" ht="19.5" customHeight="1">
      <c r="A141" s="202">
        <v>7</v>
      </c>
      <c r="B141" s="195" t="s">
        <v>503</v>
      </c>
      <c r="C141" s="203">
        <f>SUM(C135:C140)</f>
        <v>1</v>
      </c>
      <c r="D141" s="203">
        <f>SUM(D135:D140)</f>
        <v>1</v>
      </c>
      <c r="E141" s="203">
        <f>SUM(E135:E140)</f>
        <v>1</v>
      </c>
    </row>
    <row r="142" spans="1:5" ht="19.5" customHeight="1">
      <c r="A142" s="55"/>
      <c r="B142" s="55"/>
      <c r="C142" s="201"/>
      <c r="D142" s="201"/>
      <c r="E142" s="201"/>
    </row>
    <row r="143" spans="1:5" ht="19.5" customHeight="1">
      <c r="A143" s="202">
        <v>8</v>
      </c>
      <c r="B143" s="201" t="s">
        <v>504</v>
      </c>
      <c r="C143" s="204">
        <f>+C46-C147</f>
        <v>394610413</v>
      </c>
      <c r="D143" s="205">
        <f>+D46-D147</f>
        <v>467000125</v>
      </c>
      <c r="E143" s="205">
        <f>+E46-E147</f>
        <v>540648490</v>
      </c>
    </row>
    <row r="144" spans="1:5" ht="19.5" customHeight="1">
      <c r="A144" s="202">
        <v>9</v>
      </c>
      <c r="B144" s="201" t="s">
        <v>505</v>
      </c>
      <c r="C144" s="206">
        <f>+C51</f>
        <v>303948231</v>
      </c>
      <c r="D144" s="205">
        <f>+D51</f>
        <v>374077846</v>
      </c>
      <c r="E144" s="205">
        <f>+E51</f>
        <v>423917091</v>
      </c>
    </row>
    <row r="145" spans="1:5" ht="19.5" customHeight="1">
      <c r="A145" s="202">
        <v>10</v>
      </c>
      <c r="B145" s="201" t="s">
        <v>506</v>
      </c>
      <c r="C145" s="206">
        <f>+C55</f>
        <v>65262385</v>
      </c>
      <c r="D145" s="205">
        <f>+D55</f>
        <v>72928059</v>
      </c>
      <c r="E145" s="205">
        <f>+E55</f>
        <v>98955936</v>
      </c>
    </row>
    <row r="146" spans="1:5" ht="19.5" customHeight="1">
      <c r="A146" s="202">
        <v>11</v>
      </c>
      <c r="B146" s="201" t="s">
        <v>507</v>
      </c>
      <c r="C146" s="204">
        <v>15223978</v>
      </c>
      <c r="D146" s="205">
        <v>23064891</v>
      </c>
      <c r="E146" s="205">
        <v>33284406</v>
      </c>
    </row>
    <row r="147" spans="1:5" ht="19.5" customHeight="1">
      <c r="A147" s="202">
        <v>12</v>
      </c>
      <c r="B147" s="201" t="s">
        <v>508</v>
      </c>
      <c r="C147" s="206">
        <f>+C47</f>
        <v>47454609</v>
      </c>
      <c r="D147" s="205">
        <f>+D47</f>
        <v>52385302</v>
      </c>
      <c r="E147" s="205">
        <f>+E47</f>
        <v>59634503</v>
      </c>
    </row>
    <row r="148" spans="1:5" ht="19.5" customHeight="1">
      <c r="A148" s="202">
        <v>13</v>
      </c>
      <c r="B148" s="201" t="s">
        <v>509</v>
      </c>
      <c r="C148" s="206">
        <v>273403</v>
      </c>
      <c r="D148" s="205">
        <v>513288</v>
      </c>
      <c r="E148" s="205">
        <v>576887</v>
      </c>
    </row>
    <row r="149" spans="1:5" ht="19.5" customHeight="1">
      <c r="A149" s="202">
        <v>14</v>
      </c>
      <c r="B149" s="201" t="s">
        <v>510</v>
      </c>
      <c r="C149" s="204">
        <f>SUM(C143:C148)</f>
        <v>826773019</v>
      </c>
      <c r="D149" s="205">
        <f>SUM(D143:D148)</f>
        <v>989969511</v>
      </c>
      <c r="E149" s="205">
        <f>SUM(E143:E148)</f>
        <v>1157017313</v>
      </c>
    </row>
    <row r="150" spans="1:5" ht="19.5" customHeight="1">
      <c r="A150" s="55"/>
      <c r="B150" s="55"/>
      <c r="C150" s="201"/>
      <c r="D150" s="201"/>
      <c r="E150" s="201"/>
    </row>
    <row r="151" spans="1:5" ht="19.5" customHeight="1">
      <c r="A151" s="200" t="s">
        <v>511</v>
      </c>
      <c r="B151" s="30" t="s">
        <v>512</v>
      </c>
      <c r="C151" s="201"/>
      <c r="D151" s="201"/>
      <c r="E151" s="201"/>
    </row>
    <row r="152" spans="1:5" ht="19.5" customHeight="1">
      <c r="A152" s="202">
        <v>1</v>
      </c>
      <c r="B152" s="195" t="s">
        <v>513</v>
      </c>
      <c r="C152" s="203">
        <f>IF(C166=0,0,C160/C166)</f>
        <v>0.6586490026260359</v>
      </c>
      <c r="D152" s="203">
        <f>IF(D166=0,0,D160/D166)</f>
        <v>0.6649287004316824</v>
      </c>
      <c r="E152" s="203">
        <f>IF(E166=0,0,E160/E166)</f>
        <v>0.67499966713092</v>
      </c>
    </row>
    <row r="153" spans="1:5" ht="19.5" customHeight="1">
      <c r="A153" s="202">
        <v>2</v>
      </c>
      <c r="B153" s="195" t="s">
        <v>514</v>
      </c>
      <c r="C153" s="203">
        <f>IF(C166=0,0,C161/C166)</f>
        <v>0.2801185984811225</v>
      </c>
      <c r="D153" s="203">
        <f>IF(D166=0,0,D161/D166)</f>
        <v>0.26694765931956743</v>
      </c>
      <c r="E153" s="203">
        <f>IF(E166=0,0,E161/E166)</f>
        <v>0.2517551153051284</v>
      </c>
    </row>
    <row r="154" spans="1:5" ht="19.5" customHeight="1">
      <c r="A154" s="202">
        <v>3</v>
      </c>
      <c r="B154" s="195" t="s">
        <v>515</v>
      </c>
      <c r="C154" s="203">
        <f>IF(C166=0,0,C162/C166)</f>
        <v>0.042993144668958566</v>
      </c>
      <c r="D154" s="203">
        <f>IF(D166=0,0,D162/D166)</f>
        <v>0.047636562333569235</v>
      </c>
      <c r="E154" s="203">
        <f>IF(E166=0,0,E162/E166)</f>
        <v>0.057308547055315594</v>
      </c>
    </row>
    <row r="155" spans="1:7" ht="19.5" customHeight="1">
      <c r="A155" s="202">
        <v>4</v>
      </c>
      <c r="B155" s="195" t="s">
        <v>516</v>
      </c>
      <c r="C155" s="203">
        <f>IF(C166=0,0,C163/C166)</f>
        <v>0.0085657293040518</v>
      </c>
      <c r="D155" s="203">
        <f>IF(D166=0,0,D163/D166)</f>
        <v>0.012190345751257225</v>
      </c>
      <c r="E155" s="203">
        <f>IF(E166=0,0,E163/E166)</f>
        <v>0.009597230982254882</v>
      </c>
      <c r="G155" s="6"/>
    </row>
    <row r="156" spans="1:5" ht="19.5" customHeight="1">
      <c r="A156" s="202">
        <v>5</v>
      </c>
      <c r="B156" s="195" t="s">
        <v>517</v>
      </c>
      <c r="C156" s="203">
        <f>IF(C166=0,0,C164/C166)</f>
        <v>0.00923877718560428</v>
      </c>
      <c r="D156" s="203">
        <f>IF(D166=0,0,D164/D166)</f>
        <v>0.00782687826020077</v>
      </c>
      <c r="E156" s="203">
        <f>IF(E166=0,0,E164/E166)</f>
        <v>0.0058663577844335745</v>
      </c>
    </row>
    <row r="157" spans="1:5" ht="19.5" customHeight="1">
      <c r="A157" s="202">
        <v>6</v>
      </c>
      <c r="B157" s="195" t="s">
        <v>518</v>
      </c>
      <c r="C157" s="203">
        <f>IF(C166=0,0,C165/C166)</f>
        <v>0.0004347477342269868</v>
      </c>
      <c r="D157" s="203">
        <f>IF(D166=0,0,D165/D166)</f>
        <v>0.0004698539037229169</v>
      </c>
      <c r="E157" s="203">
        <f>IF(E166=0,0,E165/E166)</f>
        <v>0.0004730817419475837</v>
      </c>
    </row>
    <row r="158" spans="1:5" ht="19.5" customHeight="1">
      <c r="A158" s="202">
        <v>7</v>
      </c>
      <c r="B158" s="195" t="s">
        <v>519</v>
      </c>
      <c r="C158" s="203">
        <f>SUM(C152:C157)</f>
        <v>1</v>
      </c>
      <c r="D158" s="203">
        <f>SUM(D152:D157)</f>
        <v>1</v>
      </c>
      <c r="E158" s="203">
        <f>SUM(E152:E157)</f>
        <v>1</v>
      </c>
    </row>
    <row r="159" spans="1:5" ht="19.5" customHeight="1">
      <c r="A159" s="56"/>
      <c r="B159" s="55"/>
      <c r="C159" s="55"/>
      <c r="D159" s="56"/>
      <c r="E159" s="56"/>
    </row>
    <row r="160" spans="1:5" ht="19.5" customHeight="1">
      <c r="A160" s="202">
        <v>8</v>
      </c>
      <c r="B160" s="201" t="s">
        <v>520</v>
      </c>
      <c r="C160" s="207">
        <f>+C44-C164</f>
        <v>197000330</v>
      </c>
      <c r="D160" s="208">
        <f>+D44-D164</f>
        <v>229188695</v>
      </c>
      <c r="E160" s="208">
        <f>+E44-E164</f>
        <v>257482860</v>
      </c>
    </row>
    <row r="161" spans="1:5" ht="19.5" customHeight="1">
      <c r="A161" s="202">
        <v>9</v>
      </c>
      <c r="B161" s="201" t="s">
        <v>521</v>
      </c>
      <c r="C161" s="209">
        <f>+C50</f>
        <v>83782798</v>
      </c>
      <c r="D161" s="208">
        <f>+D50</f>
        <v>92011949</v>
      </c>
      <c r="E161" s="208">
        <f>+E50</f>
        <v>96033569</v>
      </c>
    </row>
    <row r="162" spans="1:5" ht="19.5" customHeight="1">
      <c r="A162" s="202">
        <v>10</v>
      </c>
      <c r="B162" s="201" t="s">
        <v>522</v>
      </c>
      <c r="C162" s="209">
        <f>+C54</f>
        <v>12859146</v>
      </c>
      <c r="D162" s="208">
        <f>+D54</f>
        <v>16419447</v>
      </c>
      <c r="E162" s="208">
        <f>+E54</f>
        <v>21860705</v>
      </c>
    </row>
    <row r="163" spans="1:5" ht="19.5" customHeight="1">
      <c r="A163" s="202">
        <v>11</v>
      </c>
      <c r="B163" s="201" t="s">
        <v>523</v>
      </c>
      <c r="C163" s="207">
        <v>2561989</v>
      </c>
      <c r="D163" s="208">
        <v>4201788</v>
      </c>
      <c r="E163" s="208">
        <v>3660924</v>
      </c>
    </row>
    <row r="164" spans="1:5" ht="19.5" customHeight="1">
      <c r="A164" s="202">
        <v>12</v>
      </c>
      <c r="B164" s="201" t="s">
        <v>524</v>
      </c>
      <c r="C164" s="209">
        <f>+C45</f>
        <v>2763296</v>
      </c>
      <c r="D164" s="208">
        <f>+D45</f>
        <v>2697781</v>
      </c>
      <c r="E164" s="208">
        <f>+E45</f>
        <v>2237759</v>
      </c>
    </row>
    <row r="165" spans="1:5" ht="19.5" customHeight="1">
      <c r="A165" s="202">
        <v>13</v>
      </c>
      <c r="B165" s="201" t="s">
        <v>525</v>
      </c>
      <c r="C165" s="209">
        <v>130032</v>
      </c>
      <c r="D165" s="208">
        <v>161950</v>
      </c>
      <c r="E165" s="208">
        <v>180460</v>
      </c>
    </row>
    <row r="166" spans="1:5" ht="19.5" customHeight="1">
      <c r="A166" s="202">
        <v>14</v>
      </c>
      <c r="B166" s="201" t="s">
        <v>526</v>
      </c>
      <c r="C166" s="207">
        <f>SUM(C160:C165)</f>
        <v>299097591</v>
      </c>
      <c r="D166" s="208">
        <f>SUM(D160:D165)</f>
        <v>344681610</v>
      </c>
      <c r="E166" s="208">
        <f>SUM(E160:E165)</f>
        <v>381456277</v>
      </c>
    </row>
    <row r="167" spans="1:6" ht="19.5" customHeight="1">
      <c r="A167" s="56"/>
      <c r="B167" s="55"/>
      <c r="C167" s="55"/>
      <c r="D167" s="55"/>
      <c r="E167" s="55"/>
      <c r="F167" s="56"/>
    </row>
    <row r="168" spans="1:5" ht="19.5" customHeight="1">
      <c r="A168" s="200" t="s">
        <v>527</v>
      </c>
      <c r="B168" s="30" t="s">
        <v>488</v>
      </c>
      <c r="C168" s="201"/>
      <c r="D168" s="201"/>
      <c r="E168" s="201"/>
    </row>
    <row r="169" spans="1:5" ht="19.5" customHeight="1">
      <c r="A169" s="202">
        <v>1</v>
      </c>
      <c r="B169" s="201" t="s">
        <v>528</v>
      </c>
      <c r="C169" s="198">
        <v>8219</v>
      </c>
      <c r="D169" s="198">
        <v>7456</v>
      </c>
      <c r="E169" s="198">
        <v>7028</v>
      </c>
    </row>
    <row r="170" spans="1:5" ht="19.5" customHeight="1">
      <c r="A170" s="202">
        <v>2</v>
      </c>
      <c r="B170" s="201" t="s">
        <v>529</v>
      </c>
      <c r="C170" s="198">
        <v>5792</v>
      </c>
      <c r="D170" s="198">
        <v>5763</v>
      </c>
      <c r="E170" s="198">
        <v>5093</v>
      </c>
    </row>
    <row r="171" spans="1:5" ht="19.5" customHeight="1">
      <c r="A171" s="202">
        <v>3</v>
      </c>
      <c r="B171" s="201" t="s">
        <v>530</v>
      </c>
      <c r="C171" s="198">
        <v>2653</v>
      </c>
      <c r="D171" s="198">
        <v>2630</v>
      </c>
      <c r="E171" s="198">
        <v>2756</v>
      </c>
    </row>
    <row r="172" spans="1:5" ht="19.5" customHeight="1">
      <c r="A172" s="202">
        <v>4</v>
      </c>
      <c r="B172" s="201" t="s">
        <v>531</v>
      </c>
      <c r="C172" s="198">
        <v>2218</v>
      </c>
      <c r="D172" s="198">
        <v>2209</v>
      </c>
      <c r="E172" s="198">
        <v>2285</v>
      </c>
    </row>
    <row r="173" spans="1:5" ht="19.5" customHeight="1">
      <c r="A173" s="202">
        <v>5</v>
      </c>
      <c r="B173" s="201" t="s">
        <v>532</v>
      </c>
      <c r="C173" s="198">
        <v>435</v>
      </c>
      <c r="D173" s="198">
        <v>421</v>
      </c>
      <c r="E173" s="198">
        <v>471</v>
      </c>
    </row>
    <row r="174" spans="1:5" ht="19.5" customHeight="1">
      <c r="A174" s="202">
        <v>6</v>
      </c>
      <c r="B174" s="201" t="s">
        <v>533</v>
      </c>
      <c r="C174" s="198">
        <v>8</v>
      </c>
      <c r="D174" s="198">
        <v>7</v>
      </c>
      <c r="E174" s="198">
        <v>11</v>
      </c>
    </row>
    <row r="175" spans="1:5" ht="19.5" customHeight="1">
      <c r="A175" s="202">
        <v>7</v>
      </c>
      <c r="B175" s="201" t="s">
        <v>534</v>
      </c>
      <c r="C175" s="198">
        <v>686</v>
      </c>
      <c r="D175" s="198">
        <v>590</v>
      </c>
      <c r="E175" s="198">
        <v>590</v>
      </c>
    </row>
    <row r="176" spans="1:5" ht="19.5" customHeight="1">
      <c r="A176" s="202">
        <v>8</v>
      </c>
      <c r="B176" s="201" t="s">
        <v>535</v>
      </c>
      <c r="C176" s="198">
        <f>+C169+C170+C171+C174</f>
        <v>16672</v>
      </c>
      <c r="D176" s="198">
        <f>+D169+D170+D171+D174</f>
        <v>15856</v>
      </c>
      <c r="E176" s="198">
        <f>+E169+E170+E171+E174</f>
        <v>14888</v>
      </c>
    </row>
    <row r="177" spans="1:6" ht="19.5" customHeight="1">
      <c r="A177" s="56"/>
      <c r="B177" s="55"/>
      <c r="C177" s="55"/>
      <c r="D177" s="55"/>
      <c r="E177" s="55"/>
      <c r="F177" s="56"/>
    </row>
    <row r="178" spans="1:5" ht="19.5" customHeight="1">
      <c r="A178" s="200" t="s">
        <v>536</v>
      </c>
      <c r="B178" s="30" t="s">
        <v>537</v>
      </c>
      <c r="C178" s="201"/>
      <c r="D178" s="201"/>
      <c r="E178" s="201"/>
    </row>
    <row r="179" spans="1:5" ht="19.5" customHeight="1">
      <c r="A179" s="202">
        <v>1</v>
      </c>
      <c r="B179" s="201" t="s">
        <v>528</v>
      </c>
      <c r="C179" s="210">
        <v>0.94477</v>
      </c>
      <c r="D179" s="210">
        <v>1.0412</v>
      </c>
      <c r="E179" s="210">
        <v>1.04837</v>
      </c>
    </row>
    <row r="180" spans="1:5" ht="19.5" customHeight="1">
      <c r="A180" s="202">
        <v>2</v>
      </c>
      <c r="B180" s="201" t="s">
        <v>529</v>
      </c>
      <c r="C180" s="210">
        <v>1.32832</v>
      </c>
      <c r="D180" s="210">
        <v>1.54308</v>
      </c>
      <c r="E180" s="210">
        <v>1.57669</v>
      </c>
    </row>
    <row r="181" spans="1:5" ht="19.5" customHeight="1">
      <c r="A181" s="202">
        <v>3</v>
      </c>
      <c r="B181" s="201" t="s">
        <v>530</v>
      </c>
      <c r="C181" s="210">
        <v>0.767896</v>
      </c>
      <c r="D181" s="210">
        <v>0.914132</v>
      </c>
      <c r="E181" s="210">
        <v>0.966819</v>
      </c>
    </row>
    <row r="182" spans="1:5" ht="19.5" customHeight="1">
      <c r="A182" s="202">
        <v>4</v>
      </c>
      <c r="B182" s="201" t="s">
        <v>531</v>
      </c>
      <c r="C182" s="210">
        <v>0.719</v>
      </c>
      <c r="D182" s="210">
        <v>0.85699</v>
      </c>
      <c r="E182" s="210">
        <v>0.88259</v>
      </c>
    </row>
    <row r="183" spans="1:5" ht="19.5" customHeight="1">
      <c r="A183" s="202">
        <v>5</v>
      </c>
      <c r="B183" s="201" t="s">
        <v>532</v>
      </c>
      <c r="C183" s="210">
        <v>1.01721</v>
      </c>
      <c r="D183" s="210">
        <v>1.21396</v>
      </c>
      <c r="E183" s="210">
        <v>1.37545</v>
      </c>
    </row>
    <row r="184" spans="1:5" ht="19.5" customHeight="1">
      <c r="A184" s="202">
        <v>6</v>
      </c>
      <c r="B184" s="201" t="s">
        <v>533</v>
      </c>
      <c r="C184" s="210">
        <v>0.74024</v>
      </c>
      <c r="D184" s="210">
        <v>1.30937</v>
      </c>
      <c r="E184" s="210">
        <v>1.02872</v>
      </c>
    </row>
    <row r="185" spans="1:5" ht="19.5" customHeight="1">
      <c r="A185" s="202">
        <v>7</v>
      </c>
      <c r="B185" s="201" t="s">
        <v>534</v>
      </c>
      <c r="C185" s="210">
        <v>1.00466</v>
      </c>
      <c r="D185" s="210">
        <v>1.13722</v>
      </c>
      <c r="E185" s="210">
        <v>1.23076</v>
      </c>
    </row>
    <row r="186" spans="1:5" ht="19.5" customHeight="1">
      <c r="A186" s="202">
        <v>8</v>
      </c>
      <c r="B186" s="201" t="s">
        <v>538</v>
      </c>
      <c r="C186" s="210">
        <v>1.049774</v>
      </c>
      <c r="D186" s="210">
        <v>1.202654</v>
      </c>
      <c r="E186" s="210">
        <v>1.21399</v>
      </c>
    </row>
    <row r="187" spans="1:6" ht="19.5" customHeight="1">
      <c r="A187" s="56"/>
      <c r="B187" s="55"/>
      <c r="C187" s="55"/>
      <c r="D187" s="55"/>
      <c r="E187" s="55"/>
      <c r="F187" s="56"/>
    </row>
    <row r="188" spans="1:5" ht="19.5" customHeight="1">
      <c r="A188" s="200" t="s">
        <v>539</v>
      </c>
      <c r="B188" s="30" t="s">
        <v>540</v>
      </c>
      <c r="C188" s="201"/>
      <c r="D188" s="201"/>
      <c r="E188" s="201"/>
    </row>
    <row r="189" spans="1:5" ht="19.5" customHeight="1">
      <c r="A189" s="202">
        <v>1</v>
      </c>
      <c r="B189" s="201" t="s">
        <v>541</v>
      </c>
      <c r="C189" s="198">
        <v>8795</v>
      </c>
      <c r="D189" s="198">
        <v>8327</v>
      </c>
      <c r="E189" s="198">
        <v>7214</v>
      </c>
    </row>
    <row r="190" spans="1:5" ht="19.5" customHeight="1">
      <c r="A190" s="202">
        <v>2</v>
      </c>
      <c r="B190" s="201" t="s">
        <v>542</v>
      </c>
      <c r="C190" s="198">
        <v>35818</v>
      </c>
      <c r="D190" s="198">
        <v>37113</v>
      </c>
      <c r="E190" s="198">
        <v>39086</v>
      </c>
    </row>
    <row r="191" spans="1:5" ht="19.5" customHeight="1">
      <c r="A191" s="202">
        <v>3</v>
      </c>
      <c r="B191" s="201" t="s">
        <v>543</v>
      </c>
      <c r="C191" s="198">
        <f>+C190+C189</f>
        <v>44613</v>
      </c>
      <c r="D191" s="198">
        <f>+D190+D189</f>
        <v>45440</v>
      </c>
      <c r="E191" s="198">
        <f>+E190+E189</f>
        <v>46300</v>
      </c>
    </row>
    <row r="192" spans="1:6" ht="19.5" customHeight="1">
      <c r="A192" s="56"/>
      <c r="B192" s="55"/>
      <c r="C192" s="55"/>
      <c r="D192" s="55"/>
      <c r="E192" s="55"/>
      <c r="F192" s="56"/>
    </row>
  </sheetData>
  <sheetProtection/>
  <printOptions gridLines="1"/>
  <pageMargins left="0.25" right="0.25" top="0.5" bottom="0.5" header="0.25" footer="0.25"/>
  <pageSetup horizontalDpi="1200" verticalDpi="1200" orientation="portrait" paperSize="9" scale="74" r:id="rId1"/>
  <headerFooter alignWithMargins="0">
    <oddHeader>&amp;LOFFICE OF HEALTH CARE ACCESS&amp;CTWELVE MONTHS ACTUAL FILING&amp;RSTAMFORD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08"/>
  <sheetViews>
    <sheetView zoomScale="75" zoomScaleNormal="75" zoomScalePageLayoutView="0" workbookViewId="0" topLeftCell="A1">
      <selection activeCell="A1" sqref="A1"/>
    </sheetView>
  </sheetViews>
  <sheetFormatPr defaultColWidth="9.140625" defaultRowHeight="20.25" customHeight="1"/>
  <cols>
    <col min="1" max="1" width="7.8515625" style="211" customWidth="1"/>
    <col min="2" max="2" width="72.57421875" style="211" customWidth="1"/>
    <col min="3" max="3" width="21.00390625" style="212" customWidth="1"/>
    <col min="4" max="5" width="21.140625" style="211" customWidth="1"/>
    <col min="6" max="6" width="22.28125" style="211" bestFit="1" customWidth="1"/>
    <col min="7" max="16384" width="9.140625" style="211" customWidth="1"/>
  </cols>
  <sheetData>
    <row r="1" spans="1:6" ht="20.25" customHeight="1">
      <c r="A1" s="213"/>
      <c r="B1" s="213"/>
      <c r="C1" s="214"/>
      <c r="D1" s="215"/>
      <c r="E1" s="215"/>
      <c r="F1" s="215"/>
    </row>
    <row r="2" spans="1:6" ht="20.25" customHeight="1">
      <c r="A2" s="687" t="s">
        <v>115</v>
      </c>
      <c r="B2" s="687"/>
      <c r="C2" s="687"/>
      <c r="D2" s="687"/>
      <c r="E2" s="687"/>
      <c r="F2" s="687"/>
    </row>
    <row r="3" spans="1:6" ht="20.25" customHeight="1">
      <c r="A3" s="687" t="s">
        <v>116</v>
      </c>
      <c r="B3" s="687"/>
      <c r="C3" s="687"/>
      <c r="D3" s="687"/>
      <c r="E3" s="687"/>
      <c r="F3" s="687"/>
    </row>
    <row r="4" spans="1:6" ht="20.25" customHeight="1">
      <c r="A4" s="687" t="s">
        <v>117</v>
      </c>
      <c r="B4" s="687"/>
      <c r="C4" s="687"/>
      <c r="D4" s="687"/>
      <c r="E4" s="687"/>
      <c r="F4" s="687"/>
    </row>
    <row r="5" spans="1:6" ht="20.25" customHeight="1">
      <c r="A5" s="687" t="s">
        <v>544</v>
      </c>
      <c r="B5" s="687"/>
      <c r="C5" s="687"/>
      <c r="D5" s="687"/>
      <c r="E5" s="687"/>
      <c r="F5" s="687"/>
    </row>
    <row r="6" spans="1:3" ht="20.25" customHeight="1" thickBot="1">
      <c r="A6" s="213"/>
      <c r="B6" s="213"/>
      <c r="C6" s="214"/>
    </row>
    <row r="7" spans="1:7" ht="20.25" customHeight="1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>
      <c r="A8" s="220" t="s">
        <v>269</v>
      </c>
      <c r="B8" s="221" t="s">
        <v>124</v>
      </c>
      <c r="C8" s="222" t="s">
        <v>545</v>
      </c>
      <c r="D8" s="223" t="s">
        <v>546</v>
      </c>
      <c r="E8" s="223" t="s">
        <v>547</v>
      </c>
      <c r="F8" s="224" t="s">
        <v>223</v>
      </c>
      <c r="G8" s="212"/>
    </row>
    <row r="9" spans="1:7" ht="20.25" customHeight="1">
      <c r="A9" s="225"/>
      <c r="B9" s="226"/>
      <c r="C9" s="676"/>
      <c r="D9" s="677"/>
      <c r="E9" s="677"/>
      <c r="F9" s="678"/>
      <c r="G9" s="212"/>
    </row>
    <row r="10" spans="1:6" ht="20.25" customHeight="1">
      <c r="A10" s="679" t="s">
        <v>127</v>
      </c>
      <c r="B10" s="681" t="s">
        <v>228</v>
      </c>
      <c r="C10" s="683"/>
      <c r="D10" s="684"/>
      <c r="E10" s="684"/>
      <c r="F10" s="685"/>
    </row>
    <row r="11" spans="1:6" ht="20.25" customHeight="1">
      <c r="A11" s="680"/>
      <c r="B11" s="682"/>
      <c r="C11" s="686"/>
      <c r="D11" s="660"/>
      <c r="E11" s="660"/>
      <c r="F11" s="661"/>
    </row>
    <row r="12" spans="1:6" ht="20.25" customHeight="1">
      <c r="A12" s="228"/>
      <c r="B12" s="229"/>
      <c r="C12" s="230"/>
      <c r="D12" s="230"/>
      <c r="E12" s="230"/>
      <c r="F12" s="230"/>
    </row>
    <row r="13" spans="1:6" ht="18.75" customHeight="1">
      <c r="A13" s="227" t="s">
        <v>225</v>
      </c>
      <c r="B13" s="231" t="s">
        <v>548</v>
      </c>
      <c r="C13" s="232"/>
      <c r="D13" s="233"/>
      <c r="E13" s="227"/>
      <c r="F13" s="234"/>
    </row>
    <row r="14" spans="1:6" ht="20.25" customHeight="1">
      <c r="A14" s="235">
        <v>1</v>
      </c>
      <c r="B14" s="236" t="s">
        <v>549</v>
      </c>
      <c r="C14" s="237">
        <v>429833</v>
      </c>
      <c r="D14" s="237">
        <v>480207</v>
      </c>
      <c r="E14" s="237">
        <f aca="true" t="shared" si="0" ref="E14:E24">D14-C14</f>
        <v>50374</v>
      </c>
      <c r="F14" s="238">
        <f aca="true" t="shared" si="1" ref="F14:F24">IF(C14=0,0,E14/C14)</f>
        <v>0.11719435222516651</v>
      </c>
    </row>
    <row r="15" spans="1:6" ht="20.25" customHeight="1">
      <c r="A15" s="235">
        <v>2</v>
      </c>
      <c r="B15" s="236" t="s">
        <v>550</v>
      </c>
      <c r="C15" s="237">
        <v>129862</v>
      </c>
      <c r="D15" s="237">
        <v>108104</v>
      </c>
      <c r="E15" s="237">
        <f t="shared" si="0"/>
        <v>-21758</v>
      </c>
      <c r="F15" s="238">
        <f t="shared" si="1"/>
        <v>-0.16754708844773683</v>
      </c>
    </row>
    <row r="16" spans="1:6" ht="20.25" customHeight="1">
      <c r="A16" s="235">
        <v>3</v>
      </c>
      <c r="B16" s="236" t="s">
        <v>551</v>
      </c>
      <c r="C16" s="237">
        <v>254603</v>
      </c>
      <c r="D16" s="237">
        <v>592044</v>
      </c>
      <c r="E16" s="237">
        <f t="shared" si="0"/>
        <v>337441</v>
      </c>
      <c r="F16" s="238">
        <f t="shared" si="1"/>
        <v>1.3253614450733102</v>
      </c>
    </row>
    <row r="17" spans="1:6" ht="20.25" customHeight="1">
      <c r="A17" s="235">
        <v>4</v>
      </c>
      <c r="B17" s="236" t="s">
        <v>552</v>
      </c>
      <c r="C17" s="237">
        <v>65886</v>
      </c>
      <c r="D17" s="237">
        <v>115120</v>
      </c>
      <c r="E17" s="237">
        <f t="shared" si="0"/>
        <v>49234</v>
      </c>
      <c r="F17" s="238">
        <f t="shared" si="1"/>
        <v>0.7472604195124912</v>
      </c>
    </row>
    <row r="18" spans="1:6" ht="20.25" customHeight="1">
      <c r="A18" s="235">
        <v>5</v>
      </c>
      <c r="B18" s="236" t="s">
        <v>488</v>
      </c>
      <c r="C18" s="239">
        <v>10</v>
      </c>
      <c r="D18" s="239">
        <v>15</v>
      </c>
      <c r="E18" s="239">
        <f t="shared" si="0"/>
        <v>5</v>
      </c>
      <c r="F18" s="238">
        <f t="shared" si="1"/>
        <v>0.5</v>
      </c>
    </row>
    <row r="19" spans="1:6" ht="20.25" customHeight="1">
      <c r="A19" s="235">
        <v>6</v>
      </c>
      <c r="B19" s="236" t="s">
        <v>487</v>
      </c>
      <c r="C19" s="239">
        <v>36</v>
      </c>
      <c r="D19" s="239">
        <v>63</v>
      </c>
      <c r="E19" s="239">
        <f t="shared" si="0"/>
        <v>27</v>
      </c>
      <c r="F19" s="238">
        <f t="shared" si="1"/>
        <v>0.75</v>
      </c>
    </row>
    <row r="20" spans="1:6" ht="20.25" customHeight="1">
      <c r="A20" s="235">
        <v>7</v>
      </c>
      <c r="B20" s="236" t="s">
        <v>553</v>
      </c>
      <c r="C20" s="239">
        <v>99</v>
      </c>
      <c r="D20" s="239">
        <v>197</v>
      </c>
      <c r="E20" s="239">
        <f t="shared" si="0"/>
        <v>98</v>
      </c>
      <c r="F20" s="238">
        <f t="shared" si="1"/>
        <v>0.98989898989899</v>
      </c>
    </row>
    <row r="21" spans="1:6" ht="20.25" customHeight="1">
      <c r="A21" s="235">
        <v>8</v>
      </c>
      <c r="B21" s="236" t="s">
        <v>554</v>
      </c>
      <c r="C21" s="239">
        <v>2</v>
      </c>
      <c r="D21" s="239">
        <v>17</v>
      </c>
      <c r="E21" s="239">
        <f t="shared" si="0"/>
        <v>15</v>
      </c>
      <c r="F21" s="238">
        <f t="shared" si="1"/>
        <v>7.5</v>
      </c>
    </row>
    <row r="22" spans="1:6" ht="20.25" customHeight="1">
      <c r="A22" s="235">
        <v>9</v>
      </c>
      <c r="B22" s="236" t="s">
        <v>555</v>
      </c>
      <c r="C22" s="239">
        <v>6</v>
      </c>
      <c r="D22" s="239">
        <v>9</v>
      </c>
      <c r="E22" s="239">
        <f t="shared" si="0"/>
        <v>3</v>
      </c>
      <c r="F22" s="238">
        <f t="shared" si="1"/>
        <v>0.5</v>
      </c>
    </row>
    <row r="23" spans="1:6" s="240" customFormat="1" ht="20.25" customHeight="1">
      <c r="A23" s="241"/>
      <c r="B23" s="242" t="s">
        <v>556</v>
      </c>
      <c r="C23" s="243">
        <f>+C14+C16</f>
        <v>684436</v>
      </c>
      <c r="D23" s="243">
        <f>+D14+D16</f>
        <v>1072251</v>
      </c>
      <c r="E23" s="243">
        <f t="shared" si="0"/>
        <v>387815</v>
      </c>
      <c r="F23" s="244">
        <f t="shared" si="1"/>
        <v>0.5666198154392814</v>
      </c>
    </row>
    <row r="24" spans="1:6" s="240" customFormat="1" ht="20.25" customHeight="1">
      <c r="A24" s="241"/>
      <c r="B24" s="242" t="s">
        <v>557</v>
      </c>
      <c r="C24" s="243">
        <f>+C15+C17</f>
        <v>195748</v>
      </c>
      <c r="D24" s="243">
        <f>+D15+D17</f>
        <v>223224</v>
      </c>
      <c r="E24" s="243">
        <f t="shared" si="0"/>
        <v>27476</v>
      </c>
      <c r="F24" s="244">
        <f t="shared" si="1"/>
        <v>0.14036414165151112</v>
      </c>
    </row>
    <row r="25" spans="1:6" s="240" customFormat="1" ht="20.25" customHeight="1">
      <c r="A25" s="245"/>
      <c r="B25" s="242"/>
      <c r="C25" s="243"/>
      <c r="D25" s="243"/>
      <c r="E25" s="243"/>
      <c r="F25" s="244"/>
    </row>
    <row r="26" spans="1:6" ht="18.75" customHeight="1">
      <c r="A26" s="227" t="s">
        <v>239</v>
      </c>
      <c r="B26" s="231" t="s">
        <v>558</v>
      </c>
      <c r="C26" s="232"/>
      <c r="D26" s="233"/>
      <c r="E26" s="227"/>
      <c r="F26" s="234"/>
    </row>
    <row r="27" spans="1:6" ht="20.25" customHeight="1">
      <c r="A27" s="235">
        <v>1</v>
      </c>
      <c r="B27" s="236" t="s">
        <v>549</v>
      </c>
      <c r="C27" s="237">
        <v>0</v>
      </c>
      <c r="D27" s="237">
        <v>0</v>
      </c>
      <c r="E27" s="237">
        <f aca="true" t="shared" si="2" ref="E27:E37">D27-C27</f>
        <v>0</v>
      </c>
      <c r="F27" s="238">
        <f aca="true" t="shared" si="3" ref="F27:F37">IF(C27=0,0,E27/C27)</f>
        <v>0</v>
      </c>
    </row>
    <row r="28" spans="1:6" ht="20.25" customHeight="1">
      <c r="A28" s="235">
        <v>2</v>
      </c>
      <c r="B28" s="236" t="s">
        <v>550</v>
      </c>
      <c r="C28" s="237">
        <v>0</v>
      </c>
      <c r="D28" s="237">
        <v>0</v>
      </c>
      <c r="E28" s="237">
        <f t="shared" si="2"/>
        <v>0</v>
      </c>
      <c r="F28" s="238">
        <f t="shared" si="3"/>
        <v>0</v>
      </c>
    </row>
    <row r="29" spans="1:6" ht="20.25" customHeight="1">
      <c r="A29" s="235">
        <v>3</v>
      </c>
      <c r="B29" s="236" t="s">
        <v>551</v>
      </c>
      <c r="C29" s="237">
        <v>0</v>
      </c>
      <c r="D29" s="237">
        <v>1328</v>
      </c>
      <c r="E29" s="237">
        <f t="shared" si="2"/>
        <v>1328</v>
      </c>
      <c r="F29" s="238">
        <f t="shared" si="3"/>
        <v>0</v>
      </c>
    </row>
    <row r="30" spans="1:6" ht="20.25" customHeight="1">
      <c r="A30" s="235">
        <v>4</v>
      </c>
      <c r="B30" s="236" t="s">
        <v>552</v>
      </c>
      <c r="C30" s="237">
        <v>0</v>
      </c>
      <c r="D30" s="237">
        <v>181</v>
      </c>
      <c r="E30" s="237">
        <f t="shared" si="2"/>
        <v>181</v>
      </c>
      <c r="F30" s="238">
        <f t="shared" si="3"/>
        <v>0</v>
      </c>
    </row>
    <row r="31" spans="1:6" ht="20.25" customHeight="1">
      <c r="A31" s="235">
        <v>5</v>
      </c>
      <c r="B31" s="236" t="s">
        <v>488</v>
      </c>
      <c r="C31" s="239">
        <v>0</v>
      </c>
      <c r="D31" s="239">
        <v>0</v>
      </c>
      <c r="E31" s="239">
        <f t="shared" si="2"/>
        <v>0</v>
      </c>
      <c r="F31" s="238">
        <f t="shared" si="3"/>
        <v>0</v>
      </c>
    </row>
    <row r="32" spans="1:6" ht="20.25" customHeight="1">
      <c r="A32" s="235">
        <v>6</v>
      </c>
      <c r="B32" s="236" t="s">
        <v>487</v>
      </c>
      <c r="C32" s="239">
        <v>0</v>
      </c>
      <c r="D32" s="239">
        <v>0</v>
      </c>
      <c r="E32" s="239">
        <f t="shared" si="2"/>
        <v>0</v>
      </c>
      <c r="F32" s="238">
        <f t="shared" si="3"/>
        <v>0</v>
      </c>
    </row>
    <row r="33" spans="1:6" ht="20.25" customHeight="1">
      <c r="A33" s="235">
        <v>7</v>
      </c>
      <c r="B33" s="236" t="s">
        <v>553</v>
      </c>
      <c r="C33" s="239">
        <v>0</v>
      </c>
      <c r="D33" s="239">
        <v>1</v>
      </c>
      <c r="E33" s="239">
        <f t="shared" si="2"/>
        <v>1</v>
      </c>
      <c r="F33" s="238">
        <f t="shared" si="3"/>
        <v>0</v>
      </c>
    </row>
    <row r="34" spans="1:6" ht="20.25" customHeight="1">
      <c r="A34" s="235">
        <v>8</v>
      </c>
      <c r="B34" s="236" t="s">
        <v>554</v>
      </c>
      <c r="C34" s="239">
        <v>0</v>
      </c>
      <c r="D34" s="239">
        <v>0</v>
      </c>
      <c r="E34" s="239">
        <f t="shared" si="2"/>
        <v>0</v>
      </c>
      <c r="F34" s="238">
        <f t="shared" si="3"/>
        <v>0</v>
      </c>
    </row>
    <row r="35" spans="1:6" ht="20.25" customHeight="1">
      <c r="A35" s="235">
        <v>9</v>
      </c>
      <c r="B35" s="236" t="s">
        <v>555</v>
      </c>
      <c r="C35" s="239">
        <v>0</v>
      </c>
      <c r="D35" s="239">
        <v>0</v>
      </c>
      <c r="E35" s="239">
        <f t="shared" si="2"/>
        <v>0</v>
      </c>
      <c r="F35" s="238">
        <f t="shared" si="3"/>
        <v>0</v>
      </c>
    </row>
    <row r="36" spans="1:6" s="240" customFormat="1" ht="20.25" customHeight="1">
      <c r="A36" s="241"/>
      <c r="B36" s="242" t="s">
        <v>556</v>
      </c>
      <c r="C36" s="243">
        <f>+C27+C29</f>
        <v>0</v>
      </c>
      <c r="D36" s="243">
        <f>+D27+D29</f>
        <v>1328</v>
      </c>
      <c r="E36" s="243">
        <f t="shared" si="2"/>
        <v>1328</v>
      </c>
      <c r="F36" s="244">
        <f t="shared" si="3"/>
        <v>0</v>
      </c>
    </row>
    <row r="37" spans="1:6" s="240" customFormat="1" ht="20.25" customHeight="1">
      <c r="A37" s="241"/>
      <c r="B37" s="242" t="s">
        <v>557</v>
      </c>
      <c r="C37" s="243">
        <f>+C28+C30</f>
        <v>0</v>
      </c>
      <c r="D37" s="243">
        <f>+D28+D30</f>
        <v>181</v>
      </c>
      <c r="E37" s="243">
        <f t="shared" si="2"/>
        <v>181</v>
      </c>
      <c r="F37" s="244">
        <f t="shared" si="3"/>
        <v>0</v>
      </c>
    </row>
    <row r="38" spans="1:6" s="240" customFormat="1" ht="20.25" customHeight="1">
      <c r="A38" s="245"/>
      <c r="B38" s="242"/>
      <c r="C38" s="243"/>
      <c r="D38" s="243"/>
      <c r="E38" s="243"/>
      <c r="F38" s="244"/>
    </row>
    <row r="39" spans="1:6" ht="18.75" customHeight="1">
      <c r="A39" s="227" t="s">
        <v>256</v>
      </c>
      <c r="B39" s="231" t="s">
        <v>559</v>
      </c>
      <c r="C39" s="232"/>
      <c r="D39" s="233"/>
      <c r="E39" s="227"/>
      <c r="F39" s="234"/>
    </row>
    <row r="40" spans="1:6" ht="20.25" customHeight="1">
      <c r="A40" s="235">
        <v>1</v>
      </c>
      <c r="B40" s="236" t="s">
        <v>549</v>
      </c>
      <c r="C40" s="237">
        <v>112326</v>
      </c>
      <c r="D40" s="237">
        <v>1267074</v>
      </c>
      <c r="E40" s="237">
        <f aca="true" t="shared" si="4" ref="E40:E50">D40-C40</f>
        <v>1154748</v>
      </c>
      <c r="F40" s="238">
        <f aca="true" t="shared" si="5" ref="F40:F50">IF(C40=0,0,E40/C40)</f>
        <v>10.280326905614016</v>
      </c>
    </row>
    <row r="41" spans="1:6" ht="20.25" customHeight="1">
      <c r="A41" s="235">
        <v>2</v>
      </c>
      <c r="B41" s="236" t="s">
        <v>550</v>
      </c>
      <c r="C41" s="237">
        <v>47398</v>
      </c>
      <c r="D41" s="237">
        <v>285649</v>
      </c>
      <c r="E41" s="237">
        <f t="shared" si="4"/>
        <v>238251</v>
      </c>
      <c r="F41" s="238">
        <f t="shared" si="5"/>
        <v>5.026604498080088</v>
      </c>
    </row>
    <row r="42" spans="1:6" ht="20.25" customHeight="1">
      <c r="A42" s="235">
        <v>3</v>
      </c>
      <c r="B42" s="236" t="s">
        <v>551</v>
      </c>
      <c r="C42" s="237">
        <v>185347</v>
      </c>
      <c r="D42" s="237">
        <v>1001667</v>
      </c>
      <c r="E42" s="237">
        <f t="shared" si="4"/>
        <v>816320</v>
      </c>
      <c r="F42" s="238">
        <f t="shared" si="5"/>
        <v>4.404279540537479</v>
      </c>
    </row>
    <row r="43" spans="1:6" ht="20.25" customHeight="1">
      <c r="A43" s="235">
        <v>4</v>
      </c>
      <c r="B43" s="236" t="s">
        <v>552</v>
      </c>
      <c r="C43" s="237">
        <v>88003</v>
      </c>
      <c r="D43" s="237">
        <v>132170</v>
      </c>
      <c r="E43" s="237">
        <f t="shared" si="4"/>
        <v>44167</v>
      </c>
      <c r="F43" s="238">
        <f t="shared" si="5"/>
        <v>0.5018806177062146</v>
      </c>
    </row>
    <row r="44" spans="1:6" ht="20.25" customHeight="1">
      <c r="A44" s="235">
        <v>5</v>
      </c>
      <c r="B44" s="236" t="s">
        <v>488</v>
      </c>
      <c r="C44" s="239">
        <v>4</v>
      </c>
      <c r="D44" s="239">
        <v>25</v>
      </c>
      <c r="E44" s="239">
        <f t="shared" si="4"/>
        <v>21</v>
      </c>
      <c r="F44" s="238">
        <f t="shared" si="5"/>
        <v>5.25</v>
      </c>
    </row>
    <row r="45" spans="1:6" ht="20.25" customHeight="1">
      <c r="A45" s="235">
        <v>6</v>
      </c>
      <c r="B45" s="236" t="s">
        <v>487</v>
      </c>
      <c r="C45" s="239">
        <v>10</v>
      </c>
      <c r="D45" s="239">
        <v>147</v>
      </c>
      <c r="E45" s="239">
        <f t="shared" si="4"/>
        <v>137</v>
      </c>
      <c r="F45" s="238">
        <f t="shared" si="5"/>
        <v>13.7</v>
      </c>
    </row>
    <row r="46" spans="1:6" ht="20.25" customHeight="1">
      <c r="A46" s="235">
        <v>7</v>
      </c>
      <c r="B46" s="236" t="s">
        <v>553</v>
      </c>
      <c r="C46" s="239">
        <v>42</v>
      </c>
      <c r="D46" s="239">
        <v>302</v>
      </c>
      <c r="E46" s="239">
        <f t="shared" si="4"/>
        <v>260</v>
      </c>
      <c r="F46" s="238">
        <f t="shared" si="5"/>
        <v>6.190476190476191</v>
      </c>
    </row>
    <row r="47" spans="1:6" ht="20.25" customHeight="1">
      <c r="A47" s="235">
        <v>8</v>
      </c>
      <c r="B47" s="236" t="s">
        <v>554</v>
      </c>
      <c r="C47" s="239">
        <v>4</v>
      </c>
      <c r="D47" s="239">
        <v>23</v>
      </c>
      <c r="E47" s="239">
        <f t="shared" si="4"/>
        <v>19</v>
      </c>
      <c r="F47" s="238">
        <f t="shared" si="5"/>
        <v>4.75</v>
      </c>
    </row>
    <row r="48" spans="1:6" ht="20.25" customHeight="1">
      <c r="A48" s="235">
        <v>9</v>
      </c>
      <c r="B48" s="236" t="s">
        <v>555</v>
      </c>
      <c r="C48" s="239">
        <v>2</v>
      </c>
      <c r="D48" s="239">
        <v>21</v>
      </c>
      <c r="E48" s="239">
        <f t="shared" si="4"/>
        <v>19</v>
      </c>
      <c r="F48" s="238">
        <f t="shared" si="5"/>
        <v>9.5</v>
      </c>
    </row>
    <row r="49" spans="1:6" s="240" customFormat="1" ht="20.25" customHeight="1">
      <c r="A49" s="241"/>
      <c r="B49" s="242" t="s">
        <v>556</v>
      </c>
      <c r="C49" s="243">
        <f>+C40+C42</f>
        <v>297673</v>
      </c>
      <c r="D49" s="243">
        <f>+D40+D42</f>
        <v>2268741</v>
      </c>
      <c r="E49" s="243">
        <f t="shared" si="4"/>
        <v>1971068</v>
      </c>
      <c r="F49" s="244">
        <f t="shared" si="5"/>
        <v>6.621588118505877</v>
      </c>
    </row>
    <row r="50" spans="1:6" s="240" customFormat="1" ht="20.25" customHeight="1">
      <c r="A50" s="241"/>
      <c r="B50" s="242" t="s">
        <v>557</v>
      </c>
      <c r="C50" s="243">
        <f>+C41+C43</f>
        <v>135401</v>
      </c>
      <c r="D50" s="243">
        <f>+D41+D43</f>
        <v>417819</v>
      </c>
      <c r="E50" s="243">
        <f t="shared" si="4"/>
        <v>282418</v>
      </c>
      <c r="F50" s="244">
        <f t="shared" si="5"/>
        <v>2.0857896175065176</v>
      </c>
    </row>
    <row r="51" spans="1:6" s="240" customFormat="1" ht="20.25" customHeight="1">
      <c r="A51" s="245"/>
      <c r="B51" s="242"/>
      <c r="C51" s="243"/>
      <c r="D51" s="243"/>
      <c r="E51" s="243"/>
      <c r="F51" s="244"/>
    </row>
    <row r="52" spans="1:6" ht="18.75" customHeight="1">
      <c r="A52" s="227" t="s">
        <v>286</v>
      </c>
      <c r="B52" s="231" t="s">
        <v>560</v>
      </c>
      <c r="C52" s="232"/>
      <c r="D52" s="233"/>
      <c r="E52" s="227"/>
      <c r="F52" s="234"/>
    </row>
    <row r="53" spans="1:6" ht="20.25" customHeight="1">
      <c r="A53" s="235">
        <v>1</v>
      </c>
      <c r="B53" s="236" t="s">
        <v>549</v>
      </c>
      <c r="C53" s="237">
        <v>22044078</v>
      </c>
      <c r="D53" s="237">
        <v>24779401</v>
      </c>
      <c r="E53" s="237">
        <f aca="true" t="shared" si="6" ref="E53:E63">D53-C53</f>
        <v>2735323</v>
      </c>
      <c r="F53" s="238">
        <f aca="true" t="shared" si="7" ref="F53:F63">IF(C53=0,0,E53/C53)</f>
        <v>0.12408425519089526</v>
      </c>
    </row>
    <row r="54" spans="1:6" ht="20.25" customHeight="1">
      <c r="A54" s="235">
        <v>2</v>
      </c>
      <c r="B54" s="236" t="s">
        <v>550</v>
      </c>
      <c r="C54" s="237">
        <v>6732234</v>
      </c>
      <c r="D54" s="237">
        <v>6480725</v>
      </c>
      <c r="E54" s="237">
        <f t="shared" si="6"/>
        <v>-251509</v>
      </c>
      <c r="F54" s="238">
        <f t="shared" si="7"/>
        <v>-0.03735892127338414</v>
      </c>
    </row>
    <row r="55" spans="1:6" ht="20.25" customHeight="1">
      <c r="A55" s="235">
        <v>3</v>
      </c>
      <c r="B55" s="236" t="s">
        <v>551</v>
      </c>
      <c r="C55" s="237">
        <v>13833092</v>
      </c>
      <c r="D55" s="237">
        <v>19139601</v>
      </c>
      <c r="E55" s="237">
        <f t="shared" si="6"/>
        <v>5306509</v>
      </c>
      <c r="F55" s="238">
        <f t="shared" si="7"/>
        <v>0.3836097526135155</v>
      </c>
    </row>
    <row r="56" spans="1:6" ht="20.25" customHeight="1">
      <c r="A56" s="235">
        <v>4</v>
      </c>
      <c r="B56" s="236" t="s">
        <v>552</v>
      </c>
      <c r="C56" s="237">
        <v>2204756</v>
      </c>
      <c r="D56" s="237">
        <v>2612189</v>
      </c>
      <c r="E56" s="237">
        <f t="shared" si="6"/>
        <v>407433</v>
      </c>
      <c r="F56" s="238">
        <f t="shared" si="7"/>
        <v>0.18479731997554377</v>
      </c>
    </row>
    <row r="57" spans="1:6" ht="20.25" customHeight="1">
      <c r="A57" s="235">
        <v>5</v>
      </c>
      <c r="B57" s="236" t="s">
        <v>488</v>
      </c>
      <c r="C57" s="239">
        <v>558</v>
      </c>
      <c r="D57" s="239">
        <v>496</v>
      </c>
      <c r="E57" s="239">
        <f t="shared" si="6"/>
        <v>-62</v>
      </c>
      <c r="F57" s="238">
        <f t="shared" si="7"/>
        <v>-0.1111111111111111</v>
      </c>
    </row>
    <row r="58" spans="1:6" ht="20.25" customHeight="1">
      <c r="A58" s="235">
        <v>6</v>
      </c>
      <c r="B58" s="236" t="s">
        <v>487</v>
      </c>
      <c r="C58" s="239">
        <v>3045</v>
      </c>
      <c r="D58" s="239">
        <v>3114</v>
      </c>
      <c r="E58" s="239">
        <f t="shared" si="6"/>
        <v>69</v>
      </c>
      <c r="F58" s="238">
        <f t="shared" si="7"/>
        <v>0.022660098522167486</v>
      </c>
    </row>
    <row r="59" spans="1:6" ht="20.25" customHeight="1">
      <c r="A59" s="235">
        <v>7</v>
      </c>
      <c r="B59" s="236" t="s">
        <v>553</v>
      </c>
      <c r="C59" s="239">
        <v>5258</v>
      </c>
      <c r="D59" s="239">
        <v>6102</v>
      </c>
      <c r="E59" s="239">
        <f t="shared" si="6"/>
        <v>844</v>
      </c>
      <c r="F59" s="238">
        <f t="shared" si="7"/>
        <v>0.16051730696082162</v>
      </c>
    </row>
    <row r="60" spans="1:6" ht="20.25" customHeight="1">
      <c r="A60" s="235">
        <v>8</v>
      </c>
      <c r="B60" s="236" t="s">
        <v>554</v>
      </c>
      <c r="C60" s="239">
        <v>435</v>
      </c>
      <c r="D60" s="239">
        <v>536</v>
      </c>
      <c r="E60" s="239">
        <f t="shared" si="6"/>
        <v>101</v>
      </c>
      <c r="F60" s="238">
        <f t="shared" si="7"/>
        <v>0.23218390804597702</v>
      </c>
    </row>
    <row r="61" spans="1:6" ht="20.25" customHeight="1">
      <c r="A61" s="235">
        <v>9</v>
      </c>
      <c r="B61" s="236" t="s">
        <v>555</v>
      </c>
      <c r="C61" s="239">
        <v>425</v>
      </c>
      <c r="D61" s="239">
        <v>370</v>
      </c>
      <c r="E61" s="239">
        <f t="shared" si="6"/>
        <v>-55</v>
      </c>
      <c r="F61" s="238">
        <f t="shared" si="7"/>
        <v>-0.12941176470588237</v>
      </c>
    </row>
    <row r="62" spans="1:6" s="240" customFormat="1" ht="20.25" customHeight="1">
      <c r="A62" s="241"/>
      <c r="B62" s="242" t="s">
        <v>556</v>
      </c>
      <c r="C62" s="243">
        <f>+C53+C55</f>
        <v>35877170</v>
      </c>
      <c r="D62" s="243">
        <f>+D53+D55</f>
        <v>43919002</v>
      </c>
      <c r="E62" s="243">
        <f t="shared" si="6"/>
        <v>8041832</v>
      </c>
      <c r="F62" s="244">
        <f t="shared" si="7"/>
        <v>0.22414900617858097</v>
      </c>
    </row>
    <row r="63" spans="1:6" s="240" customFormat="1" ht="20.25" customHeight="1">
      <c r="A63" s="241"/>
      <c r="B63" s="242" t="s">
        <v>557</v>
      </c>
      <c r="C63" s="243">
        <f>+C54+C56</f>
        <v>8936990</v>
      </c>
      <c r="D63" s="243">
        <f>+D54+D56</f>
        <v>9092914</v>
      </c>
      <c r="E63" s="243">
        <f t="shared" si="6"/>
        <v>155924</v>
      </c>
      <c r="F63" s="244">
        <f t="shared" si="7"/>
        <v>0.01744703753724688</v>
      </c>
    </row>
    <row r="64" spans="1:6" s="240" customFormat="1" ht="20.25" customHeight="1">
      <c r="A64" s="245"/>
      <c r="B64" s="242"/>
      <c r="C64" s="243"/>
      <c r="D64" s="243"/>
      <c r="E64" s="243"/>
      <c r="F64" s="244"/>
    </row>
    <row r="65" spans="1:6" ht="18.75" customHeight="1">
      <c r="A65" s="227" t="s">
        <v>291</v>
      </c>
      <c r="B65" s="231" t="s">
        <v>561</v>
      </c>
      <c r="C65" s="232"/>
      <c r="D65" s="233"/>
      <c r="E65" s="227"/>
      <c r="F65" s="234"/>
    </row>
    <row r="66" spans="1:6" ht="20.25" customHeight="1">
      <c r="A66" s="235">
        <v>1</v>
      </c>
      <c r="B66" s="236" t="s">
        <v>549</v>
      </c>
      <c r="C66" s="237">
        <v>969000</v>
      </c>
      <c r="D66" s="237">
        <v>421305</v>
      </c>
      <c r="E66" s="237">
        <f aca="true" t="shared" si="8" ref="E66:E76">D66-C66</f>
        <v>-547695</v>
      </c>
      <c r="F66" s="238">
        <f aca="true" t="shared" si="9" ref="F66:F76">IF(C66=0,0,E66/C66)</f>
        <v>-0.5652167182662539</v>
      </c>
    </row>
    <row r="67" spans="1:6" ht="20.25" customHeight="1">
      <c r="A67" s="235">
        <v>2</v>
      </c>
      <c r="B67" s="236" t="s">
        <v>550</v>
      </c>
      <c r="C67" s="237">
        <v>191784</v>
      </c>
      <c r="D67" s="237">
        <v>113964</v>
      </c>
      <c r="E67" s="237">
        <f t="shared" si="8"/>
        <v>-77820</v>
      </c>
      <c r="F67" s="238">
        <f t="shared" si="9"/>
        <v>-0.4057689901138781</v>
      </c>
    </row>
    <row r="68" spans="1:6" ht="20.25" customHeight="1">
      <c r="A68" s="235">
        <v>3</v>
      </c>
      <c r="B68" s="236" t="s">
        <v>551</v>
      </c>
      <c r="C68" s="237">
        <v>344524</v>
      </c>
      <c r="D68" s="237">
        <v>637510</v>
      </c>
      <c r="E68" s="237">
        <f t="shared" si="8"/>
        <v>292986</v>
      </c>
      <c r="F68" s="238">
        <f t="shared" si="9"/>
        <v>0.8504080992906154</v>
      </c>
    </row>
    <row r="69" spans="1:6" ht="20.25" customHeight="1">
      <c r="A69" s="235">
        <v>4</v>
      </c>
      <c r="B69" s="236" t="s">
        <v>552</v>
      </c>
      <c r="C69" s="237">
        <v>63742</v>
      </c>
      <c r="D69" s="237">
        <v>110376</v>
      </c>
      <c r="E69" s="237">
        <f t="shared" si="8"/>
        <v>46634</v>
      </c>
      <c r="F69" s="238">
        <f t="shared" si="9"/>
        <v>0.7316055348122117</v>
      </c>
    </row>
    <row r="70" spans="1:6" ht="20.25" customHeight="1">
      <c r="A70" s="235">
        <v>5</v>
      </c>
      <c r="B70" s="236" t="s">
        <v>488</v>
      </c>
      <c r="C70" s="239">
        <v>22</v>
      </c>
      <c r="D70" s="239">
        <v>11</v>
      </c>
      <c r="E70" s="239">
        <f t="shared" si="8"/>
        <v>-11</v>
      </c>
      <c r="F70" s="238">
        <f t="shared" si="9"/>
        <v>-0.5</v>
      </c>
    </row>
    <row r="71" spans="1:6" ht="20.25" customHeight="1">
      <c r="A71" s="235">
        <v>6</v>
      </c>
      <c r="B71" s="236" t="s">
        <v>487</v>
      </c>
      <c r="C71" s="239">
        <v>189</v>
      </c>
      <c r="D71" s="239">
        <v>45</v>
      </c>
      <c r="E71" s="239">
        <f t="shared" si="8"/>
        <v>-144</v>
      </c>
      <c r="F71" s="238">
        <f t="shared" si="9"/>
        <v>-0.7619047619047619</v>
      </c>
    </row>
    <row r="72" spans="1:6" ht="20.25" customHeight="1">
      <c r="A72" s="235">
        <v>7</v>
      </c>
      <c r="B72" s="236" t="s">
        <v>553</v>
      </c>
      <c r="C72" s="239">
        <v>33</v>
      </c>
      <c r="D72" s="239">
        <v>81</v>
      </c>
      <c r="E72" s="239">
        <f t="shared" si="8"/>
        <v>48</v>
      </c>
      <c r="F72" s="238">
        <f t="shared" si="9"/>
        <v>1.4545454545454546</v>
      </c>
    </row>
    <row r="73" spans="1:6" ht="20.25" customHeight="1">
      <c r="A73" s="235">
        <v>8</v>
      </c>
      <c r="B73" s="236" t="s">
        <v>554</v>
      </c>
      <c r="C73" s="239">
        <v>12</v>
      </c>
      <c r="D73" s="239">
        <v>22</v>
      </c>
      <c r="E73" s="239">
        <f t="shared" si="8"/>
        <v>10</v>
      </c>
      <c r="F73" s="238">
        <f t="shared" si="9"/>
        <v>0.8333333333333334</v>
      </c>
    </row>
    <row r="74" spans="1:6" ht="20.25" customHeight="1">
      <c r="A74" s="235">
        <v>9</v>
      </c>
      <c r="B74" s="236" t="s">
        <v>555</v>
      </c>
      <c r="C74" s="239">
        <v>16</v>
      </c>
      <c r="D74" s="239">
        <v>10</v>
      </c>
      <c r="E74" s="239">
        <f t="shared" si="8"/>
        <v>-6</v>
      </c>
      <c r="F74" s="238">
        <f t="shared" si="9"/>
        <v>-0.375</v>
      </c>
    </row>
    <row r="75" spans="1:6" s="240" customFormat="1" ht="20.25" customHeight="1">
      <c r="A75" s="241"/>
      <c r="B75" s="242" t="s">
        <v>556</v>
      </c>
      <c r="C75" s="243">
        <f>+C66+C68</f>
        <v>1313524</v>
      </c>
      <c r="D75" s="243">
        <f>+D66+D68</f>
        <v>1058815</v>
      </c>
      <c r="E75" s="243">
        <f t="shared" si="8"/>
        <v>-254709</v>
      </c>
      <c r="F75" s="244">
        <f t="shared" si="9"/>
        <v>-0.19391271114954886</v>
      </c>
    </row>
    <row r="76" spans="1:6" s="240" customFormat="1" ht="20.25" customHeight="1">
      <c r="A76" s="241"/>
      <c r="B76" s="242" t="s">
        <v>557</v>
      </c>
      <c r="C76" s="243">
        <f>+C67+C69</f>
        <v>255526</v>
      </c>
      <c r="D76" s="243">
        <f>+D67+D69</f>
        <v>224340</v>
      </c>
      <c r="E76" s="243">
        <f t="shared" si="8"/>
        <v>-31186</v>
      </c>
      <c r="F76" s="244">
        <f t="shared" si="9"/>
        <v>-0.12204628883166488</v>
      </c>
    </row>
    <row r="77" spans="1:6" s="240" customFormat="1" ht="20.25" customHeight="1">
      <c r="A77" s="245"/>
      <c r="B77" s="242"/>
      <c r="C77" s="243"/>
      <c r="D77" s="243"/>
      <c r="E77" s="243"/>
      <c r="F77" s="244"/>
    </row>
    <row r="78" spans="1:6" ht="18.75" customHeight="1">
      <c r="A78" s="227" t="s">
        <v>297</v>
      </c>
      <c r="B78" s="231" t="s">
        <v>562</v>
      </c>
      <c r="C78" s="232"/>
      <c r="D78" s="233"/>
      <c r="E78" s="227"/>
      <c r="F78" s="234"/>
    </row>
    <row r="79" spans="1:6" ht="20.25" customHeight="1">
      <c r="A79" s="235">
        <v>1</v>
      </c>
      <c r="B79" s="236" t="s">
        <v>549</v>
      </c>
      <c r="C79" s="237">
        <v>24148</v>
      </c>
      <c r="D79" s="237">
        <v>0</v>
      </c>
      <c r="E79" s="237">
        <f aca="true" t="shared" si="10" ref="E79:E89">D79-C79</f>
        <v>-24148</v>
      </c>
      <c r="F79" s="238">
        <f aca="true" t="shared" si="11" ref="F79:F89">IF(C79=0,0,E79/C79)</f>
        <v>-1</v>
      </c>
    </row>
    <row r="80" spans="1:6" ht="20.25" customHeight="1">
      <c r="A80" s="235">
        <v>2</v>
      </c>
      <c r="B80" s="236" t="s">
        <v>550</v>
      </c>
      <c r="C80" s="237">
        <v>21099</v>
      </c>
      <c r="D80" s="237">
        <v>0</v>
      </c>
      <c r="E80" s="237">
        <f t="shared" si="10"/>
        <v>-21099</v>
      </c>
      <c r="F80" s="238">
        <f t="shared" si="11"/>
        <v>-1</v>
      </c>
    </row>
    <row r="81" spans="1:6" ht="20.25" customHeight="1">
      <c r="A81" s="235">
        <v>3</v>
      </c>
      <c r="B81" s="236" t="s">
        <v>551</v>
      </c>
      <c r="C81" s="237">
        <v>54439</v>
      </c>
      <c r="D81" s="237">
        <v>44126</v>
      </c>
      <c r="E81" s="237">
        <f t="shared" si="10"/>
        <v>-10313</v>
      </c>
      <c r="F81" s="238">
        <f t="shared" si="11"/>
        <v>-0.18944139311890373</v>
      </c>
    </row>
    <row r="82" spans="1:6" ht="20.25" customHeight="1">
      <c r="A82" s="235">
        <v>4</v>
      </c>
      <c r="B82" s="236" t="s">
        <v>552</v>
      </c>
      <c r="C82" s="237">
        <v>8990</v>
      </c>
      <c r="D82" s="237">
        <v>8302</v>
      </c>
      <c r="E82" s="237">
        <f t="shared" si="10"/>
        <v>-688</v>
      </c>
      <c r="F82" s="238">
        <f t="shared" si="11"/>
        <v>-0.07652947719688542</v>
      </c>
    </row>
    <row r="83" spans="1:6" ht="20.25" customHeight="1">
      <c r="A83" s="235">
        <v>5</v>
      </c>
      <c r="B83" s="236" t="s">
        <v>488</v>
      </c>
      <c r="C83" s="239">
        <v>1</v>
      </c>
      <c r="D83" s="239">
        <v>0</v>
      </c>
      <c r="E83" s="239">
        <f t="shared" si="10"/>
        <v>-1</v>
      </c>
      <c r="F83" s="238">
        <f t="shared" si="11"/>
        <v>-1</v>
      </c>
    </row>
    <row r="84" spans="1:6" ht="20.25" customHeight="1">
      <c r="A84" s="235">
        <v>6</v>
      </c>
      <c r="B84" s="236" t="s">
        <v>487</v>
      </c>
      <c r="C84" s="239">
        <v>12</v>
      </c>
      <c r="D84" s="239">
        <v>0</v>
      </c>
      <c r="E84" s="239">
        <f t="shared" si="10"/>
        <v>-12</v>
      </c>
      <c r="F84" s="238">
        <f t="shared" si="11"/>
        <v>-1</v>
      </c>
    </row>
    <row r="85" spans="1:6" ht="20.25" customHeight="1">
      <c r="A85" s="235">
        <v>7</v>
      </c>
      <c r="B85" s="236" t="s">
        <v>553</v>
      </c>
      <c r="C85" s="239">
        <v>9</v>
      </c>
      <c r="D85" s="239">
        <v>9</v>
      </c>
      <c r="E85" s="239">
        <f t="shared" si="10"/>
        <v>0</v>
      </c>
      <c r="F85" s="238">
        <f t="shared" si="11"/>
        <v>0</v>
      </c>
    </row>
    <row r="86" spans="1:6" ht="20.25" customHeight="1">
      <c r="A86" s="235">
        <v>8</v>
      </c>
      <c r="B86" s="236" t="s">
        <v>554</v>
      </c>
      <c r="C86" s="239">
        <v>3</v>
      </c>
      <c r="D86" s="239">
        <v>1</v>
      </c>
      <c r="E86" s="239">
        <f t="shared" si="10"/>
        <v>-2</v>
      </c>
      <c r="F86" s="238">
        <f t="shared" si="11"/>
        <v>-0.6666666666666666</v>
      </c>
    </row>
    <row r="87" spans="1:6" ht="20.25" customHeight="1">
      <c r="A87" s="235">
        <v>9</v>
      </c>
      <c r="B87" s="236" t="s">
        <v>555</v>
      </c>
      <c r="C87" s="239">
        <v>0</v>
      </c>
      <c r="D87" s="239">
        <v>0</v>
      </c>
      <c r="E87" s="239">
        <f t="shared" si="10"/>
        <v>0</v>
      </c>
      <c r="F87" s="238">
        <f t="shared" si="11"/>
        <v>0</v>
      </c>
    </row>
    <row r="88" spans="1:6" s="240" customFormat="1" ht="20.25" customHeight="1">
      <c r="A88" s="241"/>
      <c r="B88" s="242" t="s">
        <v>556</v>
      </c>
      <c r="C88" s="243">
        <f>+C79+C81</f>
        <v>78587</v>
      </c>
      <c r="D88" s="243">
        <f>+D79+D81</f>
        <v>44126</v>
      </c>
      <c r="E88" s="243">
        <f t="shared" si="10"/>
        <v>-34461</v>
      </c>
      <c r="F88" s="244">
        <f t="shared" si="11"/>
        <v>-0.43850764121292324</v>
      </c>
    </row>
    <row r="89" spans="1:6" s="240" customFormat="1" ht="20.25" customHeight="1">
      <c r="A89" s="241"/>
      <c r="B89" s="242" t="s">
        <v>557</v>
      </c>
      <c r="C89" s="243">
        <f>+C80+C82</f>
        <v>30089</v>
      </c>
      <c r="D89" s="243">
        <f>+D80+D82</f>
        <v>8302</v>
      </c>
      <c r="E89" s="243">
        <f t="shared" si="10"/>
        <v>-21787</v>
      </c>
      <c r="F89" s="244">
        <f t="shared" si="11"/>
        <v>-0.7240852138655323</v>
      </c>
    </row>
    <row r="90" spans="1:6" s="240" customFormat="1" ht="20.25" customHeight="1">
      <c r="A90" s="245"/>
      <c r="B90" s="242"/>
      <c r="C90" s="243"/>
      <c r="D90" s="243"/>
      <c r="E90" s="243"/>
      <c r="F90" s="244"/>
    </row>
    <row r="91" spans="1:6" ht="18.75" customHeight="1">
      <c r="A91" s="227" t="s">
        <v>299</v>
      </c>
      <c r="B91" s="231" t="s">
        <v>563</v>
      </c>
      <c r="C91" s="232"/>
      <c r="D91" s="233"/>
      <c r="E91" s="227"/>
      <c r="F91" s="234"/>
    </row>
    <row r="92" spans="1:6" ht="20.25" customHeight="1">
      <c r="A92" s="235">
        <v>1</v>
      </c>
      <c r="B92" s="236" t="s">
        <v>549</v>
      </c>
      <c r="C92" s="237">
        <v>118583</v>
      </c>
      <c r="D92" s="237">
        <v>161535</v>
      </c>
      <c r="E92" s="237">
        <f aca="true" t="shared" si="12" ref="E92:E102">D92-C92</f>
        <v>42952</v>
      </c>
      <c r="F92" s="238">
        <f aca="true" t="shared" si="13" ref="F92:F102">IF(C92=0,0,E92/C92)</f>
        <v>0.3622104348852702</v>
      </c>
    </row>
    <row r="93" spans="1:6" ht="20.25" customHeight="1">
      <c r="A93" s="235">
        <v>2</v>
      </c>
      <c r="B93" s="236" t="s">
        <v>550</v>
      </c>
      <c r="C93" s="237">
        <v>19589</v>
      </c>
      <c r="D93" s="237">
        <v>31439</v>
      </c>
      <c r="E93" s="237">
        <f t="shared" si="12"/>
        <v>11850</v>
      </c>
      <c r="F93" s="238">
        <f t="shared" si="13"/>
        <v>0.6049313390167952</v>
      </c>
    </row>
    <row r="94" spans="1:6" ht="20.25" customHeight="1">
      <c r="A94" s="235">
        <v>3</v>
      </c>
      <c r="B94" s="236" t="s">
        <v>551</v>
      </c>
      <c r="C94" s="237">
        <v>203176</v>
      </c>
      <c r="D94" s="237">
        <v>584974</v>
      </c>
      <c r="E94" s="237">
        <f t="shared" si="12"/>
        <v>381798</v>
      </c>
      <c r="F94" s="238">
        <f t="shared" si="13"/>
        <v>1.8791491120998542</v>
      </c>
    </row>
    <row r="95" spans="1:6" ht="20.25" customHeight="1">
      <c r="A95" s="235">
        <v>4</v>
      </c>
      <c r="B95" s="236" t="s">
        <v>552</v>
      </c>
      <c r="C95" s="237">
        <v>26472</v>
      </c>
      <c r="D95" s="237">
        <v>164441</v>
      </c>
      <c r="E95" s="237">
        <f t="shared" si="12"/>
        <v>137969</v>
      </c>
      <c r="F95" s="238">
        <f t="shared" si="13"/>
        <v>5.211884255061952</v>
      </c>
    </row>
    <row r="96" spans="1:6" ht="20.25" customHeight="1">
      <c r="A96" s="235">
        <v>5</v>
      </c>
      <c r="B96" s="236" t="s">
        <v>488</v>
      </c>
      <c r="C96" s="239">
        <v>3</v>
      </c>
      <c r="D96" s="239">
        <v>5</v>
      </c>
      <c r="E96" s="239">
        <f t="shared" si="12"/>
        <v>2</v>
      </c>
      <c r="F96" s="238">
        <f t="shared" si="13"/>
        <v>0.6666666666666666</v>
      </c>
    </row>
    <row r="97" spans="1:6" ht="20.25" customHeight="1">
      <c r="A97" s="235">
        <v>6</v>
      </c>
      <c r="B97" s="236" t="s">
        <v>487</v>
      </c>
      <c r="C97" s="239">
        <v>19</v>
      </c>
      <c r="D97" s="239">
        <v>21</v>
      </c>
      <c r="E97" s="239">
        <f t="shared" si="12"/>
        <v>2</v>
      </c>
      <c r="F97" s="238">
        <f t="shared" si="13"/>
        <v>0.10526315789473684</v>
      </c>
    </row>
    <row r="98" spans="1:6" ht="20.25" customHeight="1">
      <c r="A98" s="235">
        <v>7</v>
      </c>
      <c r="B98" s="236" t="s">
        <v>553</v>
      </c>
      <c r="C98" s="239">
        <v>38</v>
      </c>
      <c r="D98" s="239">
        <v>140</v>
      </c>
      <c r="E98" s="239">
        <f t="shared" si="12"/>
        <v>102</v>
      </c>
      <c r="F98" s="238">
        <f t="shared" si="13"/>
        <v>2.6842105263157894</v>
      </c>
    </row>
    <row r="99" spans="1:6" ht="20.25" customHeight="1">
      <c r="A99" s="235">
        <v>8</v>
      </c>
      <c r="B99" s="236" t="s">
        <v>554</v>
      </c>
      <c r="C99" s="239">
        <v>7</v>
      </c>
      <c r="D99" s="239">
        <v>16</v>
      </c>
      <c r="E99" s="239">
        <f t="shared" si="12"/>
        <v>9</v>
      </c>
      <c r="F99" s="238">
        <f t="shared" si="13"/>
        <v>1.2857142857142858</v>
      </c>
    </row>
    <row r="100" spans="1:6" ht="20.25" customHeight="1">
      <c r="A100" s="235">
        <v>9</v>
      </c>
      <c r="B100" s="236" t="s">
        <v>555</v>
      </c>
      <c r="C100" s="239">
        <v>3</v>
      </c>
      <c r="D100" s="239">
        <v>5</v>
      </c>
      <c r="E100" s="239">
        <f t="shared" si="12"/>
        <v>2</v>
      </c>
      <c r="F100" s="238">
        <f t="shared" si="13"/>
        <v>0.6666666666666666</v>
      </c>
    </row>
    <row r="101" spans="1:6" s="240" customFormat="1" ht="20.25" customHeight="1">
      <c r="A101" s="241"/>
      <c r="B101" s="242" t="s">
        <v>556</v>
      </c>
      <c r="C101" s="243">
        <f>+C92+C94</f>
        <v>321759</v>
      </c>
      <c r="D101" s="243">
        <f>+D92+D94</f>
        <v>746509</v>
      </c>
      <c r="E101" s="243">
        <f t="shared" si="12"/>
        <v>424750</v>
      </c>
      <c r="F101" s="244">
        <f t="shared" si="13"/>
        <v>1.3200873946027927</v>
      </c>
    </row>
    <row r="102" spans="1:6" s="240" customFormat="1" ht="20.25" customHeight="1">
      <c r="A102" s="241"/>
      <c r="B102" s="242" t="s">
        <v>557</v>
      </c>
      <c r="C102" s="243">
        <f>+C93+C95</f>
        <v>46061</v>
      </c>
      <c r="D102" s="243">
        <f>+D93+D95</f>
        <v>195880</v>
      </c>
      <c r="E102" s="243">
        <f t="shared" si="12"/>
        <v>149819</v>
      </c>
      <c r="F102" s="244">
        <f t="shared" si="13"/>
        <v>3.252621523631706</v>
      </c>
    </row>
    <row r="103" spans="1:6" s="240" customFormat="1" ht="20.25" customHeight="1">
      <c r="A103" s="245"/>
      <c r="B103" s="242"/>
      <c r="C103" s="243"/>
      <c r="D103" s="243"/>
      <c r="E103" s="243"/>
      <c r="F103" s="244"/>
    </row>
    <row r="104" spans="1:6" ht="18.75" customHeight="1">
      <c r="A104" s="227" t="s">
        <v>302</v>
      </c>
      <c r="B104" s="231" t="s">
        <v>564</v>
      </c>
      <c r="C104" s="232"/>
      <c r="D104" s="233"/>
      <c r="E104" s="227"/>
      <c r="F104" s="234"/>
    </row>
    <row r="105" spans="1:6" ht="20.25" customHeight="1">
      <c r="A105" s="235">
        <v>1</v>
      </c>
      <c r="B105" s="236" t="s">
        <v>549</v>
      </c>
      <c r="C105" s="237">
        <v>631351</v>
      </c>
      <c r="D105" s="237">
        <v>679791</v>
      </c>
      <c r="E105" s="237">
        <f aca="true" t="shared" si="14" ref="E105:E115">D105-C105</f>
        <v>48440</v>
      </c>
      <c r="F105" s="238">
        <f aca="true" t="shared" si="15" ref="F105:F115">IF(C105=0,0,E105/C105)</f>
        <v>0.07672435776612375</v>
      </c>
    </row>
    <row r="106" spans="1:6" ht="20.25" customHeight="1">
      <c r="A106" s="235">
        <v>2</v>
      </c>
      <c r="B106" s="236" t="s">
        <v>550</v>
      </c>
      <c r="C106" s="237">
        <v>196093</v>
      </c>
      <c r="D106" s="237">
        <v>63579</v>
      </c>
      <c r="E106" s="237">
        <f t="shared" si="14"/>
        <v>-132514</v>
      </c>
      <c r="F106" s="238">
        <f t="shared" si="15"/>
        <v>-0.6757711902005681</v>
      </c>
    </row>
    <row r="107" spans="1:6" ht="20.25" customHeight="1">
      <c r="A107" s="235">
        <v>3</v>
      </c>
      <c r="B107" s="236" t="s">
        <v>551</v>
      </c>
      <c r="C107" s="237">
        <v>213751</v>
      </c>
      <c r="D107" s="237">
        <v>303623</v>
      </c>
      <c r="E107" s="237">
        <f t="shared" si="14"/>
        <v>89872</v>
      </c>
      <c r="F107" s="238">
        <f t="shared" si="15"/>
        <v>0.420451834143466</v>
      </c>
    </row>
    <row r="108" spans="1:6" ht="20.25" customHeight="1">
      <c r="A108" s="235">
        <v>4</v>
      </c>
      <c r="B108" s="236" t="s">
        <v>552</v>
      </c>
      <c r="C108" s="237">
        <v>68844</v>
      </c>
      <c r="D108" s="237">
        <v>8167</v>
      </c>
      <c r="E108" s="237">
        <f t="shared" si="14"/>
        <v>-60677</v>
      </c>
      <c r="F108" s="238">
        <f t="shared" si="15"/>
        <v>-0.8813694730114462</v>
      </c>
    </row>
    <row r="109" spans="1:6" ht="20.25" customHeight="1">
      <c r="A109" s="235">
        <v>5</v>
      </c>
      <c r="B109" s="236" t="s">
        <v>488</v>
      </c>
      <c r="C109" s="239">
        <v>10</v>
      </c>
      <c r="D109" s="239">
        <v>10</v>
      </c>
      <c r="E109" s="239">
        <f t="shared" si="14"/>
        <v>0</v>
      </c>
      <c r="F109" s="238">
        <f t="shared" si="15"/>
        <v>0</v>
      </c>
    </row>
    <row r="110" spans="1:6" ht="20.25" customHeight="1">
      <c r="A110" s="235">
        <v>6</v>
      </c>
      <c r="B110" s="236" t="s">
        <v>487</v>
      </c>
      <c r="C110" s="239">
        <v>124</v>
      </c>
      <c r="D110" s="239">
        <v>103</v>
      </c>
      <c r="E110" s="239">
        <f t="shared" si="14"/>
        <v>-21</v>
      </c>
      <c r="F110" s="238">
        <f t="shared" si="15"/>
        <v>-0.1693548387096774</v>
      </c>
    </row>
    <row r="111" spans="1:6" ht="20.25" customHeight="1">
      <c r="A111" s="235">
        <v>7</v>
      </c>
      <c r="B111" s="236" t="s">
        <v>553</v>
      </c>
      <c r="C111" s="239">
        <v>90</v>
      </c>
      <c r="D111" s="239">
        <v>110</v>
      </c>
      <c r="E111" s="239">
        <f t="shared" si="14"/>
        <v>20</v>
      </c>
      <c r="F111" s="238">
        <f t="shared" si="15"/>
        <v>0.2222222222222222</v>
      </c>
    </row>
    <row r="112" spans="1:6" ht="20.25" customHeight="1">
      <c r="A112" s="235">
        <v>8</v>
      </c>
      <c r="B112" s="236" t="s">
        <v>554</v>
      </c>
      <c r="C112" s="239">
        <v>29</v>
      </c>
      <c r="D112" s="239">
        <v>26</v>
      </c>
      <c r="E112" s="239">
        <f t="shared" si="14"/>
        <v>-3</v>
      </c>
      <c r="F112" s="238">
        <f t="shared" si="15"/>
        <v>-0.10344827586206896</v>
      </c>
    </row>
    <row r="113" spans="1:6" ht="20.25" customHeight="1">
      <c r="A113" s="235">
        <v>9</v>
      </c>
      <c r="B113" s="236" t="s">
        <v>555</v>
      </c>
      <c r="C113" s="239">
        <v>9</v>
      </c>
      <c r="D113" s="239">
        <v>8</v>
      </c>
      <c r="E113" s="239">
        <f t="shared" si="14"/>
        <v>-1</v>
      </c>
      <c r="F113" s="238">
        <f t="shared" si="15"/>
        <v>-0.1111111111111111</v>
      </c>
    </row>
    <row r="114" spans="1:6" s="240" customFormat="1" ht="20.25" customHeight="1">
      <c r="A114" s="241"/>
      <c r="B114" s="242" t="s">
        <v>556</v>
      </c>
      <c r="C114" s="243">
        <f>+C105+C107</f>
        <v>845102</v>
      </c>
      <c r="D114" s="243">
        <f>+D105+D107</f>
        <v>983414</v>
      </c>
      <c r="E114" s="243">
        <f t="shared" si="14"/>
        <v>138312</v>
      </c>
      <c r="F114" s="244">
        <f t="shared" si="15"/>
        <v>0.1636630844560775</v>
      </c>
    </row>
    <row r="115" spans="1:6" s="240" customFormat="1" ht="20.25" customHeight="1">
      <c r="A115" s="241"/>
      <c r="B115" s="242" t="s">
        <v>557</v>
      </c>
      <c r="C115" s="243">
        <f>+C106+C108</f>
        <v>264937</v>
      </c>
      <c r="D115" s="243">
        <f>+D106+D108</f>
        <v>71746</v>
      </c>
      <c r="E115" s="243">
        <f t="shared" si="14"/>
        <v>-193191</v>
      </c>
      <c r="F115" s="244">
        <f t="shared" si="15"/>
        <v>-0.7291959975390376</v>
      </c>
    </row>
    <row r="116" spans="1:6" s="240" customFormat="1" ht="20.25" customHeight="1">
      <c r="A116" s="245"/>
      <c r="B116" s="242"/>
      <c r="C116" s="243"/>
      <c r="D116" s="243"/>
      <c r="E116" s="243"/>
      <c r="F116" s="244"/>
    </row>
    <row r="117" spans="1:6" ht="18.75" customHeight="1">
      <c r="A117" s="227" t="s">
        <v>305</v>
      </c>
      <c r="B117" s="231" t="s">
        <v>565</v>
      </c>
      <c r="C117" s="232"/>
      <c r="D117" s="233"/>
      <c r="E117" s="227"/>
      <c r="F117" s="234"/>
    </row>
    <row r="118" spans="1:6" ht="20.25" customHeight="1">
      <c r="A118" s="235">
        <v>1</v>
      </c>
      <c r="B118" s="236" t="s">
        <v>549</v>
      </c>
      <c r="C118" s="237">
        <v>880590</v>
      </c>
      <c r="D118" s="237">
        <v>915465</v>
      </c>
      <c r="E118" s="237">
        <f aca="true" t="shared" si="16" ref="E118:E128">D118-C118</f>
        <v>34875</v>
      </c>
      <c r="F118" s="238">
        <f aca="true" t="shared" si="17" ref="F118:F128">IF(C118=0,0,E118/C118)</f>
        <v>0.039604129049841584</v>
      </c>
    </row>
    <row r="119" spans="1:6" ht="20.25" customHeight="1">
      <c r="A119" s="235">
        <v>2</v>
      </c>
      <c r="B119" s="236" t="s">
        <v>550</v>
      </c>
      <c r="C119" s="237">
        <v>319692</v>
      </c>
      <c r="D119" s="237">
        <v>143394</v>
      </c>
      <c r="E119" s="237">
        <f t="shared" si="16"/>
        <v>-176298</v>
      </c>
      <c r="F119" s="238">
        <f t="shared" si="17"/>
        <v>-0.5514620322059983</v>
      </c>
    </row>
    <row r="120" spans="1:6" ht="20.25" customHeight="1">
      <c r="A120" s="235">
        <v>3</v>
      </c>
      <c r="B120" s="236" t="s">
        <v>551</v>
      </c>
      <c r="C120" s="237">
        <v>515607</v>
      </c>
      <c r="D120" s="237">
        <v>1438028</v>
      </c>
      <c r="E120" s="237">
        <f t="shared" si="16"/>
        <v>922421</v>
      </c>
      <c r="F120" s="238">
        <f t="shared" si="17"/>
        <v>1.7890001493385466</v>
      </c>
    </row>
    <row r="121" spans="1:6" ht="20.25" customHeight="1">
      <c r="A121" s="235">
        <v>4</v>
      </c>
      <c r="B121" s="236" t="s">
        <v>552</v>
      </c>
      <c r="C121" s="237">
        <v>133897</v>
      </c>
      <c r="D121" s="237">
        <v>274491</v>
      </c>
      <c r="E121" s="237">
        <f t="shared" si="16"/>
        <v>140594</v>
      </c>
      <c r="F121" s="238">
        <f t="shared" si="17"/>
        <v>1.0500160571185313</v>
      </c>
    </row>
    <row r="122" spans="1:6" ht="20.25" customHeight="1">
      <c r="A122" s="235">
        <v>5</v>
      </c>
      <c r="B122" s="236" t="s">
        <v>488</v>
      </c>
      <c r="C122" s="239">
        <v>20</v>
      </c>
      <c r="D122" s="239">
        <v>27</v>
      </c>
      <c r="E122" s="239">
        <f t="shared" si="16"/>
        <v>7</v>
      </c>
      <c r="F122" s="238">
        <f t="shared" si="17"/>
        <v>0.35</v>
      </c>
    </row>
    <row r="123" spans="1:6" ht="20.25" customHeight="1">
      <c r="A123" s="235">
        <v>6</v>
      </c>
      <c r="B123" s="236" t="s">
        <v>487</v>
      </c>
      <c r="C123" s="239">
        <v>88</v>
      </c>
      <c r="D123" s="239">
        <v>124</v>
      </c>
      <c r="E123" s="239">
        <f t="shared" si="16"/>
        <v>36</v>
      </c>
      <c r="F123" s="238">
        <f t="shared" si="17"/>
        <v>0.4090909090909091</v>
      </c>
    </row>
    <row r="124" spans="1:6" ht="20.25" customHeight="1">
      <c r="A124" s="235">
        <v>7</v>
      </c>
      <c r="B124" s="236" t="s">
        <v>553</v>
      </c>
      <c r="C124" s="239">
        <v>219</v>
      </c>
      <c r="D124" s="239">
        <v>453</v>
      </c>
      <c r="E124" s="239">
        <f t="shared" si="16"/>
        <v>234</v>
      </c>
      <c r="F124" s="238">
        <f t="shared" si="17"/>
        <v>1.0684931506849316</v>
      </c>
    </row>
    <row r="125" spans="1:6" ht="20.25" customHeight="1">
      <c r="A125" s="235">
        <v>8</v>
      </c>
      <c r="B125" s="236" t="s">
        <v>554</v>
      </c>
      <c r="C125" s="239">
        <v>14</v>
      </c>
      <c r="D125" s="239">
        <v>34</v>
      </c>
      <c r="E125" s="239">
        <f t="shared" si="16"/>
        <v>20</v>
      </c>
      <c r="F125" s="238">
        <f t="shared" si="17"/>
        <v>1.4285714285714286</v>
      </c>
    </row>
    <row r="126" spans="1:6" ht="20.25" customHeight="1">
      <c r="A126" s="235">
        <v>9</v>
      </c>
      <c r="B126" s="236" t="s">
        <v>555</v>
      </c>
      <c r="C126" s="239">
        <v>12</v>
      </c>
      <c r="D126" s="239">
        <v>20</v>
      </c>
      <c r="E126" s="239">
        <f t="shared" si="16"/>
        <v>8</v>
      </c>
      <c r="F126" s="238">
        <f t="shared" si="17"/>
        <v>0.6666666666666666</v>
      </c>
    </row>
    <row r="127" spans="1:6" s="240" customFormat="1" ht="20.25" customHeight="1">
      <c r="A127" s="241"/>
      <c r="B127" s="242" t="s">
        <v>556</v>
      </c>
      <c r="C127" s="243">
        <f>+C118+C120</f>
        <v>1396197</v>
      </c>
      <c r="D127" s="243">
        <f>+D118+D120</f>
        <v>2353493</v>
      </c>
      <c r="E127" s="243">
        <f t="shared" si="16"/>
        <v>957296</v>
      </c>
      <c r="F127" s="244">
        <f t="shared" si="17"/>
        <v>0.6856453637989481</v>
      </c>
    </row>
    <row r="128" spans="1:6" s="240" customFormat="1" ht="20.25" customHeight="1">
      <c r="A128" s="241"/>
      <c r="B128" s="242" t="s">
        <v>557</v>
      </c>
      <c r="C128" s="243">
        <f>+C119+C121</f>
        <v>453589</v>
      </c>
      <c r="D128" s="243">
        <f>+D119+D121</f>
        <v>417885</v>
      </c>
      <c r="E128" s="243">
        <f t="shared" si="16"/>
        <v>-35704</v>
      </c>
      <c r="F128" s="244">
        <f t="shared" si="17"/>
        <v>-0.07871443090551138</v>
      </c>
    </row>
    <row r="129" spans="1:6" s="240" customFormat="1" ht="20.25" customHeight="1">
      <c r="A129" s="245"/>
      <c r="B129" s="242"/>
      <c r="C129" s="243"/>
      <c r="D129" s="243"/>
      <c r="E129" s="243"/>
      <c r="F129" s="244"/>
    </row>
    <row r="130" spans="1:6" ht="18.75" customHeight="1">
      <c r="A130" s="227" t="s">
        <v>314</v>
      </c>
      <c r="B130" s="231" t="s">
        <v>566</v>
      </c>
      <c r="C130" s="232"/>
      <c r="D130" s="233"/>
      <c r="E130" s="227"/>
      <c r="F130" s="234"/>
    </row>
    <row r="131" spans="1:6" ht="20.25" customHeight="1">
      <c r="A131" s="235">
        <v>1</v>
      </c>
      <c r="B131" s="236" t="s">
        <v>549</v>
      </c>
      <c r="C131" s="237">
        <v>130423</v>
      </c>
      <c r="D131" s="237">
        <v>214995</v>
      </c>
      <c r="E131" s="237">
        <f aca="true" t="shared" si="18" ref="E131:E141">D131-C131</f>
        <v>84572</v>
      </c>
      <c r="F131" s="238">
        <f aca="true" t="shared" si="19" ref="F131:F141">IF(C131=0,0,E131/C131)</f>
        <v>0.6484439094331521</v>
      </c>
    </row>
    <row r="132" spans="1:6" ht="20.25" customHeight="1">
      <c r="A132" s="235">
        <v>2</v>
      </c>
      <c r="B132" s="236" t="s">
        <v>550</v>
      </c>
      <c r="C132" s="237">
        <v>31243</v>
      </c>
      <c r="D132" s="237">
        <v>61096</v>
      </c>
      <c r="E132" s="237">
        <f t="shared" si="18"/>
        <v>29853</v>
      </c>
      <c r="F132" s="238">
        <f t="shared" si="19"/>
        <v>0.9555100342476714</v>
      </c>
    </row>
    <row r="133" spans="1:6" ht="20.25" customHeight="1">
      <c r="A133" s="235">
        <v>3</v>
      </c>
      <c r="B133" s="236" t="s">
        <v>551</v>
      </c>
      <c r="C133" s="237">
        <v>120135</v>
      </c>
      <c r="D133" s="237">
        <v>178205</v>
      </c>
      <c r="E133" s="237">
        <f t="shared" si="18"/>
        <v>58070</v>
      </c>
      <c r="F133" s="238">
        <f t="shared" si="19"/>
        <v>0.48337287218545805</v>
      </c>
    </row>
    <row r="134" spans="1:6" ht="20.25" customHeight="1">
      <c r="A134" s="235">
        <v>4</v>
      </c>
      <c r="B134" s="236" t="s">
        <v>552</v>
      </c>
      <c r="C134" s="237">
        <v>22230</v>
      </c>
      <c r="D134" s="237">
        <v>32236</v>
      </c>
      <c r="E134" s="237">
        <f t="shared" si="18"/>
        <v>10006</v>
      </c>
      <c r="F134" s="238">
        <f t="shared" si="19"/>
        <v>0.4501124606387764</v>
      </c>
    </row>
    <row r="135" spans="1:6" ht="20.25" customHeight="1">
      <c r="A135" s="235">
        <v>5</v>
      </c>
      <c r="B135" s="236" t="s">
        <v>488</v>
      </c>
      <c r="C135" s="239">
        <v>4</v>
      </c>
      <c r="D135" s="239">
        <v>5</v>
      </c>
      <c r="E135" s="239">
        <f t="shared" si="18"/>
        <v>1</v>
      </c>
      <c r="F135" s="238">
        <f t="shared" si="19"/>
        <v>0.25</v>
      </c>
    </row>
    <row r="136" spans="1:6" ht="20.25" customHeight="1">
      <c r="A136" s="235">
        <v>6</v>
      </c>
      <c r="B136" s="236" t="s">
        <v>487</v>
      </c>
      <c r="C136" s="239">
        <v>11</v>
      </c>
      <c r="D136" s="239">
        <v>22</v>
      </c>
      <c r="E136" s="239">
        <f t="shared" si="18"/>
        <v>11</v>
      </c>
      <c r="F136" s="238">
        <f t="shared" si="19"/>
        <v>1</v>
      </c>
    </row>
    <row r="137" spans="1:6" ht="20.25" customHeight="1">
      <c r="A137" s="235">
        <v>7</v>
      </c>
      <c r="B137" s="236" t="s">
        <v>553</v>
      </c>
      <c r="C137" s="239">
        <v>46</v>
      </c>
      <c r="D137" s="239">
        <v>59</v>
      </c>
      <c r="E137" s="239">
        <f t="shared" si="18"/>
        <v>13</v>
      </c>
      <c r="F137" s="238">
        <f t="shared" si="19"/>
        <v>0.2826086956521739</v>
      </c>
    </row>
    <row r="138" spans="1:6" ht="20.25" customHeight="1">
      <c r="A138" s="235">
        <v>8</v>
      </c>
      <c r="B138" s="236" t="s">
        <v>554</v>
      </c>
      <c r="C138" s="239">
        <v>8</v>
      </c>
      <c r="D138" s="239">
        <v>14</v>
      </c>
      <c r="E138" s="239">
        <f t="shared" si="18"/>
        <v>6</v>
      </c>
      <c r="F138" s="238">
        <f t="shared" si="19"/>
        <v>0.75</v>
      </c>
    </row>
    <row r="139" spans="1:6" ht="20.25" customHeight="1">
      <c r="A139" s="235">
        <v>9</v>
      </c>
      <c r="B139" s="236" t="s">
        <v>555</v>
      </c>
      <c r="C139" s="239">
        <v>3</v>
      </c>
      <c r="D139" s="239">
        <v>5</v>
      </c>
      <c r="E139" s="239">
        <f t="shared" si="18"/>
        <v>2</v>
      </c>
      <c r="F139" s="238">
        <f t="shared" si="19"/>
        <v>0.6666666666666666</v>
      </c>
    </row>
    <row r="140" spans="1:6" s="240" customFormat="1" ht="20.25" customHeight="1">
      <c r="A140" s="241"/>
      <c r="B140" s="242" t="s">
        <v>556</v>
      </c>
      <c r="C140" s="243">
        <f>+C131+C133</f>
        <v>250558</v>
      </c>
      <c r="D140" s="243">
        <f>+D131+D133</f>
        <v>393200</v>
      </c>
      <c r="E140" s="243">
        <f t="shared" si="18"/>
        <v>142642</v>
      </c>
      <c r="F140" s="244">
        <f t="shared" si="19"/>
        <v>0.5692973283630935</v>
      </c>
    </row>
    <row r="141" spans="1:6" s="240" customFormat="1" ht="20.25" customHeight="1">
      <c r="A141" s="241"/>
      <c r="B141" s="242" t="s">
        <v>557</v>
      </c>
      <c r="C141" s="243">
        <f>+C132+C134</f>
        <v>53473</v>
      </c>
      <c r="D141" s="243">
        <f>+D132+D134</f>
        <v>93332</v>
      </c>
      <c r="E141" s="243">
        <f t="shared" si="18"/>
        <v>39859</v>
      </c>
      <c r="F141" s="244">
        <f t="shared" si="19"/>
        <v>0.7454042226918258</v>
      </c>
    </row>
    <row r="142" spans="1:6" s="240" customFormat="1" ht="20.25" customHeight="1">
      <c r="A142" s="245"/>
      <c r="B142" s="242"/>
      <c r="C142" s="243"/>
      <c r="D142" s="243"/>
      <c r="E142" s="243"/>
      <c r="F142" s="244"/>
    </row>
    <row r="143" spans="1:6" ht="18.75" customHeight="1">
      <c r="A143" s="227" t="s">
        <v>333</v>
      </c>
      <c r="B143" s="231" t="s">
        <v>567</v>
      </c>
      <c r="C143" s="232"/>
      <c r="D143" s="233"/>
      <c r="E143" s="227"/>
      <c r="F143" s="234"/>
    </row>
    <row r="144" spans="1:6" ht="20.25" customHeight="1">
      <c r="A144" s="235">
        <v>1</v>
      </c>
      <c r="B144" s="236" t="s">
        <v>549</v>
      </c>
      <c r="C144" s="237">
        <v>0</v>
      </c>
      <c r="D144" s="237">
        <v>0</v>
      </c>
      <c r="E144" s="237">
        <f aca="true" t="shared" si="20" ref="E144:E154">D144-C144</f>
        <v>0</v>
      </c>
      <c r="F144" s="238">
        <f aca="true" t="shared" si="21" ref="F144:F154">IF(C144=0,0,E144/C144)</f>
        <v>0</v>
      </c>
    </row>
    <row r="145" spans="1:6" ht="20.25" customHeight="1">
      <c r="A145" s="235">
        <v>2</v>
      </c>
      <c r="B145" s="236" t="s">
        <v>550</v>
      </c>
      <c r="C145" s="237">
        <v>0</v>
      </c>
      <c r="D145" s="237">
        <v>0</v>
      </c>
      <c r="E145" s="237">
        <f t="shared" si="20"/>
        <v>0</v>
      </c>
      <c r="F145" s="238">
        <f t="shared" si="21"/>
        <v>0</v>
      </c>
    </row>
    <row r="146" spans="1:6" ht="20.25" customHeight="1">
      <c r="A146" s="235">
        <v>3</v>
      </c>
      <c r="B146" s="236" t="s">
        <v>551</v>
      </c>
      <c r="C146" s="237">
        <v>0</v>
      </c>
      <c r="D146" s="237">
        <v>0</v>
      </c>
      <c r="E146" s="237">
        <f t="shared" si="20"/>
        <v>0</v>
      </c>
      <c r="F146" s="238">
        <f t="shared" si="21"/>
        <v>0</v>
      </c>
    </row>
    <row r="147" spans="1:6" ht="20.25" customHeight="1">
      <c r="A147" s="235">
        <v>4</v>
      </c>
      <c r="B147" s="236" t="s">
        <v>552</v>
      </c>
      <c r="C147" s="237">
        <v>0</v>
      </c>
      <c r="D147" s="237">
        <v>0</v>
      </c>
      <c r="E147" s="237">
        <f t="shared" si="20"/>
        <v>0</v>
      </c>
      <c r="F147" s="238">
        <f t="shared" si="21"/>
        <v>0</v>
      </c>
    </row>
    <row r="148" spans="1:6" ht="20.25" customHeight="1">
      <c r="A148" s="235">
        <v>5</v>
      </c>
      <c r="B148" s="236" t="s">
        <v>488</v>
      </c>
      <c r="C148" s="239">
        <v>0</v>
      </c>
      <c r="D148" s="239">
        <v>0</v>
      </c>
      <c r="E148" s="239">
        <f t="shared" si="20"/>
        <v>0</v>
      </c>
      <c r="F148" s="238">
        <f t="shared" si="21"/>
        <v>0</v>
      </c>
    </row>
    <row r="149" spans="1:6" ht="20.25" customHeight="1">
      <c r="A149" s="235">
        <v>6</v>
      </c>
      <c r="B149" s="236" t="s">
        <v>487</v>
      </c>
      <c r="C149" s="239">
        <v>0</v>
      </c>
      <c r="D149" s="239">
        <v>0</v>
      </c>
      <c r="E149" s="239">
        <f t="shared" si="20"/>
        <v>0</v>
      </c>
      <c r="F149" s="238">
        <f t="shared" si="21"/>
        <v>0</v>
      </c>
    </row>
    <row r="150" spans="1:6" ht="20.25" customHeight="1">
      <c r="A150" s="235">
        <v>7</v>
      </c>
      <c r="B150" s="236" t="s">
        <v>553</v>
      </c>
      <c r="C150" s="239">
        <v>0</v>
      </c>
      <c r="D150" s="239">
        <v>0</v>
      </c>
      <c r="E150" s="239">
        <f t="shared" si="20"/>
        <v>0</v>
      </c>
      <c r="F150" s="238">
        <f t="shared" si="21"/>
        <v>0</v>
      </c>
    </row>
    <row r="151" spans="1:6" ht="20.25" customHeight="1">
      <c r="A151" s="235">
        <v>8</v>
      </c>
      <c r="B151" s="236" t="s">
        <v>554</v>
      </c>
      <c r="C151" s="239">
        <v>0</v>
      </c>
      <c r="D151" s="239">
        <v>0</v>
      </c>
      <c r="E151" s="239">
        <f t="shared" si="20"/>
        <v>0</v>
      </c>
      <c r="F151" s="238">
        <f t="shared" si="21"/>
        <v>0</v>
      </c>
    </row>
    <row r="152" spans="1:6" ht="20.25" customHeight="1">
      <c r="A152" s="235">
        <v>9</v>
      </c>
      <c r="B152" s="236" t="s">
        <v>555</v>
      </c>
      <c r="C152" s="239">
        <v>0</v>
      </c>
      <c r="D152" s="239">
        <v>0</v>
      </c>
      <c r="E152" s="239">
        <f t="shared" si="20"/>
        <v>0</v>
      </c>
      <c r="F152" s="238">
        <f t="shared" si="21"/>
        <v>0</v>
      </c>
    </row>
    <row r="153" spans="1:6" s="240" customFormat="1" ht="20.25" customHeight="1">
      <c r="A153" s="241"/>
      <c r="B153" s="242" t="s">
        <v>556</v>
      </c>
      <c r="C153" s="243">
        <f>+C144+C146</f>
        <v>0</v>
      </c>
      <c r="D153" s="243">
        <f>+D144+D146</f>
        <v>0</v>
      </c>
      <c r="E153" s="243">
        <f t="shared" si="20"/>
        <v>0</v>
      </c>
      <c r="F153" s="244">
        <f t="shared" si="21"/>
        <v>0</v>
      </c>
    </row>
    <row r="154" spans="1:6" s="240" customFormat="1" ht="20.25" customHeight="1">
      <c r="A154" s="241"/>
      <c r="B154" s="242" t="s">
        <v>557</v>
      </c>
      <c r="C154" s="243">
        <f>+C145+C147</f>
        <v>0</v>
      </c>
      <c r="D154" s="243">
        <f>+D145+D147</f>
        <v>0</v>
      </c>
      <c r="E154" s="243">
        <f t="shared" si="20"/>
        <v>0</v>
      </c>
      <c r="F154" s="244">
        <f t="shared" si="21"/>
        <v>0</v>
      </c>
    </row>
    <row r="155" spans="1:6" s="240" customFormat="1" ht="20.25" customHeight="1">
      <c r="A155" s="245"/>
      <c r="B155" s="242"/>
      <c r="C155" s="243"/>
      <c r="D155" s="243"/>
      <c r="E155" s="243"/>
      <c r="F155" s="244"/>
    </row>
    <row r="156" spans="1:6" ht="18.75" customHeight="1">
      <c r="A156" s="227" t="s">
        <v>568</v>
      </c>
      <c r="B156" s="231" t="s">
        <v>569</v>
      </c>
      <c r="C156" s="232"/>
      <c r="D156" s="233"/>
      <c r="E156" s="227"/>
      <c r="F156" s="234"/>
    </row>
    <row r="157" spans="1:6" ht="20.25" customHeight="1">
      <c r="A157" s="235">
        <v>1</v>
      </c>
      <c r="B157" s="236" t="s">
        <v>549</v>
      </c>
      <c r="C157" s="237">
        <v>0</v>
      </c>
      <c r="D157" s="237">
        <v>0</v>
      </c>
      <c r="E157" s="237">
        <f aca="true" t="shared" si="22" ref="E157:E167">D157-C157</f>
        <v>0</v>
      </c>
      <c r="F157" s="238">
        <f aca="true" t="shared" si="23" ref="F157:F167">IF(C157=0,0,E157/C157)</f>
        <v>0</v>
      </c>
    </row>
    <row r="158" spans="1:6" ht="20.25" customHeight="1">
      <c r="A158" s="235">
        <v>2</v>
      </c>
      <c r="B158" s="236" t="s">
        <v>550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>
      <c r="A159" s="235">
        <v>3</v>
      </c>
      <c r="B159" s="236" t="s">
        <v>551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>
      <c r="A160" s="235">
        <v>4</v>
      </c>
      <c r="B160" s="236" t="s">
        <v>552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>
      <c r="A161" s="235">
        <v>5</v>
      </c>
      <c r="B161" s="236" t="s">
        <v>488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>
      <c r="A162" s="235">
        <v>6</v>
      </c>
      <c r="B162" s="236" t="s">
        <v>487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>
      <c r="A163" s="235">
        <v>7</v>
      </c>
      <c r="B163" s="236" t="s">
        <v>553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>
      <c r="A164" s="235">
        <v>8</v>
      </c>
      <c r="B164" s="236" t="s">
        <v>554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>
      <c r="A165" s="235">
        <v>9</v>
      </c>
      <c r="B165" s="236" t="s">
        <v>555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>
      <c r="A166" s="241"/>
      <c r="B166" s="242" t="s">
        <v>556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>
      <c r="A167" s="241"/>
      <c r="B167" s="242" t="s">
        <v>557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>
      <c r="A168" s="245"/>
      <c r="B168" s="242"/>
      <c r="C168" s="243"/>
      <c r="D168" s="243"/>
      <c r="E168" s="243"/>
      <c r="F168" s="244"/>
    </row>
    <row r="169" spans="1:6" ht="18.75" customHeight="1">
      <c r="A169" s="227" t="s">
        <v>570</v>
      </c>
      <c r="B169" s="231" t="s">
        <v>571</v>
      </c>
      <c r="C169" s="232"/>
      <c r="D169" s="233"/>
      <c r="E169" s="227"/>
      <c r="F169" s="234"/>
    </row>
    <row r="170" spans="1:6" ht="20.25" customHeight="1">
      <c r="A170" s="235">
        <v>1</v>
      </c>
      <c r="B170" s="236" t="s">
        <v>549</v>
      </c>
      <c r="C170" s="237">
        <v>0</v>
      </c>
      <c r="D170" s="237">
        <v>0</v>
      </c>
      <c r="E170" s="237">
        <f aca="true" t="shared" si="24" ref="E170:E180">D170-C170</f>
        <v>0</v>
      </c>
      <c r="F170" s="238">
        <f aca="true" t="shared" si="25" ref="F170:F180">IF(C170=0,0,E170/C170)</f>
        <v>0</v>
      </c>
    </row>
    <row r="171" spans="1:6" ht="20.25" customHeight="1">
      <c r="A171" s="235">
        <v>2</v>
      </c>
      <c r="B171" s="236" t="s">
        <v>550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>
      <c r="A172" s="235">
        <v>3</v>
      </c>
      <c r="B172" s="236" t="s">
        <v>551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>
      <c r="A173" s="235">
        <v>4</v>
      </c>
      <c r="B173" s="236" t="s">
        <v>552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>
      <c r="A174" s="235">
        <v>5</v>
      </c>
      <c r="B174" s="236" t="s">
        <v>488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>
      <c r="A175" s="235">
        <v>6</v>
      </c>
      <c r="B175" s="236" t="s">
        <v>487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>
      <c r="A176" s="235">
        <v>7</v>
      </c>
      <c r="B176" s="236" t="s">
        <v>553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>
      <c r="A177" s="235">
        <v>8</v>
      </c>
      <c r="B177" s="236" t="s">
        <v>554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>
      <c r="A178" s="235">
        <v>9</v>
      </c>
      <c r="B178" s="236" t="s">
        <v>555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>
      <c r="A179" s="241"/>
      <c r="B179" s="242" t="s">
        <v>556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>
      <c r="A180" s="241"/>
      <c r="B180" s="242" t="s">
        <v>557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>
      <c r="A181" s="245"/>
      <c r="B181" s="242"/>
      <c r="C181" s="243"/>
      <c r="D181" s="243"/>
      <c r="E181" s="243"/>
      <c r="F181" s="244"/>
    </row>
    <row r="182" spans="1:6" ht="18.75" customHeight="1">
      <c r="A182" s="227" t="s">
        <v>572</v>
      </c>
      <c r="B182" s="231" t="s">
        <v>573</v>
      </c>
      <c r="C182" s="232"/>
      <c r="D182" s="233"/>
      <c r="E182" s="227"/>
      <c r="F182" s="234"/>
    </row>
    <row r="183" spans="1:6" ht="20.25" customHeight="1">
      <c r="A183" s="235">
        <v>1</v>
      </c>
      <c r="B183" s="236" t="s">
        <v>549</v>
      </c>
      <c r="C183" s="237">
        <v>0</v>
      </c>
      <c r="D183" s="237">
        <v>720942</v>
      </c>
      <c r="E183" s="237">
        <f aca="true" t="shared" si="26" ref="E183:E193">D183-C183</f>
        <v>720942</v>
      </c>
      <c r="F183" s="238">
        <f aca="true" t="shared" si="27" ref="F183:F193">IF(C183=0,0,E183/C183)</f>
        <v>0</v>
      </c>
    </row>
    <row r="184" spans="1:6" ht="20.25" customHeight="1">
      <c r="A184" s="235">
        <v>2</v>
      </c>
      <c r="B184" s="236" t="s">
        <v>550</v>
      </c>
      <c r="C184" s="237">
        <v>0</v>
      </c>
      <c r="D184" s="237">
        <v>293044</v>
      </c>
      <c r="E184" s="237">
        <f t="shared" si="26"/>
        <v>293044</v>
      </c>
      <c r="F184" s="238">
        <f t="shared" si="27"/>
        <v>0</v>
      </c>
    </row>
    <row r="185" spans="1:6" ht="20.25" customHeight="1">
      <c r="A185" s="235">
        <v>3</v>
      </c>
      <c r="B185" s="236" t="s">
        <v>551</v>
      </c>
      <c r="C185" s="237">
        <v>11413</v>
      </c>
      <c r="D185" s="237">
        <v>334219</v>
      </c>
      <c r="E185" s="237">
        <f t="shared" si="26"/>
        <v>322806</v>
      </c>
      <c r="F185" s="238">
        <f t="shared" si="27"/>
        <v>28.284062034522037</v>
      </c>
    </row>
    <row r="186" spans="1:6" ht="20.25" customHeight="1">
      <c r="A186" s="235">
        <v>4</v>
      </c>
      <c r="B186" s="236" t="s">
        <v>552</v>
      </c>
      <c r="C186" s="237">
        <v>4492</v>
      </c>
      <c r="D186" s="237">
        <v>58874</v>
      </c>
      <c r="E186" s="237">
        <f t="shared" si="26"/>
        <v>54382</v>
      </c>
      <c r="F186" s="238">
        <f t="shared" si="27"/>
        <v>12.106411398040962</v>
      </c>
    </row>
    <row r="187" spans="1:6" ht="20.25" customHeight="1">
      <c r="A187" s="235">
        <v>5</v>
      </c>
      <c r="B187" s="236" t="s">
        <v>488</v>
      </c>
      <c r="C187" s="239">
        <v>0</v>
      </c>
      <c r="D187" s="239">
        <v>12</v>
      </c>
      <c r="E187" s="239">
        <f t="shared" si="26"/>
        <v>12</v>
      </c>
      <c r="F187" s="238">
        <f t="shared" si="27"/>
        <v>0</v>
      </c>
    </row>
    <row r="188" spans="1:6" ht="20.25" customHeight="1">
      <c r="A188" s="235">
        <v>6</v>
      </c>
      <c r="B188" s="236" t="s">
        <v>487</v>
      </c>
      <c r="C188" s="239">
        <v>0</v>
      </c>
      <c r="D188" s="239">
        <v>83</v>
      </c>
      <c r="E188" s="239">
        <f t="shared" si="26"/>
        <v>83</v>
      </c>
      <c r="F188" s="238">
        <f t="shared" si="27"/>
        <v>0</v>
      </c>
    </row>
    <row r="189" spans="1:6" ht="20.25" customHeight="1">
      <c r="A189" s="235">
        <v>7</v>
      </c>
      <c r="B189" s="236" t="s">
        <v>553</v>
      </c>
      <c r="C189" s="239">
        <v>3</v>
      </c>
      <c r="D189" s="239">
        <v>132</v>
      </c>
      <c r="E189" s="239">
        <f t="shared" si="26"/>
        <v>129</v>
      </c>
      <c r="F189" s="238">
        <f t="shared" si="27"/>
        <v>43</v>
      </c>
    </row>
    <row r="190" spans="1:6" ht="20.25" customHeight="1">
      <c r="A190" s="235">
        <v>8</v>
      </c>
      <c r="B190" s="236" t="s">
        <v>554</v>
      </c>
      <c r="C190" s="239">
        <v>1</v>
      </c>
      <c r="D190" s="239">
        <v>20</v>
      </c>
      <c r="E190" s="239">
        <f t="shared" si="26"/>
        <v>19</v>
      </c>
      <c r="F190" s="238">
        <f t="shared" si="27"/>
        <v>19</v>
      </c>
    </row>
    <row r="191" spans="1:6" ht="20.25" customHeight="1">
      <c r="A191" s="235">
        <v>9</v>
      </c>
      <c r="B191" s="236" t="s">
        <v>555</v>
      </c>
      <c r="C191" s="239">
        <v>0</v>
      </c>
      <c r="D191" s="239">
        <v>10</v>
      </c>
      <c r="E191" s="239">
        <f t="shared" si="26"/>
        <v>10</v>
      </c>
      <c r="F191" s="238">
        <f t="shared" si="27"/>
        <v>0</v>
      </c>
    </row>
    <row r="192" spans="1:6" s="240" customFormat="1" ht="20.25" customHeight="1">
      <c r="A192" s="241"/>
      <c r="B192" s="242" t="s">
        <v>556</v>
      </c>
      <c r="C192" s="243">
        <f>+C183+C185</f>
        <v>11413</v>
      </c>
      <c r="D192" s="243">
        <f>+D183+D185</f>
        <v>1055161</v>
      </c>
      <c r="E192" s="243">
        <f t="shared" si="26"/>
        <v>1043748</v>
      </c>
      <c r="F192" s="244">
        <f t="shared" si="27"/>
        <v>91.45255410496802</v>
      </c>
    </row>
    <row r="193" spans="1:6" s="240" customFormat="1" ht="20.25" customHeight="1">
      <c r="A193" s="241"/>
      <c r="B193" s="242" t="s">
        <v>557</v>
      </c>
      <c r="C193" s="243">
        <f>+C184+C186</f>
        <v>4492</v>
      </c>
      <c r="D193" s="243">
        <f>+D184+D186</f>
        <v>351918</v>
      </c>
      <c r="E193" s="243">
        <f t="shared" si="26"/>
        <v>347426</v>
      </c>
      <c r="F193" s="244">
        <f t="shared" si="27"/>
        <v>77.34327693677649</v>
      </c>
    </row>
    <row r="194" spans="1:6" s="240" customFormat="1" ht="20.25" customHeight="1">
      <c r="A194" s="245"/>
      <c r="B194" s="242"/>
      <c r="C194" s="243"/>
      <c r="D194" s="243"/>
      <c r="E194" s="243"/>
      <c r="F194" s="244"/>
    </row>
    <row r="195" spans="1:9" ht="20.25" customHeight="1">
      <c r="A195" s="688" t="s">
        <v>159</v>
      </c>
      <c r="B195" s="689" t="s">
        <v>574</v>
      </c>
      <c r="C195" s="691"/>
      <c r="D195" s="692"/>
      <c r="E195" s="692"/>
      <c r="F195" s="693"/>
      <c r="G195" s="694"/>
      <c r="H195" s="694"/>
      <c r="I195" s="694"/>
    </row>
    <row r="196" spans="1:9" ht="20.25" customHeight="1">
      <c r="A196" s="680"/>
      <c r="B196" s="690"/>
      <c r="C196" s="686"/>
      <c r="D196" s="660"/>
      <c r="E196" s="660"/>
      <c r="F196" s="661"/>
      <c r="G196" s="694"/>
      <c r="H196" s="694"/>
      <c r="I196" s="694"/>
    </row>
    <row r="197" spans="1:9" ht="20.25" customHeight="1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6" ht="20.25" customHeight="1">
      <c r="A198" s="249"/>
      <c r="B198" s="250" t="s">
        <v>575</v>
      </c>
      <c r="C198" s="243">
        <f aca="true" t="shared" si="28" ref="C198:D206">+C183+C170+C157+C144+C131+C118+C105+C92+C79+C66+C53+C40+C27+C14</f>
        <v>25340332</v>
      </c>
      <c r="D198" s="243">
        <f t="shared" si="28"/>
        <v>29640715</v>
      </c>
      <c r="E198" s="243">
        <f aca="true" t="shared" si="29" ref="E198:E208">D198-C198</f>
        <v>4300383</v>
      </c>
      <c r="F198" s="251">
        <f aca="true" t="shared" si="30" ref="F198:F208">IF(C198=0,0,E198/C198)</f>
        <v>0.1697050772657596</v>
      </c>
    </row>
    <row r="199" spans="1:6" ht="20.25" customHeight="1">
      <c r="A199" s="249"/>
      <c r="B199" s="250" t="s">
        <v>576</v>
      </c>
      <c r="C199" s="243">
        <f t="shared" si="28"/>
        <v>7688994</v>
      </c>
      <c r="D199" s="243">
        <f t="shared" si="28"/>
        <v>7580994</v>
      </c>
      <c r="E199" s="243">
        <f t="shared" si="29"/>
        <v>-108000</v>
      </c>
      <c r="F199" s="251">
        <f t="shared" si="30"/>
        <v>-0.014046050757745421</v>
      </c>
    </row>
    <row r="200" spans="1:6" ht="20.25" customHeight="1">
      <c r="A200" s="249"/>
      <c r="B200" s="250" t="s">
        <v>577</v>
      </c>
      <c r="C200" s="243">
        <f t="shared" si="28"/>
        <v>15736087</v>
      </c>
      <c r="D200" s="243">
        <f t="shared" si="28"/>
        <v>24255325</v>
      </c>
      <c r="E200" s="243">
        <f t="shared" si="29"/>
        <v>8519238</v>
      </c>
      <c r="F200" s="251">
        <f t="shared" si="30"/>
        <v>0.5413822381637824</v>
      </c>
    </row>
    <row r="201" spans="1:6" ht="20.25" customHeight="1">
      <c r="A201" s="249"/>
      <c r="B201" s="250" t="s">
        <v>578</v>
      </c>
      <c r="C201" s="243">
        <f t="shared" si="28"/>
        <v>2687312</v>
      </c>
      <c r="D201" s="243">
        <f t="shared" si="28"/>
        <v>3516547</v>
      </c>
      <c r="E201" s="243">
        <f t="shared" si="29"/>
        <v>829235</v>
      </c>
      <c r="F201" s="251">
        <f t="shared" si="30"/>
        <v>0.3085741439773275</v>
      </c>
    </row>
    <row r="202" spans="1:6" ht="20.25" customHeight="1">
      <c r="A202" s="249"/>
      <c r="B202" s="250" t="s">
        <v>579</v>
      </c>
      <c r="C202" s="252">
        <f t="shared" si="28"/>
        <v>632</v>
      </c>
      <c r="D202" s="252">
        <f t="shared" si="28"/>
        <v>606</v>
      </c>
      <c r="E202" s="252">
        <f t="shared" si="29"/>
        <v>-26</v>
      </c>
      <c r="F202" s="251">
        <f t="shared" si="30"/>
        <v>-0.04113924050632911</v>
      </c>
    </row>
    <row r="203" spans="1:6" ht="20.25" customHeight="1">
      <c r="A203" s="249"/>
      <c r="B203" s="250" t="s">
        <v>580</v>
      </c>
      <c r="C203" s="252">
        <f t="shared" si="28"/>
        <v>3534</v>
      </c>
      <c r="D203" s="252">
        <f t="shared" si="28"/>
        <v>3722</v>
      </c>
      <c r="E203" s="252">
        <f t="shared" si="29"/>
        <v>188</v>
      </c>
      <c r="F203" s="251">
        <f t="shared" si="30"/>
        <v>0.05319750990379174</v>
      </c>
    </row>
    <row r="204" spans="1:6" ht="39.75" customHeight="1">
      <c r="A204" s="249"/>
      <c r="B204" s="250" t="s">
        <v>581</v>
      </c>
      <c r="C204" s="252">
        <f t="shared" si="28"/>
        <v>5837</v>
      </c>
      <c r="D204" s="252">
        <f t="shared" si="28"/>
        <v>7586</v>
      </c>
      <c r="E204" s="252">
        <f t="shared" si="29"/>
        <v>1749</v>
      </c>
      <c r="F204" s="251">
        <f t="shared" si="30"/>
        <v>0.2996402261435669</v>
      </c>
    </row>
    <row r="205" spans="1:6" ht="39.75" customHeight="1">
      <c r="A205" s="249"/>
      <c r="B205" s="250" t="s">
        <v>582</v>
      </c>
      <c r="C205" s="252">
        <f t="shared" si="28"/>
        <v>515</v>
      </c>
      <c r="D205" s="252">
        <f t="shared" si="28"/>
        <v>709</v>
      </c>
      <c r="E205" s="252">
        <f t="shared" si="29"/>
        <v>194</v>
      </c>
      <c r="F205" s="251">
        <f t="shared" si="30"/>
        <v>0.3766990291262136</v>
      </c>
    </row>
    <row r="206" spans="1:6" ht="39.75" customHeight="1">
      <c r="A206" s="249"/>
      <c r="B206" s="250" t="s">
        <v>583</v>
      </c>
      <c r="C206" s="252">
        <f t="shared" si="28"/>
        <v>476</v>
      </c>
      <c r="D206" s="252">
        <f t="shared" si="28"/>
        <v>458</v>
      </c>
      <c r="E206" s="252">
        <f t="shared" si="29"/>
        <v>-18</v>
      </c>
      <c r="F206" s="251">
        <f t="shared" si="30"/>
        <v>-0.037815126050420166</v>
      </c>
    </row>
    <row r="207" spans="1:6" ht="20.25" customHeight="1">
      <c r="A207" s="249"/>
      <c r="B207" s="242" t="s">
        <v>584</v>
      </c>
      <c r="C207" s="243">
        <f>+C198+C200</f>
        <v>41076419</v>
      </c>
      <c r="D207" s="243">
        <f>+D198+D200</f>
        <v>53896040</v>
      </c>
      <c r="E207" s="243">
        <f t="shared" si="29"/>
        <v>12819621</v>
      </c>
      <c r="F207" s="251">
        <f t="shared" si="30"/>
        <v>0.312091981533249</v>
      </c>
    </row>
    <row r="208" spans="1:6" ht="20.25" customHeight="1">
      <c r="A208" s="249"/>
      <c r="B208" s="242" t="s">
        <v>585</v>
      </c>
      <c r="C208" s="243">
        <f>+C199+C201</f>
        <v>10376306</v>
      </c>
      <c r="D208" s="243">
        <f>+D199+D201</f>
        <v>11097541</v>
      </c>
      <c r="E208" s="243">
        <f t="shared" si="29"/>
        <v>721235</v>
      </c>
      <c r="F208" s="251">
        <f t="shared" si="30"/>
        <v>0.06950787688797921</v>
      </c>
    </row>
  </sheetData>
  <sheetProtection/>
  <mergeCells count="12">
    <mergeCell ref="A195:A196"/>
    <mergeCell ref="B195:B196"/>
    <mergeCell ref="C195:F196"/>
    <mergeCell ref="G195:I196"/>
    <mergeCell ref="A2:F2"/>
    <mergeCell ref="A3:F3"/>
    <mergeCell ref="A4:F4"/>
    <mergeCell ref="A5:F5"/>
    <mergeCell ref="C9:F9"/>
    <mergeCell ref="A10:A11"/>
    <mergeCell ref="B10:B11"/>
    <mergeCell ref="C10:F11"/>
  </mergeCells>
  <printOptions/>
  <pageMargins left="0.25" right="0.25" top="0.5" bottom="0.5" header="0.25" footer="0.25"/>
  <pageSetup fitToHeight="2" horizontalDpi="1200" verticalDpi="1200" orientation="portrait" paperSize="9" scale="60" r:id="rId1"/>
  <headerFooter alignWithMargins="0">
    <oddHeader>&amp;LOFFICE OF HEALTH CARE ACCESS&amp;CTWELVE MONTHS ACTUAL FILING&amp;RSTAMFORD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122"/>
  <sheetViews>
    <sheetView zoomScale="70" zoomScaleNormal="70" zoomScalePageLayoutView="0" workbookViewId="0" topLeftCell="A1">
      <selection activeCell="A1" sqref="A1"/>
    </sheetView>
  </sheetViews>
  <sheetFormatPr defaultColWidth="9.140625" defaultRowHeight="20.25" customHeight="1"/>
  <cols>
    <col min="1" max="1" width="7.28125" style="211" customWidth="1"/>
    <col min="2" max="2" width="62.421875" style="211" customWidth="1"/>
    <col min="3" max="3" width="22.8515625" style="212" customWidth="1"/>
    <col min="4" max="6" width="22.8515625" style="211" customWidth="1"/>
    <col min="7" max="16384" width="9.140625" style="211" customWidth="1"/>
  </cols>
  <sheetData>
    <row r="1" spans="1:6" ht="20.25" customHeight="1">
      <c r="A1" s="213"/>
      <c r="B1" s="213"/>
      <c r="C1" s="214"/>
      <c r="D1" s="215"/>
      <c r="E1" s="215"/>
      <c r="F1" s="215"/>
    </row>
    <row r="2" spans="1:6" ht="20.25" customHeight="1">
      <c r="A2" s="687" t="s">
        <v>115</v>
      </c>
      <c r="B2" s="687"/>
      <c r="C2" s="687"/>
      <c r="D2" s="687"/>
      <c r="E2" s="687"/>
      <c r="F2" s="687"/>
    </row>
    <row r="3" spans="1:6" ht="20.25" customHeight="1">
      <c r="A3" s="687" t="s">
        <v>116</v>
      </c>
      <c r="B3" s="687"/>
      <c r="C3" s="687"/>
      <c r="D3" s="687"/>
      <c r="E3" s="687"/>
      <c r="F3" s="687"/>
    </row>
    <row r="4" spans="1:6" ht="20.25" customHeight="1">
      <c r="A4" s="687" t="s">
        <v>117</v>
      </c>
      <c r="B4" s="687"/>
      <c r="C4" s="687"/>
      <c r="D4" s="687"/>
      <c r="E4" s="687"/>
      <c r="F4" s="687"/>
    </row>
    <row r="5" spans="1:6" ht="20.25" customHeight="1">
      <c r="A5" s="687" t="s">
        <v>586</v>
      </c>
      <c r="B5" s="687"/>
      <c r="C5" s="687"/>
      <c r="D5" s="687"/>
      <c r="E5" s="687"/>
      <c r="F5" s="687"/>
    </row>
    <row r="6" spans="1:3" ht="20.25" customHeight="1" thickBot="1">
      <c r="A6" s="213"/>
      <c r="B6" s="213"/>
      <c r="C6" s="214"/>
    </row>
    <row r="7" spans="1:7" ht="20.25" customHeight="1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>
      <c r="A8" s="253"/>
      <c r="B8" s="254"/>
      <c r="C8" s="223" t="s">
        <v>545</v>
      </c>
      <c r="D8" s="223" t="s">
        <v>546</v>
      </c>
      <c r="E8" s="223" t="s">
        <v>547</v>
      </c>
      <c r="F8" s="224" t="s">
        <v>223</v>
      </c>
      <c r="G8" s="212"/>
    </row>
    <row r="9" spans="1:7" ht="20.25" customHeight="1">
      <c r="A9" s="255"/>
      <c r="B9" s="256"/>
      <c r="C9" s="257"/>
      <c r="D9" s="258"/>
      <c r="E9" s="258"/>
      <c r="F9" s="259"/>
      <c r="G9" s="212"/>
    </row>
    <row r="10" spans="1:6" ht="20.25" customHeight="1">
      <c r="A10" s="688" t="s">
        <v>127</v>
      </c>
      <c r="B10" s="689" t="s">
        <v>230</v>
      </c>
      <c r="C10" s="691"/>
      <c r="D10" s="692"/>
      <c r="E10" s="692"/>
      <c r="F10" s="693"/>
    </row>
    <row r="11" spans="1:6" ht="20.25" customHeight="1">
      <c r="A11" s="680"/>
      <c r="B11" s="690"/>
      <c r="C11" s="686"/>
      <c r="D11" s="660"/>
      <c r="E11" s="660"/>
      <c r="F11" s="661"/>
    </row>
    <row r="12" spans="1:6" ht="20.25" customHeight="1">
      <c r="A12" s="236"/>
      <c r="B12" s="260"/>
      <c r="C12" s="230"/>
      <c r="D12" s="230"/>
      <c r="E12" s="230"/>
      <c r="F12" s="230"/>
    </row>
    <row r="13" spans="1:6" ht="42" customHeight="1">
      <c r="A13" s="227" t="s">
        <v>225</v>
      </c>
      <c r="B13" s="261" t="s">
        <v>587</v>
      </c>
      <c r="C13" s="232"/>
      <c r="D13" s="233"/>
      <c r="E13" s="227"/>
      <c r="F13" s="234"/>
    </row>
    <row r="14" spans="1:6" ht="20.25" customHeight="1">
      <c r="A14" s="235">
        <v>1</v>
      </c>
      <c r="B14" s="236" t="s">
        <v>549</v>
      </c>
      <c r="C14" s="237">
        <v>2277105</v>
      </c>
      <c r="D14" s="237">
        <v>1049054</v>
      </c>
      <c r="E14" s="237">
        <f aca="true" t="shared" si="0" ref="E14:E24">D14-C14</f>
        <v>-1228051</v>
      </c>
      <c r="F14" s="238">
        <f aca="true" t="shared" si="1" ref="F14:F24">IF(C14=0,0,E14/C14)</f>
        <v>-0.5393036333414577</v>
      </c>
    </row>
    <row r="15" spans="1:6" ht="20.25" customHeight="1">
      <c r="A15" s="235">
        <v>2</v>
      </c>
      <c r="B15" s="236" t="s">
        <v>550</v>
      </c>
      <c r="C15" s="237">
        <v>484952</v>
      </c>
      <c r="D15" s="237">
        <v>235137</v>
      </c>
      <c r="E15" s="237">
        <f t="shared" si="0"/>
        <v>-249815</v>
      </c>
      <c r="F15" s="238">
        <f t="shared" si="1"/>
        <v>-0.5151334565070358</v>
      </c>
    </row>
    <row r="16" spans="1:6" ht="20.25" customHeight="1">
      <c r="A16" s="235">
        <v>3</v>
      </c>
      <c r="B16" s="236" t="s">
        <v>551</v>
      </c>
      <c r="C16" s="237">
        <v>4827283</v>
      </c>
      <c r="D16" s="237">
        <v>1631671</v>
      </c>
      <c r="E16" s="237">
        <f t="shared" si="0"/>
        <v>-3195612</v>
      </c>
      <c r="F16" s="238">
        <f t="shared" si="1"/>
        <v>-0.6619897776865371</v>
      </c>
    </row>
    <row r="17" spans="1:6" ht="20.25" customHeight="1">
      <c r="A17" s="235">
        <v>4</v>
      </c>
      <c r="B17" s="236" t="s">
        <v>552</v>
      </c>
      <c r="C17" s="237">
        <v>1047083</v>
      </c>
      <c r="D17" s="237">
        <v>125581</v>
      </c>
      <c r="E17" s="237">
        <f t="shared" si="0"/>
        <v>-921502</v>
      </c>
      <c r="F17" s="238">
        <f t="shared" si="1"/>
        <v>-0.8800658591534769</v>
      </c>
    </row>
    <row r="18" spans="1:6" ht="20.25" customHeight="1">
      <c r="A18" s="235">
        <v>5</v>
      </c>
      <c r="B18" s="236" t="s">
        <v>488</v>
      </c>
      <c r="C18" s="239">
        <v>137</v>
      </c>
      <c r="D18" s="239">
        <v>61</v>
      </c>
      <c r="E18" s="239">
        <f t="shared" si="0"/>
        <v>-76</v>
      </c>
      <c r="F18" s="238">
        <f t="shared" si="1"/>
        <v>-0.5547445255474452</v>
      </c>
    </row>
    <row r="19" spans="1:6" ht="20.25" customHeight="1">
      <c r="A19" s="235">
        <v>6</v>
      </c>
      <c r="B19" s="236" t="s">
        <v>487</v>
      </c>
      <c r="C19" s="239">
        <v>418</v>
      </c>
      <c r="D19" s="239">
        <v>240</v>
      </c>
      <c r="E19" s="239">
        <f t="shared" si="0"/>
        <v>-178</v>
      </c>
      <c r="F19" s="238">
        <f t="shared" si="1"/>
        <v>-0.4258373205741627</v>
      </c>
    </row>
    <row r="20" spans="1:6" ht="20.25" customHeight="1">
      <c r="A20" s="235">
        <v>7</v>
      </c>
      <c r="B20" s="236" t="s">
        <v>553</v>
      </c>
      <c r="C20" s="239">
        <v>2349</v>
      </c>
      <c r="D20" s="239">
        <v>782</v>
      </c>
      <c r="E20" s="239">
        <f t="shared" si="0"/>
        <v>-1567</v>
      </c>
      <c r="F20" s="238">
        <f t="shared" si="1"/>
        <v>-0.667092379736058</v>
      </c>
    </row>
    <row r="21" spans="1:6" ht="20.25" customHeight="1">
      <c r="A21" s="235">
        <v>8</v>
      </c>
      <c r="B21" s="236" t="s">
        <v>554</v>
      </c>
      <c r="C21" s="239">
        <v>1302</v>
      </c>
      <c r="D21" s="239">
        <v>361</v>
      </c>
      <c r="E21" s="239">
        <f t="shared" si="0"/>
        <v>-941</v>
      </c>
      <c r="F21" s="238">
        <f t="shared" si="1"/>
        <v>-0.7227342549923195</v>
      </c>
    </row>
    <row r="22" spans="1:6" ht="20.25" customHeight="1">
      <c r="A22" s="235">
        <v>9</v>
      </c>
      <c r="B22" s="236" t="s">
        <v>555</v>
      </c>
      <c r="C22" s="239">
        <v>51</v>
      </c>
      <c r="D22" s="239">
        <v>16</v>
      </c>
      <c r="E22" s="239">
        <f t="shared" si="0"/>
        <v>-35</v>
      </c>
      <c r="F22" s="238">
        <f t="shared" si="1"/>
        <v>-0.6862745098039216</v>
      </c>
    </row>
    <row r="23" spans="1:6" s="240" customFormat="1" ht="39.75" customHeight="1">
      <c r="A23" s="245"/>
      <c r="B23" s="242" t="s">
        <v>556</v>
      </c>
      <c r="C23" s="243">
        <f>+C14+C16</f>
        <v>7104388</v>
      </c>
      <c r="D23" s="243">
        <f>+D14+D16</f>
        <v>2680725</v>
      </c>
      <c r="E23" s="243">
        <f t="shared" si="0"/>
        <v>-4423663</v>
      </c>
      <c r="F23" s="244">
        <f t="shared" si="1"/>
        <v>-0.6226663014463737</v>
      </c>
    </row>
    <row r="24" spans="1:6" s="240" customFormat="1" ht="39.75" customHeight="1">
      <c r="A24" s="245"/>
      <c r="B24" s="242" t="s">
        <v>585</v>
      </c>
      <c r="C24" s="243">
        <f>+C15+C17</f>
        <v>1532035</v>
      </c>
      <c r="D24" s="243">
        <f>+D15+D17</f>
        <v>360718</v>
      </c>
      <c r="E24" s="243">
        <f t="shared" si="0"/>
        <v>-1171317</v>
      </c>
      <c r="F24" s="244">
        <f t="shared" si="1"/>
        <v>-0.7645497655079682</v>
      </c>
    </row>
    <row r="25" spans="1:6" ht="42" customHeight="1">
      <c r="A25" s="227" t="s">
        <v>239</v>
      </c>
      <c r="B25" s="261" t="s">
        <v>588</v>
      </c>
      <c r="C25" s="232"/>
      <c r="D25" s="233"/>
      <c r="E25" s="227"/>
      <c r="F25" s="234"/>
    </row>
    <row r="26" spans="1:6" ht="20.25" customHeight="1">
      <c r="A26" s="235">
        <v>1</v>
      </c>
      <c r="B26" s="236" t="s">
        <v>549</v>
      </c>
      <c r="C26" s="237">
        <v>6158645</v>
      </c>
      <c r="D26" s="237">
        <v>10561431</v>
      </c>
      <c r="E26" s="237">
        <f aca="true" t="shared" si="2" ref="E26:E36">D26-C26</f>
        <v>4402786</v>
      </c>
      <c r="F26" s="238">
        <f aca="true" t="shared" si="3" ref="F26:F36">IF(C26=0,0,E26/C26)</f>
        <v>0.7148952407550687</v>
      </c>
    </row>
    <row r="27" spans="1:6" ht="20.25" customHeight="1">
      <c r="A27" s="235">
        <v>2</v>
      </c>
      <c r="B27" s="236" t="s">
        <v>550</v>
      </c>
      <c r="C27" s="237">
        <v>1635177</v>
      </c>
      <c r="D27" s="237">
        <v>2955898</v>
      </c>
      <c r="E27" s="237">
        <f t="shared" si="2"/>
        <v>1320721</v>
      </c>
      <c r="F27" s="238">
        <f t="shared" si="3"/>
        <v>0.807692989810889</v>
      </c>
    </row>
    <row r="28" spans="1:6" ht="20.25" customHeight="1">
      <c r="A28" s="235">
        <v>3</v>
      </c>
      <c r="B28" s="236" t="s">
        <v>551</v>
      </c>
      <c r="C28" s="237">
        <v>10514681</v>
      </c>
      <c r="D28" s="237">
        <v>19888070</v>
      </c>
      <c r="E28" s="237">
        <f t="shared" si="2"/>
        <v>9373389</v>
      </c>
      <c r="F28" s="238">
        <f t="shared" si="3"/>
        <v>0.891457287196825</v>
      </c>
    </row>
    <row r="29" spans="1:6" ht="20.25" customHeight="1">
      <c r="A29" s="235">
        <v>4</v>
      </c>
      <c r="B29" s="236" t="s">
        <v>552</v>
      </c>
      <c r="C29" s="237">
        <v>2034290</v>
      </c>
      <c r="D29" s="237">
        <v>3429119</v>
      </c>
      <c r="E29" s="237">
        <f t="shared" si="2"/>
        <v>1394829</v>
      </c>
      <c r="F29" s="238">
        <f t="shared" si="3"/>
        <v>0.6856588785276435</v>
      </c>
    </row>
    <row r="30" spans="1:6" ht="20.25" customHeight="1">
      <c r="A30" s="235">
        <v>5</v>
      </c>
      <c r="B30" s="236" t="s">
        <v>488</v>
      </c>
      <c r="C30" s="239">
        <v>405</v>
      </c>
      <c r="D30" s="239">
        <v>617</v>
      </c>
      <c r="E30" s="239">
        <f t="shared" si="2"/>
        <v>212</v>
      </c>
      <c r="F30" s="238">
        <f t="shared" si="3"/>
        <v>0.5234567901234568</v>
      </c>
    </row>
    <row r="31" spans="1:6" ht="20.25" customHeight="1">
      <c r="A31" s="235">
        <v>6</v>
      </c>
      <c r="B31" s="236" t="s">
        <v>487</v>
      </c>
      <c r="C31" s="239">
        <v>1238</v>
      </c>
      <c r="D31" s="239">
        <v>2073</v>
      </c>
      <c r="E31" s="239">
        <f t="shared" si="2"/>
        <v>835</v>
      </c>
      <c r="F31" s="238">
        <f t="shared" si="3"/>
        <v>0.6744749596122779</v>
      </c>
    </row>
    <row r="32" spans="1:6" ht="20.25" customHeight="1">
      <c r="A32" s="235">
        <v>7</v>
      </c>
      <c r="B32" s="236" t="s">
        <v>553</v>
      </c>
      <c r="C32" s="239">
        <v>6019</v>
      </c>
      <c r="D32" s="239">
        <v>10304</v>
      </c>
      <c r="E32" s="239">
        <f t="shared" si="2"/>
        <v>4285</v>
      </c>
      <c r="F32" s="238">
        <f t="shared" si="3"/>
        <v>0.7119122777870078</v>
      </c>
    </row>
    <row r="33" spans="1:6" ht="20.25" customHeight="1">
      <c r="A33" s="235">
        <v>8</v>
      </c>
      <c r="B33" s="236" t="s">
        <v>554</v>
      </c>
      <c r="C33" s="239">
        <v>3110</v>
      </c>
      <c r="D33" s="239">
        <v>4912</v>
      </c>
      <c r="E33" s="239">
        <f t="shared" si="2"/>
        <v>1802</v>
      </c>
      <c r="F33" s="238">
        <f t="shared" si="3"/>
        <v>0.5794212218649518</v>
      </c>
    </row>
    <row r="34" spans="1:6" ht="20.25" customHeight="1">
      <c r="A34" s="235">
        <v>9</v>
      </c>
      <c r="B34" s="236" t="s">
        <v>555</v>
      </c>
      <c r="C34" s="239">
        <v>145</v>
      </c>
      <c r="D34" s="239">
        <v>167</v>
      </c>
      <c r="E34" s="239">
        <f t="shared" si="2"/>
        <v>22</v>
      </c>
      <c r="F34" s="238">
        <f t="shared" si="3"/>
        <v>0.15172413793103448</v>
      </c>
    </row>
    <row r="35" spans="1:6" s="240" customFormat="1" ht="39.75" customHeight="1">
      <c r="A35" s="245"/>
      <c r="B35" s="242" t="s">
        <v>556</v>
      </c>
      <c r="C35" s="243">
        <f>+C26+C28</f>
        <v>16673326</v>
      </c>
      <c r="D35" s="243">
        <f>+D26+D28</f>
        <v>30449501</v>
      </c>
      <c r="E35" s="243">
        <f t="shared" si="2"/>
        <v>13776175</v>
      </c>
      <c r="F35" s="244">
        <f t="shared" si="3"/>
        <v>0.8262403673988021</v>
      </c>
    </row>
    <row r="36" spans="1:6" s="240" customFormat="1" ht="39.75" customHeight="1">
      <c r="A36" s="245"/>
      <c r="B36" s="242" t="s">
        <v>585</v>
      </c>
      <c r="C36" s="243">
        <f>+C27+C29</f>
        <v>3669467</v>
      </c>
      <c r="D36" s="243">
        <f>+D27+D29</f>
        <v>6385017</v>
      </c>
      <c r="E36" s="243">
        <f t="shared" si="2"/>
        <v>2715550</v>
      </c>
      <c r="F36" s="244">
        <f t="shared" si="3"/>
        <v>0.7400393572145492</v>
      </c>
    </row>
    <row r="37" spans="1:6" ht="42" customHeight="1">
      <c r="A37" s="227" t="s">
        <v>256</v>
      </c>
      <c r="B37" s="261" t="s">
        <v>589</v>
      </c>
      <c r="C37" s="232"/>
      <c r="D37" s="233"/>
      <c r="E37" s="227"/>
      <c r="F37" s="234"/>
    </row>
    <row r="38" spans="1:6" ht="20.25" customHeight="1">
      <c r="A38" s="235">
        <v>1</v>
      </c>
      <c r="B38" s="236" t="s">
        <v>549</v>
      </c>
      <c r="C38" s="237">
        <v>2384879</v>
      </c>
      <c r="D38" s="237">
        <v>0</v>
      </c>
      <c r="E38" s="237">
        <f aca="true" t="shared" si="4" ref="E38:E48">D38-C38</f>
        <v>-2384879</v>
      </c>
      <c r="F38" s="238">
        <f aca="true" t="shared" si="5" ref="F38:F48">IF(C38=0,0,E38/C38)</f>
        <v>-1</v>
      </c>
    </row>
    <row r="39" spans="1:6" ht="20.25" customHeight="1">
      <c r="A39" s="235">
        <v>2</v>
      </c>
      <c r="B39" s="236" t="s">
        <v>550</v>
      </c>
      <c r="C39" s="237">
        <v>222835</v>
      </c>
      <c r="D39" s="237">
        <v>0</v>
      </c>
      <c r="E39" s="237">
        <f t="shared" si="4"/>
        <v>-222835</v>
      </c>
      <c r="F39" s="238">
        <f t="shared" si="5"/>
        <v>-1</v>
      </c>
    </row>
    <row r="40" spans="1:6" ht="20.25" customHeight="1">
      <c r="A40" s="235">
        <v>3</v>
      </c>
      <c r="B40" s="236" t="s">
        <v>551</v>
      </c>
      <c r="C40" s="237">
        <v>4646179</v>
      </c>
      <c r="D40" s="237">
        <v>0</v>
      </c>
      <c r="E40" s="237">
        <f t="shared" si="4"/>
        <v>-4646179</v>
      </c>
      <c r="F40" s="238">
        <f t="shared" si="5"/>
        <v>-1</v>
      </c>
    </row>
    <row r="41" spans="1:6" ht="20.25" customHeight="1">
      <c r="A41" s="235">
        <v>4</v>
      </c>
      <c r="B41" s="236" t="s">
        <v>552</v>
      </c>
      <c r="C41" s="237">
        <v>720085</v>
      </c>
      <c r="D41" s="237">
        <v>0</v>
      </c>
      <c r="E41" s="237">
        <f t="shared" si="4"/>
        <v>-720085</v>
      </c>
      <c r="F41" s="238">
        <f t="shared" si="5"/>
        <v>-1</v>
      </c>
    </row>
    <row r="42" spans="1:6" ht="20.25" customHeight="1">
      <c r="A42" s="235">
        <v>5</v>
      </c>
      <c r="B42" s="236" t="s">
        <v>488</v>
      </c>
      <c r="C42" s="239">
        <v>182</v>
      </c>
      <c r="D42" s="239">
        <v>0</v>
      </c>
      <c r="E42" s="239">
        <f t="shared" si="4"/>
        <v>-182</v>
      </c>
      <c r="F42" s="238">
        <f t="shared" si="5"/>
        <v>-1</v>
      </c>
    </row>
    <row r="43" spans="1:6" ht="20.25" customHeight="1">
      <c r="A43" s="235">
        <v>6</v>
      </c>
      <c r="B43" s="236" t="s">
        <v>487</v>
      </c>
      <c r="C43" s="239">
        <v>479</v>
      </c>
      <c r="D43" s="239">
        <v>0</v>
      </c>
      <c r="E43" s="239">
        <f t="shared" si="4"/>
        <v>-479</v>
      </c>
      <c r="F43" s="238">
        <f t="shared" si="5"/>
        <v>-1</v>
      </c>
    </row>
    <row r="44" spans="1:6" ht="20.25" customHeight="1">
      <c r="A44" s="235">
        <v>7</v>
      </c>
      <c r="B44" s="236" t="s">
        <v>553</v>
      </c>
      <c r="C44" s="239">
        <v>2253</v>
      </c>
      <c r="D44" s="239">
        <v>0</v>
      </c>
      <c r="E44" s="239">
        <f t="shared" si="4"/>
        <v>-2253</v>
      </c>
      <c r="F44" s="238">
        <f t="shared" si="5"/>
        <v>-1</v>
      </c>
    </row>
    <row r="45" spans="1:6" ht="20.25" customHeight="1">
      <c r="A45" s="235">
        <v>8</v>
      </c>
      <c r="B45" s="236" t="s">
        <v>554</v>
      </c>
      <c r="C45" s="239">
        <v>1275</v>
      </c>
      <c r="D45" s="239">
        <v>0</v>
      </c>
      <c r="E45" s="239">
        <f t="shared" si="4"/>
        <v>-1275</v>
      </c>
      <c r="F45" s="238">
        <f t="shared" si="5"/>
        <v>-1</v>
      </c>
    </row>
    <row r="46" spans="1:6" ht="20.25" customHeight="1">
      <c r="A46" s="235">
        <v>9</v>
      </c>
      <c r="B46" s="236" t="s">
        <v>555</v>
      </c>
      <c r="C46" s="239">
        <v>52</v>
      </c>
      <c r="D46" s="239">
        <v>0</v>
      </c>
      <c r="E46" s="239">
        <f t="shared" si="4"/>
        <v>-52</v>
      </c>
      <c r="F46" s="238">
        <f t="shared" si="5"/>
        <v>-1</v>
      </c>
    </row>
    <row r="47" spans="1:6" s="240" customFormat="1" ht="39.75" customHeight="1">
      <c r="A47" s="245"/>
      <c r="B47" s="242" t="s">
        <v>556</v>
      </c>
      <c r="C47" s="243">
        <f>+C38+C40</f>
        <v>7031058</v>
      </c>
      <c r="D47" s="243">
        <f>+D38+D40</f>
        <v>0</v>
      </c>
      <c r="E47" s="243">
        <f t="shared" si="4"/>
        <v>-7031058</v>
      </c>
      <c r="F47" s="244">
        <f t="shared" si="5"/>
        <v>-1</v>
      </c>
    </row>
    <row r="48" spans="1:6" s="240" customFormat="1" ht="39.75" customHeight="1">
      <c r="A48" s="245"/>
      <c r="B48" s="242" t="s">
        <v>585</v>
      </c>
      <c r="C48" s="243">
        <f>+C39+C41</f>
        <v>942920</v>
      </c>
      <c r="D48" s="243">
        <f>+D39+D41</f>
        <v>0</v>
      </c>
      <c r="E48" s="243">
        <f t="shared" si="4"/>
        <v>-942920</v>
      </c>
      <c r="F48" s="244">
        <f t="shared" si="5"/>
        <v>-1</v>
      </c>
    </row>
    <row r="49" spans="1:6" ht="42" customHeight="1">
      <c r="A49" s="227" t="s">
        <v>286</v>
      </c>
      <c r="B49" s="261" t="s">
        <v>590</v>
      </c>
      <c r="C49" s="232"/>
      <c r="D49" s="233"/>
      <c r="E49" s="227"/>
      <c r="F49" s="234"/>
    </row>
    <row r="50" spans="1:6" ht="20.25" customHeight="1">
      <c r="A50" s="235">
        <v>1</v>
      </c>
      <c r="B50" s="236" t="s">
        <v>549</v>
      </c>
      <c r="C50" s="237">
        <v>0</v>
      </c>
      <c r="D50" s="237">
        <v>0</v>
      </c>
      <c r="E50" s="237">
        <f aca="true" t="shared" si="6" ref="E50:E60">D50-C50</f>
        <v>0</v>
      </c>
      <c r="F50" s="238">
        <f aca="true" t="shared" si="7" ref="F50:F60">IF(C50=0,0,E50/C50)</f>
        <v>0</v>
      </c>
    </row>
    <row r="51" spans="1:6" ht="20.25" customHeight="1">
      <c r="A51" s="235">
        <v>2</v>
      </c>
      <c r="B51" s="236" t="s">
        <v>550</v>
      </c>
      <c r="C51" s="237">
        <v>0</v>
      </c>
      <c r="D51" s="237">
        <v>0</v>
      </c>
      <c r="E51" s="237">
        <f t="shared" si="6"/>
        <v>0</v>
      </c>
      <c r="F51" s="238">
        <f t="shared" si="7"/>
        <v>0</v>
      </c>
    </row>
    <row r="52" spans="1:6" ht="20.25" customHeight="1">
      <c r="A52" s="235">
        <v>3</v>
      </c>
      <c r="B52" s="236" t="s">
        <v>551</v>
      </c>
      <c r="C52" s="237">
        <v>8368</v>
      </c>
      <c r="D52" s="237">
        <v>1436</v>
      </c>
      <c r="E52" s="237">
        <f t="shared" si="6"/>
        <v>-6932</v>
      </c>
      <c r="F52" s="238">
        <f t="shared" si="7"/>
        <v>-0.8283938814531548</v>
      </c>
    </row>
    <row r="53" spans="1:6" ht="20.25" customHeight="1">
      <c r="A53" s="235">
        <v>4</v>
      </c>
      <c r="B53" s="236" t="s">
        <v>552</v>
      </c>
      <c r="C53" s="237">
        <v>1085</v>
      </c>
      <c r="D53" s="237">
        <v>463</v>
      </c>
      <c r="E53" s="237">
        <f t="shared" si="6"/>
        <v>-622</v>
      </c>
      <c r="F53" s="238">
        <f t="shared" si="7"/>
        <v>-0.5732718894009217</v>
      </c>
    </row>
    <row r="54" spans="1:6" ht="20.25" customHeight="1">
      <c r="A54" s="235">
        <v>5</v>
      </c>
      <c r="B54" s="236" t="s">
        <v>488</v>
      </c>
      <c r="C54" s="239">
        <v>0</v>
      </c>
      <c r="D54" s="239">
        <v>0</v>
      </c>
      <c r="E54" s="239">
        <f t="shared" si="6"/>
        <v>0</v>
      </c>
      <c r="F54" s="238">
        <f t="shared" si="7"/>
        <v>0</v>
      </c>
    </row>
    <row r="55" spans="1:6" ht="20.25" customHeight="1">
      <c r="A55" s="235">
        <v>6</v>
      </c>
      <c r="B55" s="236" t="s">
        <v>487</v>
      </c>
      <c r="C55" s="239">
        <v>0</v>
      </c>
      <c r="D55" s="239">
        <v>0</v>
      </c>
      <c r="E55" s="239">
        <f t="shared" si="6"/>
        <v>0</v>
      </c>
      <c r="F55" s="238">
        <f t="shared" si="7"/>
        <v>0</v>
      </c>
    </row>
    <row r="56" spans="1:6" ht="20.25" customHeight="1">
      <c r="A56" s="235">
        <v>7</v>
      </c>
      <c r="B56" s="236" t="s">
        <v>553</v>
      </c>
      <c r="C56" s="239">
        <v>2</v>
      </c>
      <c r="D56" s="239">
        <v>6</v>
      </c>
      <c r="E56" s="239">
        <f t="shared" si="6"/>
        <v>4</v>
      </c>
      <c r="F56" s="238">
        <f t="shared" si="7"/>
        <v>2</v>
      </c>
    </row>
    <row r="57" spans="1:6" ht="20.25" customHeight="1">
      <c r="A57" s="235">
        <v>8</v>
      </c>
      <c r="B57" s="236" t="s">
        <v>554</v>
      </c>
      <c r="C57" s="239">
        <v>0</v>
      </c>
      <c r="D57" s="239">
        <v>1</v>
      </c>
      <c r="E57" s="239">
        <f t="shared" si="6"/>
        <v>1</v>
      </c>
      <c r="F57" s="238">
        <f t="shared" si="7"/>
        <v>0</v>
      </c>
    </row>
    <row r="58" spans="1:6" ht="20.25" customHeight="1">
      <c r="A58" s="235">
        <v>9</v>
      </c>
      <c r="B58" s="236" t="s">
        <v>555</v>
      </c>
      <c r="C58" s="239">
        <v>0</v>
      </c>
      <c r="D58" s="239">
        <v>0</v>
      </c>
      <c r="E58" s="239">
        <f t="shared" si="6"/>
        <v>0</v>
      </c>
      <c r="F58" s="238">
        <f t="shared" si="7"/>
        <v>0</v>
      </c>
    </row>
    <row r="59" spans="1:6" s="240" customFormat="1" ht="39.75" customHeight="1">
      <c r="A59" s="245"/>
      <c r="B59" s="242" t="s">
        <v>556</v>
      </c>
      <c r="C59" s="243">
        <f>+C50+C52</f>
        <v>8368</v>
      </c>
      <c r="D59" s="243">
        <f>+D50+D52</f>
        <v>1436</v>
      </c>
      <c r="E59" s="243">
        <f t="shared" si="6"/>
        <v>-6932</v>
      </c>
      <c r="F59" s="244">
        <f t="shared" si="7"/>
        <v>-0.8283938814531548</v>
      </c>
    </row>
    <row r="60" spans="1:6" s="240" customFormat="1" ht="39.75" customHeight="1">
      <c r="A60" s="245"/>
      <c r="B60" s="242" t="s">
        <v>585</v>
      </c>
      <c r="C60" s="243">
        <f>+C51+C53</f>
        <v>1085</v>
      </c>
      <c r="D60" s="243">
        <f>+D51+D53</f>
        <v>463</v>
      </c>
      <c r="E60" s="243">
        <f t="shared" si="6"/>
        <v>-622</v>
      </c>
      <c r="F60" s="244">
        <f t="shared" si="7"/>
        <v>-0.5732718894009217</v>
      </c>
    </row>
    <row r="61" spans="1:6" ht="42" customHeight="1">
      <c r="A61" s="227" t="s">
        <v>291</v>
      </c>
      <c r="B61" s="261" t="s">
        <v>564</v>
      </c>
      <c r="C61" s="232"/>
      <c r="D61" s="233"/>
      <c r="E61" s="227"/>
      <c r="F61" s="234"/>
    </row>
    <row r="62" spans="1:6" ht="20.25" customHeight="1">
      <c r="A62" s="235">
        <v>1</v>
      </c>
      <c r="B62" s="236" t="s">
        <v>549</v>
      </c>
      <c r="C62" s="237">
        <v>257636</v>
      </c>
      <c r="D62" s="237">
        <v>0</v>
      </c>
      <c r="E62" s="237">
        <f aca="true" t="shared" si="8" ref="E62:E72">D62-C62</f>
        <v>-257636</v>
      </c>
      <c r="F62" s="238">
        <f aca="true" t="shared" si="9" ref="F62:F72">IF(C62=0,0,E62/C62)</f>
        <v>-1</v>
      </c>
    </row>
    <row r="63" spans="1:6" ht="20.25" customHeight="1">
      <c r="A63" s="235">
        <v>2</v>
      </c>
      <c r="B63" s="236" t="s">
        <v>550</v>
      </c>
      <c r="C63" s="237">
        <v>34572</v>
      </c>
      <c r="D63" s="237">
        <v>0</v>
      </c>
      <c r="E63" s="237">
        <f t="shared" si="8"/>
        <v>-34572</v>
      </c>
      <c r="F63" s="238">
        <f t="shared" si="9"/>
        <v>-1</v>
      </c>
    </row>
    <row r="64" spans="1:6" ht="20.25" customHeight="1">
      <c r="A64" s="235">
        <v>3</v>
      </c>
      <c r="B64" s="236" t="s">
        <v>551</v>
      </c>
      <c r="C64" s="237">
        <v>438155</v>
      </c>
      <c r="D64" s="237">
        <v>0</v>
      </c>
      <c r="E64" s="237">
        <f t="shared" si="8"/>
        <v>-438155</v>
      </c>
      <c r="F64" s="238">
        <f t="shared" si="9"/>
        <v>-1</v>
      </c>
    </row>
    <row r="65" spans="1:6" ht="20.25" customHeight="1">
      <c r="A65" s="235">
        <v>4</v>
      </c>
      <c r="B65" s="236" t="s">
        <v>552</v>
      </c>
      <c r="C65" s="237">
        <v>59984</v>
      </c>
      <c r="D65" s="237">
        <v>0</v>
      </c>
      <c r="E65" s="237">
        <f t="shared" si="8"/>
        <v>-59984</v>
      </c>
      <c r="F65" s="238">
        <f t="shared" si="9"/>
        <v>-1</v>
      </c>
    </row>
    <row r="66" spans="1:6" ht="20.25" customHeight="1">
      <c r="A66" s="235">
        <v>5</v>
      </c>
      <c r="B66" s="236" t="s">
        <v>488</v>
      </c>
      <c r="C66" s="239">
        <v>19</v>
      </c>
      <c r="D66" s="239">
        <v>0</v>
      </c>
      <c r="E66" s="239">
        <f t="shared" si="8"/>
        <v>-19</v>
      </c>
      <c r="F66" s="238">
        <f t="shared" si="9"/>
        <v>-1</v>
      </c>
    </row>
    <row r="67" spans="1:6" ht="20.25" customHeight="1">
      <c r="A67" s="235">
        <v>6</v>
      </c>
      <c r="B67" s="236" t="s">
        <v>487</v>
      </c>
      <c r="C67" s="239">
        <v>50</v>
      </c>
      <c r="D67" s="239">
        <v>0</v>
      </c>
      <c r="E67" s="239">
        <f t="shared" si="8"/>
        <v>-50</v>
      </c>
      <c r="F67" s="238">
        <f t="shared" si="9"/>
        <v>-1</v>
      </c>
    </row>
    <row r="68" spans="1:6" ht="20.25" customHeight="1">
      <c r="A68" s="235">
        <v>7</v>
      </c>
      <c r="B68" s="236" t="s">
        <v>553</v>
      </c>
      <c r="C68" s="239">
        <v>204</v>
      </c>
      <c r="D68" s="239">
        <v>0</v>
      </c>
      <c r="E68" s="239">
        <f t="shared" si="8"/>
        <v>-204</v>
      </c>
      <c r="F68" s="238">
        <f t="shared" si="9"/>
        <v>-1</v>
      </c>
    </row>
    <row r="69" spans="1:6" ht="20.25" customHeight="1">
      <c r="A69" s="235">
        <v>8</v>
      </c>
      <c r="B69" s="236" t="s">
        <v>554</v>
      </c>
      <c r="C69" s="239">
        <v>160</v>
      </c>
      <c r="D69" s="239">
        <v>0</v>
      </c>
      <c r="E69" s="239">
        <f t="shared" si="8"/>
        <v>-160</v>
      </c>
      <c r="F69" s="238">
        <f t="shared" si="9"/>
        <v>-1</v>
      </c>
    </row>
    <row r="70" spans="1:6" ht="20.25" customHeight="1">
      <c r="A70" s="235">
        <v>9</v>
      </c>
      <c r="B70" s="236" t="s">
        <v>555</v>
      </c>
      <c r="C70" s="239">
        <v>11</v>
      </c>
      <c r="D70" s="239">
        <v>0</v>
      </c>
      <c r="E70" s="239">
        <f t="shared" si="8"/>
        <v>-11</v>
      </c>
      <c r="F70" s="238">
        <f t="shared" si="9"/>
        <v>-1</v>
      </c>
    </row>
    <row r="71" spans="1:6" s="240" customFormat="1" ht="39.75" customHeight="1">
      <c r="A71" s="245"/>
      <c r="B71" s="242" t="s">
        <v>556</v>
      </c>
      <c r="C71" s="243">
        <f>+C62+C64</f>
        <v>695791</v>
      </c>
      <c r="D71" s="243">
        <f>+D62+D64</f>
        <v>0</v>
      </c>
      <c r="E71" s="243">
        <f t="shared" si="8"/>
        <v>-695791</v>
      </c>
      <c r="F71" s="244">
        <f t="shared" si="9"/>
        <v>-1</v>
      </c>
    </row>
    <row r="72" spans="1:6" s="240" customFormat="1" ht="39.75" customHeight="1">
      <c r="A72" s="245"/>
      <c r="B72" s="242" t="s">
        <v>585</v>
      </c>
      <c r="C72" s="243">
        <f>+C63+C65</f>
        <v>94556</v>
      </c>
      <c r="D72" s="243">
        <f>+D63+D65</f>
        <v>0</v>
      </c>
      <c r="E72" s="243">
        <f t="shared" si="8"/>
        <v>-94556</v>
      </c>
      <c r="F72" s="244">
        <f t="shared" si="9"/>
        <v>-1</v>
      </c>
    </row>
    <row r="73" spans="1:6" ht="42" customHeight="1">
      <c r="A73" s="227" t="s">
        <v>297</v>
      </c>
      <c r="B73" s="261" t="s">
        <v>591</v>
      </c>
      <c r="C73" s="232"/>
      <c r="D73" s="233"/>
      <c r="E73" s="227"/>
      <c r="F73" s="234"/>
    </row>
    <row r="74" spans="1:6" ht="20.25" customHeight="1">
      <c r="A74" s="235">
        <v>1</v>
      </c>
      <c r="B74" s="236" t="s">
        <v>549</v>
      </c>
      <c r="C74" s="237">
        <v>62503</v>
      </c>
      <c r="D74" s="237">
        <v>0</v>
      </c>
      <c r="E74" s="237">
        <f aca="true" t="shared" si="10" ref="E74:E84">D74-C74</f>
        <v>-62503</v>
      </c>
      <c r="F74" s="238">
        <f aca="true" t="shared" si="11" ref="F74:F84">IF(C74=0,0,E74/C74)</f>
        <v>-1</v>
      </c>
    </row>
    <row r="75" spans="1:6" ht="20.25" customHeight="1">
      <c r="A75" s="235">
        <v>2</v>
      </c>
      <c r="B75" s="236" t="s">
        <v>550</v>
      </c>
      <c r="C75" s="237">
        <v>47456</v>
      </c>
      <c r="D75" s="237">
        <v>0</v>
      </c>
      <c r="E75" s="237">
        <f t="shared" si="10"/>
        <v>-47456</v>
      </c>
      <c r="F75" s="238">
        <f t="shared" si="11"/>
        <v>-1</v>
      </c>
    </row>
    <row r="76" spans="1:6" ht="20.25" customHeight="1">
      <c r="A76" s="235">
        <v>3</v>
      </c>
      <c r="B76" s="236" t="s">
        <v>551</v>
      </c>
      <c r="C76" s="237">
        <v>105125</v>
      </c>
      <c r="D76" s="237">
        <v>1635</v>
      </c>
      <c r="E76" s="237">
        <f t="shared" si="10"/>
        <v>-103490</v>
      </c>
      <c r="F76" s="238">
        <f t="shared" si="11"/>
        <v>-0.9844470868014269</v>
      </c>
    </row>
    <row r="77" spans="1:6" ht="20.25" customHeight="1">
      <c r="A77" s="235">
        <v>4</v>
      </c>
      <c r="B77" s="236" t="s">
        <v>552</v>
      </c>
      <c r="C77" s="237">
        <v>11056</v>
      </c>
      <c r="D77" s="237">
        <v>257</v>
      </c>
      <c r="E77" s="237">
        <f t="shared" si="10"/>
        <v>-10799</v>
      </c>
      <c r="F77" s="238">
        <f t="shared" si="11"/>
        <v>-0.9767547033285094</v>
      </c>
    </row>
    <row r="78" spans="1:6" ht="20.25" customHeight="1">
      <c r="A78" s="235">
        <v>5</v>
      </c>
      <c r="B78" s="236" t="s">
        <v>488</v>
      </c>
      <c r="C78" s="239">
        <v>3</v>
      </c>
      <c r="D78" s="239">
        <v>0</v>
      </c>
      <c r="E78" s="239">
        <f t="shared" si="10"/>
        <v>-3</v>
      </c>
      <c r="F78" s="238">
        <f t="shared" si="11"/>
        <v>-1</v>
      </c>
    </row>
    <row r="79" spans="1:6" ht="20.25" customHeight="1">
      <c r="A79" s="235">
        <v>6</v>
      </c>
      <c r="B79" s="236" t="s">
        <v>487</v>
      </c>
      <c r="C79" s="239">
        <v>7</v>
      </c>
      <c r="D79" s="239">
        <v>0</v>
      </c>
      <c r="E79" s="239">
        <f t="shared" si="10"/>
        <v>-7</v>
      </c>
      <c r="F79" s="238">
        <f t="shared" si="11"/>
        <v>-1</v>
      </c>
    </row>
    <row r="80" spans="1:6" ht="20.25" customHeight="1">
      <c r="A80" s="235">
        <v>7</v>
      </c>
      <c r="B80" s="236" t="s">
        <v>553</v>
      </c>
      <c r="C80" s="239">
        <v>54</v>
      </c>
      <c r="D80" s="239">
        <v>2</v>
      </c>
      <c r="E80" s="239">
        <f t="shared" si="10"/>
        <v>-52</v>
      </c>
      <c r="F80" s="238">
        <f t="shared" si="11"/>
        <v>-0.9629629629629629</v>
      </c>
    </row>
    <row r="81" spans="1:6" ht="20.25" customHeight="1">
      <c r="A81" s="235">
        <v>8</v>
      </c>
      <c r="B81" s="236" t="s">
        <v>554</v>
      </c>
      <c r="C81" s="239">
        <v>39</v>
      </c>
      <c r="D81" s="239">
        <v>0</v>
      </c>
      <c r="E81" s="239">
        <f t="shared" si="10"/>
        <v>-39</v>
      </c>
      <c r="F81" s="238">
        <f t="shared" si="11"/>
        <v>-1</v>
      </c>
    </row>
    <row r="82" spans="1:6" ht="20.25" customHeight="1">
      <c r="A82" s="235">
        <v>9</v>
      </c>
      <c r="B82" s="236" t="s">
        <v>555</v>
      </c>
      <c r="C82" s="239">
        <v>5</v>
      </c>
      <c r="D82" s="239">
        <v>0</v>
      </c>
      <c r="E82" s="239">
        <f t="shared" si="10"/>
        <v>-5</v>
      </c>
      <c r="F82" s="238">
        <f t="shared" si="11"/>
        <v>-1</v>
      </c>
    </row>
    <row r="83" spans="1:6" s="240" customFormat="1" ht="39.75" customHeight="1">
      <c r="A83" s="245"/>
      <c r="B83" s="242" t="s">
        <v>556</v>
      </c>
      <c r="C83" s="243">
        <f>+C74+C76</f>
        <v>167628</v>
      </c>
      <c r="D83" s="243">
        <f>+D74+D76</f>
        <v>1635</v>
      </c>
      <c r="E83" s="243">
        <f t="shared" si="10"/>
        <v>-165993</v>
      </c>
      <c r="F83" s="244">
        <f t="shared" si="11"/>
        <v>-0.9902462595747727</v>
      </c>
    </row>
    <row r="84" spans="1:6" s="240" customFormat="1" ht="39.75" customHeight="1">
      <c r="A84" s="245"/>
      <c r="B84" s="242" t="s">
        <v>585</v>
      </c>
      <c r="C84" s="243">
        <f>+C75+C77</f>
        <v>58512</v>
      </c>
      <c r="D84" s="243">
        <f>+D75+D77</f>
        <v>257</v>
      </c>
      <c r="E84" s="243">
        <f t="shared" si="10"/>
        <v>-58255</v>
      </c>
      <c r="F84" s="244">
        <f t="shared" si="11"/>
        <v>-0.9956077385835385</v>
      </c>
    </row>
    <row r="85" spans="1:6" ht="42" customHeight="1">
      <c r="A85" s="227" t="s">
        <v>299</v>
      </c>
      <c r="B85" s="261" t="s">
        <v>592</v>
      </c>
      <c r="C85" s="232"/>
      <c r="D85" s="233"/>
      <c r="E85" s="227"/>
      <c r="F85" s="234"/>
    </row>
    <row r="86" spans="1:6" ht="20.25" customHeight="1">
      <c r="A86" s="235">
        <v>1</v>
      </c>
      <c r="B86" s="236" t="s">
        <v>549</v>
      </c>
      <c r="C86" s="237">
        <v>0</v>
      </c>
      <c r="D86" s="237">
        <v>2051582</v>
      </c>
      <c r="E86" s="237">
        <f aca="true" t="shared" si="12" ref="E86:E96">D86-C86</f>
        <v>2051582</v>
      </c>
      <c r="F86" s="238">
        <f aca="true" t="shared" si="13" ref="F86:F96">IF(C86=0,0,E86/C86)</f>
        <v>0</v>
      </c>
    </row>
    <row r="87" spans="1:6" ht="20.25" customHeight="1">
      <c r="A87" s="235">
        <v>2</v>
      </c>
      <c r="B87" s="236" t="s">
        <v>550</v>
      </c>
      <c r="C87" s="237">
        <v>0</v>
      </c>
      <c r="D87" s="237">
        <v>465596</v>
      </c>
      <c r="E87" s="237">
        <f t="shared" si="12"/>
        <v>465596</v>
      </c>
      <c r="F87" s="238">
        <f t="shared" si="13"/>
        <v>0</v>
      </c>
    </row>
    <row r="88" spans="1:6" ht="20.25" customHeight="1">
      <c r="A88" s="235">
        <v>3</v>
      </c>
      <c r="B88" s="236" t="s">
        <v>551</v>
      </c>
      <c r="C88" s="237">
        <v>0</v>
      </c>
      <c r="D88" s="237">
        <v>3085892</v>
      </c>
      <c r="E88" s="237">
        <f t="shared" si="12"/>
        <v>3085892</v>
      </c>
      <c r="F88" s="238">
        <f t="shared" si="13"/>
        <v>0</v>
      </c>
    </row>
    <row r="89" spans="1:6" ht="20.25" customHeight="1">
      <c r="A89" s="235">
        <v>4</v>
      </c>
      <c r="B89" s="236" t="s">
        <v>552</v>
      </c>
      <c r="C89" s="237">
        <v>0</v>
      </c>
      <c r="D89" s="237">
        <v>642694</v>
      </c>
      <c r="E89" s="237">
        <f t="shared" si="12"/>
        <v>642694</v>
      </c>
      <c r="F89" s="238">
        <f t="shared" si="13"/>
        <v>0</v>
      </c>
    </row>
    <row r="90" spans="1:6" ht="20.25" customHeight="1">
      <c r="A90" s="235">
        <v>5</v>
      </c>
      <c r="B90" s="236" t="s">
        <v>488</v>
      </c>
      <c r="C90" s="239">
        <v>0</v>
      </c>
      <c r="D90" s="239">
        <v>108</v>
      </c>
      <c r="E90" s="239">
        <f t="shared" si="12"/>
        <v>108</v>
      </c>
      <c r="F90" s="238">
        <f t="shared" si="13"/>
        <v>0</v>
      </c>
    </row>
    <row r="91" spans="1:6" ht="20.25" customHeight="1">
      <c r="A91" s="235">
        <v>6</v>
      </c>
      <c r="B91" s="236" t="s">
        <v>487</v>
      </c>
      <c r="C91" s="239">
        <v>0</v>
      </c>
      <c r="D91" s="239">
        <v>355</v>
      </c>
      <c r="E91" s="239">
        <f t="shared" si="12"/>
        <v>355</v>
      </c>
      <c r="F91" s="238">
        <f t="shared" si="13"/>
        <v>0</v>
      </c>
    </row>
    <row r="92" spans="1:6" ht="20.25" customHeight="1">
      <c r="A92" s="235">
        <v>7</v>
      </c>
      <c r="B92" s="236" t="s">
        <v>553</v>
      </c>
      <c r="C92" s="239">
        <v>0</v>
      </c>
      <c r="D92" s="239">
        <v>1258</v>
      </c>
      <c r="E92" s="239">
        <f t="shared" si="12"/>
        <v>1258</v>
      </c>
      <c r="F92" s="238">
        <f t="shared" si="13"/>
        <v>0</v>
      </c>
    </row>
    <row r="93" spans="1:6" ht="20.25" customHeight="1">
      <c r="A93" s="235">
        <v>8</v>
      </c>
      <c r="B93" s="236" t="s">
        <v>554</v>
      </c>
      <c r="C93" s="239">
        <v>0</v>
      </c>
      <c r="D93" s="239">
        <v>660</v>
      </c>
      <c r="E93" s="239">
        <f t="shared" si="12"/>
        <v>660</v>
      </c>
      <c r="F93" s="238">
        <f t="shared" si="13"/>
        <v>0</v>
      </c>
    </row>
    <row r="94" spans="1:6" ht="20.25" customHeight="1">
      <c r="A94" s="235">
        <v>9</v>
      </c>
      <c r="B94" s="236" t="s">
        <v>555</v>
      </c>
      <c r="C94" s="239">
        <v>0</v>
      </c>
      <c r="D94" s="239">
        <v>35</v>
      </c>
      <c r="E94" s="239">
        <f t="shared" si="12"/>
        <v>35</v>
      </c>
      <c r="F94" s="238">
        <f t="shared" si="13"/>
        <v>0</v>
      </c>
    </row>
    <row r="95" spans="1:6" s="240" customFormat="1" ht="39.75" customHeight="1">
      <c r="A95" s="245"/>
      <c r="B95" s="242" t="s">
        <v>556</v>
      </c>
      <c r="C95" s="243">
        <f>+C86+C88</f>
        <v>0</v>
      </c>
      <c r="D95" s="243">
        <f>+D86+D88</f>
        <v>5137474</v>
      </c>
      <c r="E95" s="243">
        <f t="shared" si="12"/>
        <v>5137474</v>
      </c>
      <c r="F95" s="244">
        <f t="shared" si="13"/>
        <v>0</v>
      </c>
    </row>
    <row r="96" spans="1:6" s="240" customFormat="1" ht="39.75" customHeight="1">
      <c r="A96" s="245"/>
      <c r="B96" s="242" t="s">
        <v>585</v>
      </c>
      <c r="C96" s="243">
        <f>+C87+C89</f>
        <v>0</v>
      </c>
      <c r="D96" s="243">
        <f>+D87+D89</f>
        <v>1108290</v>
      </c>
      <c r="E96" s="243">
        <f t="shared" si="12"/>
        <v>1108290</v>
      </c>
      <c r="F96" s="244">
        <f t="shared" si="13"/>
        <v>0</v>
      </c>
    </row>
    <row r="97" spans="1:6" ht="42" customHeight="1">
      <c r="A97" s="227" t="s">
        <v>302</v>
      </c>
      <c r="B97" s="261" t="s">
        <v>565</v>
      </c>
      <c r="C97" s="232"/>
      <c r="D97" s="233"/>
      <c r="E97" s="227"/>
      <c r="F97" s="234"/>
    </row>
    <row r="98" spans="1:6" ht="20.25" customHeight="1">
      <c r="A98" s="235">
        <v>1</v>
      </c>
      <c r="B98" s="236" t="s">
        <v>549</v>
      </c>
      <c r="C98" s="237">
        <v>0</v>
      </c>
      <c r="D98" s="237">
        <v>3056852</v>
      </c>
      <c r="E98" s="237">
        <f aca="true" t="shared" si="14" ref="E98:E108">D98-C98</f>
        <v>3056852</v>
      </c>
      <c r="F98" s="238">
        <f aca="true" t="shared" si="15" ref="F98:F108">IF(C98=0,0,E98/C98)</f>
        <v>0</v>
      </c>
    </row>
    <row r="99" spans="1:6" ht="20.25" customHeight="1">
      <c r="A99" s="235">
        <v>2</v>
      </c>
      <c r="B99" s="236" t="s">
        <v>550</v>
      </c>
      <c r="C99" s="237">
        <v>0</v>
      </c>
      <c r="D99" s="237">
        <v>965237</v>
      </c>
      <c r="E99" s="237">
        <f t="shared" si="14"/>
        <v>965237</v>
      </c>
      <c r="F99" s="238">
        <f t="shared" si="15"/>
        <v>0</v>
      </c>
    </row>
    <row r="100" spans="1:6" ht="20.25" customHeight="1">
      <c r="A100" s="235">
        <v>3</v>
      </c>
      <c r="B100" s="236" t="s">
        <v>551</v>
      </c>
      <c r="C100" s="237">
        <v>3796</v>
      </c>
      <c r="D100" s="237">
        <v>3688983</v>
      </c>
      <c r="E100" s="237">
        <f t="shared" si="14"/>
        <v>3685187</v>
      </c>
      <c r="F100" s="238">
        <f t="shared" si="15"/>
        <v>970.8079557428872</v>
      </c>
    </row>
    <row r="101" spans="1:6" ht="20.25" customHeight="1">
      <c r="A101" s="235">
        <v>4</v>
      </c>
      <c r="B101" s="236" t="s">
        <v>552</v>
      </c>
      <c r="C101" s="237">
        <v>644</v>
      </c>
      <c r="D101" s="237">
        <v>804891</v>
      </c>
      <c r="E101" s="237">
        <f t="shared" si="14"/>
        <v>804247</v>
      </c>
      <c r="F101" s="238">
        <f t="shared" si="15"/>
        <v>1248.8307453416148</v>
      </c>
    </row>
    <row r="102" spans="1:6" ht="20.25" customHeight="1">
      <c r="A102" s="235">
        <v>5</v>
      </c>
      <c r="B102" s="236" t="s">
        <v>488</v>
      </c>
      <c r="C102" s="239">
        <v>0</v>
      </c>
      <c r="D102" s="239">
        <v>136</v>
      </c>
      <c r="E102" s="239">
        <f t="shared" si="14"/>
        <v>136</v>
      </c>
      <c r="F102" s="238">
        <f t="shared" si="15"/>
        <v>0</v>
      </c>
    </row>
    <row r="103" spans="1:6" ht="20.25" customHeight="1">
      <c r="A103" s="235">
        <v>6</v>
      </c>
      <c r="B103" s="236" t="s">
        <v>487</v>
      </c>
      <c r="C103" s="239">
        <v>0</v>
      </c>
      <c r="D103" s="239">
        <v>497</v>
      </c>
      <c r="E103" s="239">
        <f t="shared" si="14"/>
        <v>497</v>
      </c>
      <c r="F103" s="238">
        <f t="shared" si="15"/>
        <v>0</v>
      </c>
    </row>
    <row r="104" spans="1:6" ht="20.25" customHeight="1">
      <c r="A104" s="235">
        <v>7</v>
      </c>
      <c r="B104" s="236" t="s">
        <v>553</v>
      </c>
      <c r="C104" s="239">
        <v>2</v>
      </c>
      <c r="D104" s="239">
        <v>1866</v>
      </c>
      <c r="E104" s="239">
        <f t="shared" si="14"/>
        <v>1864</v>
      </c>
      <c r="F104" s="238">
        <f t="shared" si="15"/>
        <v>932</v>
      </c>
    </row>
    <row r="105" spans="1:6" ht="20.25" customHeight="1">
      <c r="A105" s="235">
        <v>8</v>
      </c>
      <c r="B105" s="236" t="s">
        <v>554</v>
      </c>
      <c r="C105" s="239">
        <v>0</v>
      </c>
      <c r="D105" s="239">
        <v>762</v>
      </c>
      <c r="E105" s="239">
        <f t="shared" si="14"/>
        <v>762</v>
      </c>
      <c r="F105" s="238">
        <f t="shared" si="15"/>
        <v>0</v>
      </c>
    </row>
    <row r="106" spans="1:6" ht="20.25" customHeight="1">
      <c r="A106" s="235">
        <v>9</v>
      </c>
      <c r="B106" s="236" t="s">
        <v>555</v>
      </c>
      <c r="C106" s="239">
        <v>0</v>
      </c>
      <c r="D106" s="239">
        <v>33</v>
      </c>
      <c r="E106" s="239">
        <f t="shared" si="14"/>
        <v>33</v>
      </c>
      <c r="F106" s="238">
        <f t="shared" si="15"/>
        <v>0</v>
      </c>
    </row>
    <row r="107" spans="1:6" s="240" customFormat="1" ht="39.75" customHeight="1">
      <c r="A107" s="245"/>
      <c r="B107" s="242" t="s">
        <v>556</v>
      </c>
      <c r="C107" s="243">
        <f>+C98+C100</f>
        <v>3796</v>
      </c>
      <c r="D107" s="243">
        <f>+D98+D100</f>
        <v>6745835</v>
      </c>
      <c r="E107" s="243">
        <f t="shared" si="14"/>
        <v>6742039</v>
      </c>
      <c r="F107" s="244">
        <f t="shared" si="15"/>
        <v>1776.0903582718652</v>
      </c>
    </row>
    <row r="108" spans="1:6" s="240" customFormat="1" ht="39.75" customHeight="1">
      <c r="A108" s="245"/>
      <c r="B108" s="242" t="s">
        <v>585</v>
      </c>
      <c r="C108" s="243">
        <f>+C99+C101</f>
        <v>644</v>
      </c>
      <c r="D108" s="243">
        <f>+D99+D101</f>
        <v>1770128</v>
      </c>
      <c r="E108" s="243">
        <f t="shared" si="14"/>
        <v>1769484</v>
      </c>
      <c r="F108" s="244">
        <f t="shared" si="15"/>
        <v>2747.645962732919</v>
      </c>
    </row>
    <row r="109" spans="1:7" s="240" customFormat="1" ht="20.25" customHeight="1">
      <c r="A109" s="688" t="s">
        <v>159</v>
      </c>
      <c r="B109" s="689" t="s">
        <v>593</v>
      </c>
      <c r="C109" s="691"/>
      <c r="D109" s="692"/>
      <c r="E109" s="692"/>
      <c r="F109" s="693"/>
      <c r="G109" s="212"/>
    </row>
    <row r="110" spans="1:6" ht="20.25" customHeight="1">
      <c r="A110" s="680"/>
      <c r="B110" s="690"/>
      <c r="C110" s="686"/>
      <c r="D110" s="660"/>
      <c r="E110" s="660"/>
      <c r="F110" s="661"/>
    </row>
    <row r="111" spans="1:6" ht="20.25" customHeight="1">
      <c r="A111" s="262"/>
      <c r="B111" s="260"/>
      <c r="C111" s="230"/>
      <c r="D111" s="230"/>
      <c r="E111" s="230"/>
      <c r="F111" s="230"/>
    </row>
    <row r="112" spans="1:6" ht="20.25" customHeight="1">
      <c r="A112" s="249"/>
      <c r="B112" s="250" t="s">
        <v>575</v>
      </c>
      <c r="C112" s="243">
        <f aca="true" t="shared" si="16" ref="C112:D120">+C98+C86+C74+C62+C50+C38+C26+C14</f>
        <v>11140768</v>
      </c>
      <c r="D112" s="243">
        <f t="shared" si="16"/>
        <v>16718919</v>
      </c>
      <c r="E112" s="243">
        <f aca="true" t="shared" si="17" ref="E112:E122">D112-C112</f>
        <v>5578151</v>
      </c>
      <c r="F112" s="244">
        <f aca="true" t="shared" si="18" ref="F112:F122">IF(C112=0,0,E112/C112)</f>
        <v>0.5006971691718202</v>
      </c>
    </row>
    <row r="113" spans="1:6" ht="20.25" customHeight="1">
      <c r="A113" s="249"/>
      <c r="B113" s="250" t="s">
        <v>576</v>
      </c>
      <c r="C113" s="243">
        <f t="shared" si="16"/>
        <v>2424992</v>
      </c>
      <c r="D113" s="243">
        <f t="shared" si="16"/>
        <v>4621868</v>
      </c>
      <c r="E113" s="243">
        <f t="shared" si="17"/>
        <v>2196876</v>
      </c>
      <c r="F113" s="244">
        <f t="shared" si="18"/>
        <v>0.9059312360618097</v>
      </c>
    </row>
    <row r="114" spans="1:6" ht="20.25" customHeight="1">
      <c r="A114" s="249"/>
      <c r="B114" s="250" t="s">
        <v>577</v>
      </c>
      <c r="C114" s="243">
        <f t="shared" si="16"/>
        <v>20543587</v>
      </c>
      <c r="D114" s="243">
        <f t="shared" si="16"/>
        <v>28297687</v>
      </c>
      <c r="E114" s="243">
        <f t="shared" si="17"/>
        <v>7754100</v>
      </c>
      <c r="F114" s="244">
        <f t="shared" si="18"/>
        <v>0.37744625609928784</v>
      </c>
    </row>
    <row r="115" spans="1:6" ht="20.25" customHeight="1">
      <c r="A115" s="249"/>
      <c r="B115" s="250" t="s">
        <v>578</v>
      </c>
      <c r="C115" s="243">
        <f t="shared" si="16"/>
        <v>3874227</v>
      </c>
      <c r="D115" s="243">
        <f t="shared" si="16"/>
        <v>5003005</v>
      </c>
      <c r="E115" s="243">
        <f t="shared" si="17"/>
        <v>1128778</v>
      </c>
      <c r="F115" s="244">
        <f t="shared" si="18"/>
        <v>0.29135566914380595</v>
      </c>
    </row>
    <row r="116" spans="1:6" ht="20.25" customHeight="1">
      <c r="A116" s="249"/>
      <c r="B116" s="250" t="s">
        <v>579</v>
      </c>
      <c r="C116" s="252">
        <f t="shared" si="16"/>
        <v>746</v>
      </c>
      <c r="D116" s="252">
        <f t="shared" si="16"/>
        <v>922</v>
      </c>
      <c r="E116" s="252">
        <f t="shared" si="17"/>
        <v>176</v>
      </c>
      <c r="F116" s="244">
        <f t="shared" si="18"/>
        <v>0.2359249329758713</v>
      </c>
    </row>
    <row r="117" spans="1:6" ht="20.25" customHeight="1">
      <c r="A117" s="249"/>
      <c r="B117" s="250" t="s">
        <v>580</v>
      </c>
      <c r="C117" s="252">
        <f t="shared" si="16"/>
        <v>2192</v>
      </c>
      <c r="D117" s="252">
        <f t="shared" si="16"/>
        <v>3165</v>
      </c>
      <c r="E117" s="252">
        <f t="shared" si="17"/>
        <v>973</v>
      </c>
      <c r="F117" s="244">
        <f t="shared" si="18"/>
        <v>0.4438868613138686</v>
      </c>
    </row>
    <row r="118" spans="1:6" ht="39.75" customHeight="1">
      <c r="A118" s="249"/>
      <c r="B118" s="250" t="s">
        <v>581</v>
      </c>
      <c r="C118" s="252">
        <f t="shared" si="16"/>
        <v>10883</v>
      </c>
      <c r="D118" s="252">
        <f t="shared" si="16"/>
        <v>14218</v>
      </c>
      <c r="E118" s="252">
        <f t="shared" si="17"/>
        <v>3335</v>
      </c>
      <c r="F118" s="244">
        <f t="shared" si="18"/>
        <v>0.3064412386290545</v>
      </c>
    </row>
    <row r="119" spans="1:6" ht="39.75" customHeight="1">
      <c r="A119" s="249"/>
      <c r="B119" s="250" t="s">
        <v>582</v>
      </c>
      <c r="C119" s="252">
        <f t="shared" si="16"/>
        <v>5886</v>
      </c>
      <c r="D119" s="252">
        <f t="shared" si="16"/>
        <v>6696</v>
      </c>
      <c r="E119" s="252">
        <f t="shared" si="17"/>
        <v>810</v>
      </c>
      <c r="F119" s="244">
        <f t="shared" si="18"/>
        <v>0.13761467889908258</v>
      </c>
    </row>
    <row r="120" spans="1:6" ht="39.75" customHeight="1">
      <c r="A120" s="249"/>
      <c r="B120" s="250" t="s">
        <v>583</v>
      </c>
      <c r="C120" s="252">
        <f t="shared" si="16"/>
        <v>264</v>
      </c>
      <c r="D120" s="252">
        <f t="shared" si="16"/>
        <v>251</v>
      </c>
      <c r="E120" s="252">
        <f t="shared" si="17"/>
        <v>-13</v>
      </c>
      <c r="F120" s="244">
        <f t="shared" si="18"/>
        <v>-0.04924242424242424</v>
      </c>
    </row>
    <row r="121" spans="1:6" ht="39.75" customHeight="1">
      <c r="A121" s="249"/>
      <c r="B121" s="242" t="s">
        <v>556</v>
      </c>
      <c r="C121" s="243">
        <f>+C112+C114</f>
        <v>31684355</v>
      </c>
      <c r="D121" s="243">
        <f>+D112+D114</f>
        <v>45016606</v>
      </c>
      <c r="E121" s="243">
        <f t="shared" si="17"/>
        <v>13332251</v>
      </c>
      <c r="F121" s="244">
        <f t="shared" si="18"/>
        <v>0.42078341187630297</v>
      </c>
    </row>
    <row r="122" spans="1:6" ht="39.75" customHeight="1">
      <c r="A122" s="249"/>
      <c r="B122" s="242" t="s">
        <v>585</v>
      </c>
      <c r="C122" s="243">
        <f>+C113+C115</f>
        <v>6299219</v>
      </c>
      <c r="D122" s="243">
        <f>+D113+D115</f>
        <v>9624873</v>
      </c>
      <c r="E122" s="243">
        <f t="shared" si="17"/>
        <v>3325654</v>
      </c>
      <c r="F122" s="244">
        <f t="shared" si="18"/>
        <v>0.5279470359738246</v>
      </c>
    </row>
  </sheetData>
  <sheetProtection/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rintOptions/>
  <pageMargins left="0.25" right="0.25" top="0.5" bottom="0.5" header="0.25" footer="0.25"/>
  <pageSetup fitToHeight="2" horizontalDpi="1200" verticalDpi="1200" orientation="portrait" paperSize="9" scale="60" r:id="rId1"/>
  <headerFooter alignWithMargins="0">
    <oddHeader>&amp;LOFFICE OF HEALTH CARE ACCESS&amp;CTWELVE MONTHS ACTUAL FILING&amp;RSTAMFORD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28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140625" defaultRowHeight="24" customHeight="1"/>
  <cols>
    <col min="1" max="1" width="6.7109375" style="1" customWidth="1"/>
    <col min="2" max="2" width="45.7109375" style="1" customWidth="1"/>
    <col min="3" max="4" width="22.140625" style="1" bestFit="1" customWidth="1"/>
    <col min="5" max="5" width="19.00390625" style="2" customWidth="1"/>
    <col min="6" max="6" width="19.140625" style="2" customWidth="1"/>
    <col min="7" max="7" width="19.140625" style="1" customWidth="1"/>
    <col min="8" max="16384" width="9.140625" style="1" customWidth="1"/>
  </cols>
  <sheetData>
    <row r="1" spans="1:6" ht="24" customHeight="1">
      <c r="A1" s="3"/>
      <c r="B1" s="3" t="s">
        <v>594</v>
      </c>
      <c r="C1" s="3"/>
      <c r="D1" s="3"/>
      <c r="E1" s="4"/>
      <c r="F1" s="5"/>
    </row>
    <row r="2" spans="1:6" ht="24" customHeight="1">
      <c r="A2" s="3"/>
      <c r="B2" s="3" t="s">
        <v>116</v>
      </c>
      <c r="C2" s="3"/>
      <c r="D2" s="3"/>
      <c r="E2" s="4"/>
      <c r="F2" s="5"/>
    </row>
    <row r="3" spans="1:6" ht="24" customHeight="1">
      <c r="A3" s="3"/>
      <c r="B3" s="3" t="s">
        <v>117</v>
      </c>
      <c r="C3" s="3"/>
      <c r="D3" s="3"/>
      <c r="E3" s="4"/>
      <c r="F3" s="5"/>
    </row>
    <row r="4" spans="1:6" ht="24" customHeight="1">
      <c r="A4" s="3"/>
      <c r="B4" s="3" t="s">
        <v>595</v>
      </c>
      <c r="C4" s="4"/>
      <c r="D4" s="4"/>
      <c r="E4" s="4"/>
      <c r="F4" s="5"/>
    </row>
    <row r="5" spans="1:6" ht="15" customHeight="1">
      <c r="A5" s="3"/>
      <c r="B5" s="3"/>
      <c r="C5" s="3"/>
      <c r="D5" s="3"/>
      <c r="E5" s="4"/>
      <c r="F5" s="5"/>
    </row>
    <row r="6" spans="1:6" s="6" customFormat="1" ht="15.75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>
      <c r="A7" s="8"/>
      <c r="B7" s="9"/>
      <c r="C7" s="10" t="s">
        <v>119</v>
      </c>
      <c r="D7" s="10" t="s">
        <v>120</v>
      </c>
      <c r="E7" s="11" t="s">
        <v>121</v>
      </c>
      <c r="F7" s="11" t="s">
        <v>122</v>
      </c>
      <c r="H7" s="12"/>
    </row>
    <row r="8" spans="1:6" s="6" customFormat="1" ht="15.75" customHeight="1">
      <c r="A8" s="13" t="s">
        <v>123</v>
      </c>
      <c r="B8" s="13" t="s">
        <v>124</v>
      </c>
      <c r="C8" s="14" t="s">
        <v>125</v>
      </c>
      <c r="D8" s="14" t="s">
        <v>125</v>
      </c>
      <c r="E8" s="15" t="s">
        <v>126</v>
      </c>
      <c r="F8" s="15" t="s">
        <v>126</v>
      </c>
    </row>
    <row r="9" spans="1:6" s="6" customFormat="1" ht="15.75" customHeight="1">
      <c r="A9" s="13"/>
      <c r="B9" s="16"/>
      <c r="C9" s="13"/>
      <c r="D9" s="13"/>
      <c r="E9" s="11"/>
      <c r="F9" s="11"/>
    </row>
    <row r="10" spans="1:6" s="6" customFormat="1" ht="15.75" customHeight="1">
      <c r="A10" s="17" t="s">
        <v>127</v>
      </c>
      <c r="B10" s="16" t="s">
        <v>128</v>
      </c>
      <c r="C10" s="18"/>
      <c r="D10" s="18"/>
      <c r="E10" s="17"/>
      <c r="F10" s="17"/>
    </row>
    <row r="11" spans="1:6" s="6" customFormat="1" ht="15.75" customHeight="1">
      <c r="A11" s="17"/>
      <c r="B11" s="8"/>
      <c r="C11" s="17"/>
      <c r="D11" s="17"/>
      <c r="E11" s="19"/>
      <c r="F11" s="19"/>
    </row>
    <row r="12" spans="1:6" s="6" customFormat="1" ht="15.75" customHeight="1">
      <c r="A12" s="20" t="s">
        <v>129</v>
      </c>
      <c r="B12" s="16" t="s">
        <v>130</v>
      </c>
      <c r="C12" s="17"/>
      <c r="D12" s="17"/>
      <c r="E12" s="17"/>
      <c r="F12" s="17"/>
    </row>
    <row r="13" spans="1:6" ht="24" customHeight="1">
      <c r="A13" s="21">
        <v>1</v>
      </c>
      <c r="B13" s="22" t="s">
        <v>131</v>
      </c>
      <c r="C13" s="23">
        <v>15009000</v>
      </c>
      <c r="D13" s="23">
        <v>33269000</v>
      </c>
      <c r="E13" s="23">
        <f aca="true" t="shared" si="0" ref="E13:E22">D13-C13</f>
        <v>18260000</v>
      </c>
      <c r="F13" s="24">
        <f aca="true" t="shared" si="1" ref="F13:F22">IF(C13=0,0,E13/C13)</f>
        <v>1.216603371310547</v>
      </c>
    </row>
    <row r="14" spans="1:6" ht="24" customHeight="1">
      <c r="A14" s="21">
        <v>2</v>
      </c>
      <c r="B14" s="22" t="s">
        <v>132</v>
      </c>
      <c r="C14" s="23">
        <v>10121000</v>
      </c>
      <c r="D14" s="23">
        <v>166000</v>
      </c>
      <c r="E14" s="23">
        <f t="shared" si="0"/>
        <v>-9955000</v>
      </c>
      <c r="F14" s="24">
        <f t="shared" si="1"/>
        <v>-0.983598458650331</v>
      </c>
    </row>
    <row r="15" spans="1:6" ht="34.5" customHeight="1">
      <c r="A15" s="21">
        <v>3</v>
      </c>
      <c r="B15" s="22" t="s">
        <v>133</v>
      </c>
      <c r="C15" s="23">
        <v>50841000</v>
      </c>
      <c r="D15" s="23">
        <v>51211000</v>
      </c>
      <c r="E15" s="23">
        <f t="shared" si="0"/>
        <v>370000</v>
      </c>
      <c r="F15" s="24">
        <f t="shared" si="1"/>
        <v>0.007277590920713597</v>
      </c>
    </row>
    <row r="16" spans="1:6" ht="34.5" customHeight="1">
      <c r="A16" s="21">
        <v>4</v>
      </c>
      <c r="B16" s="22" t="s">
        <v>134</v>
      </c>
      <c r="C16" s="23">
        <v>2283000</v>
      </c>
      <c r="D16" s="23">
        <v>2100000</v>
      </c>
      <c r="E16" s="23">
        <f t="shared" si="0"/>
        <v>-183000</v>
      </c>
      <c r="F16" s="24">
        <f t="shared" si="1"/>
        <v>-0.08015768725361366</v>
      </c>
    </row>
    <row r="17" spans="1:6" ht="24" customHeight="1">
      <c r="A17" s="21">
        <v>5</v>
      </c>
      <c r="B17" s="22" t="s">
        <v>135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6" ht="24" customHeight="1">
      <c r="A18" s="21">
        <v>6</v>
      </c>
      <c r="B18" s="22" t="s">
        <v>136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6" ht="24" customHeight="1">
      <c r="A19" s="21">
        <v>7</v>
      </c>
      <c r="B19" s="22" t="s">
        <v>137</v>
      </c>
      <c r="C19" s="23">
        <v>5310000</v>
      </c>
      <c r="D19" s="23">
        <v>5178000</v>
      </c>
      <c r="E19" s="23">
        <f t="shared" si="0"/>
        <v>-132000</v>
      </c>
      <c r="F19" s="24">
        <f t="shared" si="1"/>
        <v>-0.024858757062146894</v>
      </c>
    </row>
    <row r="20" spans="1:6" ht="24" customHeight="1">
      <c r="A20" s="21">
        <v>8</v>
      </c>
      <c r="B20" s="22" t="s">
        <v>138</v>
      </c>
      <c r="C20" s="23">
        <v>2942000</v>
      </c>
      <c r="D20" s="23">
        <v>4649000</v>
      </c>
      <c r="E20" s="23">
        <f t="shared" si="0"/>
        <v>1707000</v>
      </c>
      <c r="F20" s="24">
        <f t="shared" si="1"/>
        <v>0.580217539089055</v>
      </c>
    </row>
    <row r="21" spans="1:6" ht="24" customHeight="1">
      <c r="A21" s="21">
        <v>9</v>
      </c>
      <c r="B21" s="22" t="s">
        <v>139</v>
      </c>
      <c r="C21" s="23">
        <v>5536000</v>
      </c>
      <c r="D21" s="23">
        <v>5356000</v>
      </c>
      <c r="E21" s="23">
        <f t="shared" si="0"/>
        <v>-180000</v>
      </c>
      <c r="F21" s="24">
        <f t="shared" si="1"/>
        <v>-0.03251445086705202</v>
      </c>
    </row>
    <row r="22" spans="1:6" ht="24" customHeight="1">
      <c r="A22" s="25"/>
      <c r="B22" s="26" t="s">
        <v>140</v>
      </c>
      <c r="C22" s="27">
        <f>SUM(C13:C21)</f>
        <v>92042000</v>
      </c>
      <c r="D22" s="27">
        <f>SUM(D13:D21)</f>
        <v>101929000</v>
      </c>
      <c r="E22" s="27">
        <f t="shared" si="0"/>
        <v>9887000</v>
      </c>
      <c r="F22" s="28">
        <f t="shared" si="1"/>
        <v>0.10741835249125399</v>
      </c>
    </row>
    <row r="23" spans="1:6" ht="15" customHeight="1">
      <c r="A23" s="21"/>
      <c r="B23" s="5"/>
      <c r="C23" s="263"/>
      <c r="D23" s="263"/>
      <c r="E23" s="263"/>
      <c r="F23" s="24"/>
    </row>
    <row r="24" spans="1:6" ht="24" customHeight="1">
      <c r="A24" s="29" t="s">
        <v>141</v>
      </c>
      <c r="B24" s="30" t="s">
        <v>142</v>
      </c>
      <c r="C24" s="31"/>
      <c r="D24" s="31"/>
      <c r="E24" s="31"/>
      <c r="F24" s="5"/>
    </row>
    <row r="25" spans="1:11" ht="24" customHeight="1">
      <c r="A25" s="21">
        <v>1</v>
      </c>
      <c r="B25" s="22" t="s">
        <v>143</v>
      </c>
      <c r="C25" s="23">
        <v>1699000</v>
      </c>
      <c r="D25" s="23">
        <v>1699000</v>
      </c>
      <c r="E25" s="23">
        <f>D25-C25</f>
        <v>0</v>
      </c>
      <c r="F25" s="24">
        <f>IF(C25=0,0,E25/C25)</f>
        <v>0</v>
      </c>
      <c r="H25" s="32"/>
      <c r="I25" s="33"/>
      <c r="J25" s="33"/>
      <c r="K25" s="34"/>
    </row>
    <row r="26" spans="1:11" ht="24" customHeight="1">
      <c r="A26" s="21">
        <v>2</v>
      </c>
      <c r="B26" s="22" t="s">
        <v>144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6" ht="24" customHeight="1">
      <c r="A27" s="21">
        <v>3</v>
      </c>
      <c r="B27" s="22" t="s">
        <v>145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6" ht="34.5" customHeight="1">
      <c r="A28" s="21">
        <v>4</v>
      </c>
      <c r="B28" s="22" t="s">
        <v>146</v>
      </c>
      <c r="C28" s="23">
        <v>46703000</v>
      </c>
      <c r="D28" s="23">
        <v>38486000</v>
      </c>
      <c r="E28" s="23">
        <f>D28-C28</f>
        <v>-8217000</v>
      </c>
      <c r="F28" s="24">
        <f>IF(C28=0,0,E28/C28)</f>
        <v>-0.17594158833479648</v>
      </c>
    </row>
    <row r="29" spans="1:6" ht="34.5" customHeight="1">
      <c r="A29" s="25"/>
      <c r="B29" s="26" t="s">
        <v>147</v>
      </c>
      <c r="C29" s="27">
        <f>SUM(C25:C28)</f>
        <v>48402000</v>
      </c>
      <c r="D29" s="27">
        <f>SUM(D25:D28)</f>
        <v>40185000</v>
      </c>
      <c r="E29" s="27">
        <f>D29-C29</f>
        <v>-8217000</v>
      </c>
      <c r="F29" s="28">
        <f>IF(C29=0,0,E29/C29)</f>
        <v>-0.16976571216065453</v>
      </c>
    </row>
    <row r="30" spans="1:6" ht="15" customHeight="1">
      <c r="A30" s="21"/>
      <c r="B30" s="5"/>
      <c r="C30" s="263"/>
      <c r="D30" s="263"/>
      <c r="E30" s="263"/>
      <c r="F30" s="24"/>
    </row>
    <row r="31" spans="1:6" ht="15" customHeight="1">
      <c r="A31" s="21">
        <v>5</v>
      </c>
      <c r="B31" s="22" t="s">
        <v>148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6" ht="24" customHeight="1">
      <c r="A32" s="21">
        <v>6</v>
      </c>
      <c r="B32" s="22" t="s">
        <v>149</v>
      </c>
      <c r="C32" s="23">
        <v>85821000</v>
      </c>
      <c r="D32" s="23">
        <v>93853000</v>
      </c>
      <c r="E32" s="23">
        <f>D32-C32</f>
        <v>8032000</v>
      </c>
      <c r="F32" s="24">
        <f>IF(C32=0,0,E32/C32)</f>
        <v>0.09359014693373417</v>
      </c>
    </row>
    <row r="33" spans="1:6" ht="24" customHeight="1">
      <c r="A33" s="21">
        <v>7</v>
      </c>
      <c r="B33" s="22" t="s">
        <v>150</v>
      </c>
      <c r="C33" s="23">
        <v>10208000</v>
      </c>
      <c r="D33" s="23">
        <v>8696000</v>
      </c>
      <c r="E33" s="23">
        <f>D33-C33</f>
        <v>-1512000</v>
      </c>
      <c r="F33" s="24">
        <f>IF(C33=0,0,E33/C33)</f>
        <v>-0.1481191222570533</v>
      </c>
    </row>
    <row r="34" spans="1:6" ht="15" customHeight="1">
      <c r="A34" s="21"/>
      <c r="B34" s="5"/>
      <c r="C34" s="263"/>
      <c r="D34" s="263"/>
      <c r="E34" s="263"/>
      <c r="F34" s="24"/>
    </row>
    <row r="35" spans="1:6" ht="24" customHeight="1">
      <c r="A35" s="29" t="s">
        <v>151</v>
      </c>
      <c r="B35" s="30" t="s">
        <v>152</v>
      </c>
      <c r="C35" s="263"/>
      <c r="D35" s="263"/>
      <c r="E35" s="263"/>
      <c r="F35" s="24"/>
    </row>
    <row r="36" spans="1:6" ht="24" customHeight="1">
      <c r="A36" s="21">
        <v>1</v>
      </c>
      <c r="B36" s="22" t="s">
        <v>153</v>
      </c>
      <c r="C36" s="23">
        <v>559178000</v>
      </c>
      <c r="D36" s="23">
        <v>612852000</v>
      </c>
      <c r="E36" s="23">
        <f>D36-C36</f>
        <v>53674000</v>
      </c>
      <c r="F36" s="24">
        <f>IF(C36=0,0,E36/C36)</f>
        <v>0.09598732425095408</v>
      </c>
    </row>
    <row r="37" spans="1:6" ht="24" customHeight="1">
      <c r="A37" s="21">
        <v>2</v>
      </c>
      <c r="B37" s="22" t="s">
        <v>154</v>
      </c>
      <c r="C37" s="23">
        <v>271807000</v>
      </c>
      <c r="D37" s="23">
        <v>304615000</v>
      </c>
      <c r="E37" s="23">
        <f>D37-C37</f>
        <v>32808000</v>
      </c>
      <c r="F37" s="23">
        <f>IF(C37=0,0,E37/C37)</f>
        <v>0.12070329314550397</v>
      </c>
    </row>
    <row r="38" spans="1:6" ht="24" customHeight="1">
      <c r="A38" s="25"/>
      <c r="B38" s="26" t="s">
        <v>155</v>
      </c>
      <c r="C38" s="27">
        <f>C36-C37</f>
        <v>287371000</v>
      </c>
      <c r="D38" s="27">
        <f>D36-D37</f>
        <v>308237000</v>
      </c>
      <c r="E38" s="27">
        <f>D38-C38</f>
        <v>20866000</v>
      </c>
      <c r="F38" s="28">
        <f>IF(C38=0,0,E38/C38)</f>
        <v>0.0726099710826771</v>
      </c>
    </row>
    <row r="39" spans="1:6" ht="15" customHeight="1">
      <c r="A39" s="21"/>
      <c r="B39" s="5"/>
      <c r="C39" s="263"/>
      <c r="D39" s="263"/>
      <c r="E39" s="263"/>
      <c r="F39" s="24"/>
    </row>
    <row r="40" spans="1:6" ht="24" customHeight="1">
      <c r="A40" s="21">
        <v>3</v>
      </c>
      <c r="B40" s="22" t="s">
        <v>156</v>
      </c>
      <c r="C40" s="23">
        <v>29577000</v>
      </c>
      <c r="D40" s="23">
        <v>14801000</v>
      </c>
      <c r="E40" s="23">
        <f>D40-C40</f>
        <v>-14776000</v>
      </c>
      <c r="F40" s="24">
        <f>IF(C40=0,0,E40/C40)</f>
        <v>-0.49957737431112015</v>
      </c>
    </row>
    <row r="41" spans="1:6" ht="24" customHeight="1">
      <c r="A41" s="25"/>
      <c r="B41" s="26" t="s">
        <v>157</v>
      </c>
      <c r="C41" s="27">
        <f>+C38+C40</f>
        <v>316948000</v>
      </c>
      <c r="D41" s="27">
        <f>+D38+D40</f>
        <v>323038000</v>
      </c>
      <c r="E41" s="27">
        <f>D41-C41</f>
        <v>6090000</v>
      </c>
      <c r="F41" s="28">
        <f>IF(C41=0,0,E41/C41)</f>
        <v>0.019214508373613336</v>
      </c>
    </row>
    <row r="42" spans="1:6" ht="24" customHeight="1">
      <c r="A42" s="21"/>
      <c r="B42" s="22"/>
      <c r="C42" s="263"/>
      <c r="D42" s="263"/>
      <c r="E42" s="263"/>
      <c r="F42" s="24"/>
    </row>
    <row r="43" spans="1:6" ht="24" customHeight="1">
      <c r="A43" s="25"/>
      <c r="B43" s="26" t="s">
        <v>158</v>
      </c>
      <c r="C43" s="27">
        <f>C22+C29+C31+C32+C33+C41</f>
        <v>553421000</v>
      </c>
      <c r="D43" s="27">
        <f>D22+D29+D31+D32+D33+D41</f>
        <v>567701000</v>
      </c>
      <c r="E43" s="27">
        <f>D43-C43</f>
        <v>14280000</v>
      </c>
      <c r="F43" s="28">
        <f>IF(C43=0,0,E43/C43)</f>
        <v>0.025803140827688142</v>
      </c>
    </row>
    <row r="44" spans="1:6" ht="15.75" customHeight="1">
      <c r="A44" s="35"/>
      <c r="B44" s="3"/>
      <c r="C44" s="36"/>
      <c r="D44" s="36"/>
      <c r="E44" s="37"/>
      <c r="F44" s="5"/>
    </row>
    <row r="45" spans="1:8" s="6" customFormat="1" ht="15.75" customHeight="1">
      <c r="A45" s="13"/>
      <c r="B45" s="16"/>
      <c r="C45" s="38"/>
      <c r="D45" s="38"/>
      <c r="E45" s="38"/>
      <c r="F45" s="13"/>
      <c r="H45" s="12"/>
    </row>
    <row r="46" spans="1:6" s="6" customFormat="1" ht="15.75" customHeight="1">
      <c r="A46" s="17" t="s">
        <v>159</v>
      </c>
      <c r="B46" s="16" t="s">
        <v>160</v>
      </c>
      <c r="C46" s="39"/>
      <c r="D46" s="39"/>
      <c r="E46" s="40"/>
      <c r="F46" s="17"/>
    </row>
    <row r="47" spans="1:6" ht="16.5" customHeight="1">
      <c r="A47" s="17"/>
      <c r="B47" s="8"/>
      <c r="C47" s="39"/>
      <c r="D47" s="39"/>
      <c r="E47" s="40"/>
      <c r="F47" s="17"/>
    </row>
    <row r="48" spans="1:6" ht="15.75" customHeight="1">
      <c r="A48" s="29" t="s">
        <v>129</v>
      </c>
      <c r="B48" s="41" t="s">
        <v>161</v>
      </c>
      <c r="C48" s="263"/>
      <c r="D48" s="263"/>
      <c r="E48" s="263"/>
      <c r="F48" s="24"/>
    </row>
    <row r="49" spans="1:6" ht="24" customHeight="1">
      <c r="A49" s="21">
        <v>1</v>
      </c>
      <c r="B49" s="22" t="s">
        <v>162</v>
      </c>
      <c r="C49" s="23">
        <v>34606000</v>
      </c>
      <c r="D49" s="23">
        <v>43333000</v>
      </c>
      <c r="E49" s="23">
        <f aca="true" t="shared" si="2" ref="E49:E56">D49-C49</f>
        <v>8727000</v>
      </c>
      <c r="F49" s="24">
        <f aca="true" t="shared" si="3" ref="F49:F56">IF(C49=0,0,E49/C49)</f>
        <v>0.2521817025949257</v>
      </c>
    </row>
    <row r="50" spans="1:6" ht="24" customHeight="1">
      <c r="A50" s="21">
        <f aca="true" t="shared" si="4" ref="A50:A55">1+A49</f>
        <v>2</v>
      </c>
      <c r="B50" s="22" t="s">
        <v>163</v>
      </c>
      <c r="C50" s="23">
        <v>8193000</v>
      </c>
      <c r="D50" s="23">
        <v>9545000</v>
      </c>
      <c r="E50" s="23">
        <f t="shared" si="2"/>
        <v>1352000</v>
      </c>
      <c r="F50" s="24">
        <f t="shared" si="3"/>
        <v>0.16501891858903942</v>
      </c>
    </row>
    <row r="51" spans="1:6" ht="24" customHeight="1">
      <c r="A51" s="21">
        <f t="shared" si="4"/>
        <v>3</v>
      </c>
      <c r="B51" s="22" t="s">
        <v>164</v>
      </c>
      <c r="C51" s="23">
        <v>2758000</v>
      </c>
      <c r="D51" s="23">
        <v>7995000</v>
      </c>
      <c r="E51" s="23">
        <f t="shared" si="2"/>
        <v>5237000</v>
      </c>
      <c r="F51" s="24">
        <f t="shared" si="3"/>
        <v>1.8988397389412617</v>
      </c>
    </row>
    <row r="52" spans="1:6" ht="24" customHeight="1">
      <c r="A52" s="21">
        <f t="shared" si="4"/>
        <v>4</v>
      </c>
      <c r="B52" s="22" t="s">
        <v>165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>
      <c r="A53" s="21">
        <f t="shared" si="4"/>
        <v>5</v>
      </c>
      <c r="B53" s="22" t="s">
        <v>166</v>
      </c>
      <c r="C53" s="23">
        <v>9256000</v>
      </c>
      <c r="D53" s="23">
        <v>6808000</v>
      </c>
      <c r="E53" s="23">
        <f t="shared" si="2"/>
        <v>-2448000</v>
      </c>
      <c r="F53" s="24">
        <f t="shared" si="3"/>
        <v>-0.2644770959377701</v>
      </c>
    </row>
    <row r="54" spans="1:6" ht="24" customHeight="1">
      <c r="A54" s="21">
        <f t="shared" si="4"/>
        <v>6</v>
      </c>
      <c r="B54" s="22" t="s">
        <v>167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>
      <c r="A55" s="21">
        <f t="shared" si="4"/>
        <v>7</v>
      </c>
      <c r="B55" s="22" t="s">
        <v>168</v>
      </c>
      <c r="C55" s="23">
        <v>17025000</v>
      </c>
      <c r="D55" s="23">
        <v>8734000</v>
      </c>
      <c r="E55" s="23">
        <f t="shared" si="2"/>
        <v>-8291000</v>
      </c>
      <c r="F55" s="24">
        <f t="shared" si="3"/>
        <v>-0.48698972099853155</v>
      </c>
    </row>
    <row r="56" spans="1:6" ht="24" customHeight="1">
      <c r="A56" s="25"/>
      <c r="B56" s="26" t="s">
        <v>169</v>
      </c>
      <c r="C56" s="27">
        <f>SUM(C49:C55)</f>
        <v>71838000</v>
      </c>
      <c r="D56" s="27">
        <f>SUM(D49:D55)</f>
        <v>76415000</v>
      </c>
      <c r="E56" s="27">
        <f t="shared" si="2"/>
        <v>4577000</v>
      </c>
      <c r="F56" s="28">
        <f t="shared" si="3"/>
        <v>0.06371279824048554</v>
      </c>
    </row>
    <row r="57" spans="1:6" ht="24" customHeight="1">
      <c r="A57" s="21"/>
      <c r="B57" s="26"/>
      <c r="C57" s="42"/>
      <c r="D57" s="42"/>
      <c r="E57" s="42"/>
      <c r="F57" s="28"/>
    </row>
    <row r="58" spans="1:6" ht="15.75" customHeight="1">
      <c r="A58" s="29" t="s">
        <v>141</v>
      </c>
      <c r="B58" s="41" t="s">
        <v>170</v>
      </c>
      <c r="C58" s="263"/>
      <c r="D58" s="263"/>
      <c r="E58" s="263"/>
      <c r="F58" s="24"/>
    </row>
    <row r="59" spans="1:6" ht="24" customHeight="1">
      <c r="A59" s="21">
        <v>1</v>
      </c>
      <c r="B59" s="22" t="s">
        <v>171</v>
      </c>
      <c r="C59" s="23">
        <v>132631000</v>
      </c>
      <c r="D59" s="23">
        <v>131527000</v>
      </c>
      <c r="E59" s="23">
        <f>D59-C59</f>
        <v>-1104000</v>
      </c>
      <c r="F59" s="24">
        <f>IF(C59=0,0,E59/C59)</f>
        <v>-0.008323845858057318</v>
      </c>
    </row>
    <row r="60" spans="1:6" ht="24" customHeight="1">
      <c r="A60" s="21">
        <v>2</v>
      </c>
      <c r="B60" s="22" t="s">
        <v>172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>
      <c r="A61" s="25"/>
      <c r="B61" s="26" t="s">
        <v>173</v>
      </c>
      <c r="C61" s="27">
        <f>SUM(C59:C60)</f>
        <v>132631000</v>
      </c>
      <c r="D61" s="27">
        <f>SUM(D59:D60)</f>
        <v>131527000</v>
      </c>
      <c r="E61" s="27">
        <f>D61-C61</f>
        <v>-1104000</v>
      </c>
      <c r="F61" s="28">
        <f>IF(C61=0,0,E61/C61)</f>
        <v>-0.008323845858057318</v>
      </c>
    </row>
    <row r="62" spans="1:6" ht="15" customHeight="1">
      <c r="A62" s="21"/>
      <c r="B62" s="5"/>
      <c r="C62" s="263"/>
      <c r="D62" s="263"/>
      <c r="E62" s="263"/>
      <c r="F62" s="24"/>
    </row>
    <row r="63" spans="1:6" ht="24" customHeight="1">
      <c r="A63" s="21">
        <v>3</v>
      </c>
      <c r="B63" s="22" t="s">
        <v>174</v>
      </c>
      <c r="C63" s="23">
        <v>33165000</v>
      </c>
      <c r="D63" s="23">
        <v>73775000</v>
      </c>
      <c r="E63" s="23">
        <f>D63-C63</f>
        <v>40610000</v>
      </c>
      <c r="F63" s="24">
        <f>IF(C63=0,0,E63/C63)</f>
        <v>1.2244836423940901</v>
      </c>
    </row>
    <row r="64" spans="1:6" ht="24" customHeight="1">
      <c r="A64" s="21">
        <v>4</v>
      </c>
      <c r="B64" s="22" t="s">
        <v>175</v>
      </c>
      <c r="C64" s="23">
        <v>122059000</v>
      </c>
      <c r="D64" s="23">
        <v>117598000</v>
      </c>
      <c r="E64" s="23">
        <f>D64-C64</f>
        <v>-4461000</v>
      </c>
      <c r="F64" s="24">
        <f>IF(C64=0,0,E64/C64)</f>
        <v>-0.03654789896689306</v>
      </c>
    </row>
    <row r="65" spans="1:6" ht="24" customHeight="1">
      <c r="A65" s="25"/>
      <c r="B65" s="26" t="s">
        <v>176</v>
      </c>
      <c r="C65" s="27">
        <f>SUM(C61:C64)</f>
        <v>287855000</v>
      </c>
      <c r="D65" s="27">
        <f>SUM(D61:D64)</f>
        <v>322900000</v>
      </c>
      <c r="E65" s="27">
        <f>D65-C65</f>
        <v>35045000</v>
      </c>
      <c r="F65" s="28">
        <f>IF(C65=0,0,E65/C65)</f>
        <v>0.12174532316617742</v>
      </c>
    </row>
    <row r="66" spans="2:6" ht="24" customHeight="1">
      <c r="B66" s="5"/>
      <c r="C66" s="263"/>
      <c r="D66" s="263"/>
      <c r="E66" s="263"/>
      <c r="F66" s="24"/>
    </row>
    <row r="67" spans="1:6" s="43" customFormat="1" ht="15" customHeight="1">
      <c r="A67" s="44">
        <v>5</v>
      </c>
      <c r="B67" s="45" t="s">
        <v>177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2:6" ht="15" customHeight="1">
      <c r="B68" s="5"/>
      <c r="C68" s="263"/>
      <c r="D68" s="263"/>
      <c r="E68" s="263"/>
      <c r="F68" s="24"/>
    </row>
    <row r="69" spans="1:6" ht="15.75" customHeight="1">
      <c r="A69" s="29" t="s">
        <v>151</v>
      </c>
      <c r="B69" s="41" t="s">
        <v>178</v>
      </c>
      <c r="C69" s="263"/>
      <c r="D69" s="263"/>
      <c r="E69" s="263"/>
      <c r="F69" s="24"/>
    </row>
    <row r="70" spans="1:6" ht="24" customHeight="1">
      <c r="A70" s="21">
        <v>1</v>
      </c>
      <c r="B70" s="22" t="s">
        <v>179</v>
      </c>
      <c r="C70" s="23">
        <v>161263000</v>
      </c>
      <c r="D70" s="23">
        <v>137780000</v>
      </c>
      <c r="E70" s="23">
        <f>D70-C70</f>
        <v>-23483000</v>
      </c>
      <c r="F70" s="24">
        <f>IF(C70=0,0,E70/C70)</f>
        <v>-0.14561926790398294</v>
      </c>
    </row>
    <row r="71" spans="1:6" ht="24" customHeight="1">
      <c r="A71" s="21">
        <v>2</v>
      </c>
      <c r="B71" s="22" t="s">
        <v>180</v>
      </c>
      <c r="C71" s="23">
        <v>25520000</v>
      </c>
      <c r="D71" s="23">
        <v>22576000</v>
      </c>
      <c r="E71" s="23">
        <f>D71-C71</f>
        <v>-2944000</v>
      </c>
      <c r="F71" s="24">
        <f>IF(C71=0,0,E71/C71)</f>
        <v>-0.11536050156739812</v>
      </c>
    </row>
    <row r="72" spans="1:6" ht="24" customHeight="1">
      <c r="A72" s="21">
        <v>3</v>
      </c>
      <c r="B72" s="22" t="s">
        <v>181</v>
      </c>
      <c r="C72" s="23">
        <v>6945000</v>
      </c>
      <c r="D72" s="23">
        <v>8030000</v>
      </c>
      <c r="E72" s="23">
        <f>D72-C72</f>
        <v>1085000</v>
      </c>
      <c r="F72" s="24">
        <f>IF(C72=0,0,E72/C72)</f>
        <v>0.156227501799856</v>
      </c>
    </row>
    <row r="73" spans="1:6" ht="24" customHeight="1">
      <c r="A73" s="21"/>
      <c r="B73" s="26" t="s">
        <v>182</v>
      </c>
      <c r="C73" s="27">
        <f>SUM(C70:C72)</f>
        <v>193728000</v>
      </c>
      <c r="D73" s="27">
        <f>SUM(D70:D72)</f>
        <v>168386000</v>
      </c>
      <c r="E73" s="27">
        <f>D73-C73</f>
        <v>-25342000</v>
      </c>
      <c r="F73" s="28">
        <f>IF(C73=0,0,E73/C73)</f>
        <v>-0.1308122728774364</v>
      </c>
    </row>
    <row r="74" spans="2:6" ht="24" customHeight="1">
      <c r="B74" s="26"/>
      <c r="C74" s="263"/>
      <c r="D74" s="263"/>
      <c r="E74" s="263"/>
      <c r="F74" s="24"/>
    </row>
    <row r="75" spans="1:6" ht="15.75" customHeight="1">
      <c r="A75" s="21"/>
      <c r="B75" s="26" t="s">
        <v>183</v>
      </c>
      <c r="C75" s="27">
        <f>C56+C65+C67+C73</f>
        <v>553421000</v>
      </c>
      <c r="D75" s="27">
        <f>D56+D65+D67+D73</f>
        <v>567701000</v>
      </c>
      <c r="E75" s="27">
        <f>D75-C75</f>
        <v>14280000</v>
      </c>
      <c r="F75" s="28">
        <f>IF(C75=0,0,E75/C75)</f>
        <v>0.025803140827688142</v>
      </c>
    </row>
    <row r="76" spans="2:6" ht="24" customHeight="1">
      <c r="B76" s="26"/>
      <c r="C76" s="42"/>
      <c r="D76" s="42"/>
      <c r="E76" s="42"/>
      <c r="F76" s="28"/>
    </row>
    <row r="77" spans="1:6" ht="24" customHeight="1">
      <c r="A77" s="29"/>
      <c r="B77" s="47"/>
      <c r="C77" s="27"/>
      <c r="D77" s="27"/>
      <c r="E77" s="27"/>
      <c r="F77" s="28"/>
    </row>
    <row r="78" spans="1:6" ht="24" customHeight="1">
      <c r="A78" s="21"/>
      <c r="B78" s="48"/>
      <c r="C78" s="49"/>
      <c r="D78" s="49"/>
      <c r="E78" s="49"/>
      <c r="F78" s="28"/>
    </row>
    <row r="79" spans="1:6" ht="47.25" customHeight="1">
      <c r="A79" s="21"/>
      <c r="B79" s="50"/>
      <c r="C79" s="51"/>
      <c r="D79" s="51"/>
      <c r="E79" s="52"/>
      <c r="F79" s="28"/>
    </row>
    <row r="80" spans="1:6" ht="24" customHeight="1">
      <c r="A80" s="21"/>
      <c r="B80" s="26"/>
      <c r="C80" s="27"/>
      <c r="D80" s="27"/>
      <c r="E80" s="53"/>
      <c r="F80" s="28"/>
    </row>
    <row r="81" spans="1:6" ht="24" customHeight="1">
      <c r="A81" s="21"/>
      <c r="B81" s="26"/>
      <c r="C81" s="27"/>
      <c r="D81" s="27"/>
      <c r="E81" s="53"/>
      <c r="F81" s="28"/>
    </row>
    <row r="82" spans="1:6" ht="24" customHeight="1">
      <c r="A82" s="21"/>
      <c r="B82" s="21"/>
      <c r="C82" s="54"/>
      <c r="D82" s="5"/>
      <c r="E82" s="5"/>
      <c r="F82" s="5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spans="7:8" ht="12.75" customHeight="1">
      <c r="G100" s="6"/>
      <c r="H100" s="12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spans="7:8" ht="12.75" customHeight="1">
      <c r="G118" s="6"/>
      <c r="H118" s="12"/>
    </row>
    <row r="119" ht="12.75" customHeight="1"/>
    <row r="120" ht="12.75" customHeight="1"/>
    <row r="121" ht="12.75" customHeight="1"/>
    <row r="122" ht="12.75" customHeight="1"/>
    <row r="123" ht="14.25" customHeight="1"/>
    <row r="124" ht="15.75" customHeight="1"/>
    <row r="125" ht="9.75" customHeight="1"/>
    <row r="126" ht="15.75" customHeight="1"/>
    <row r="127" ht="12.75" customHeight="1"/>
    <row r="128" spans="7:8" ht="12.75" customHeight="1">
      <c r="G128" s="6"/>
      <c r="H128" s="12"/>
    </row>
    <row r="129" ht="12.75" customHeight="1"/>
    <row r="130" ht="12.75" customHeight="1"/>
    <row r="131" ht="12.75" customHeight="1"/>
    <row r="132" ht="12.75" customHeight="1"/>
    <row r="133" ht="12.75" customHeight="1"/>
  </sheetData>
  <sheetProtection/>
  <printOptions gridLines="1"/>
  <pageMargins left="0.25" right="0.25" top="0.5" bottom="0.5" header="0.25" footer="0.25"/>
  <pageSetup fitToHeight="2" horizontalDpi="1200" verticalDpi="1200" orientation="portrait" paperSize="9" scale="74" r:id="rId1"/>
  <headerFooter alignWithMargins="0">
    <oddHeader>&amp;LOFFICE OF HEALTH CARE ACCESS&amp;CTWELVE MONTHS ACTUAL FILING&amp;RSTAMFORD HEALTH SYSTEM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49"/>
  <sheetViews>
    <sheetView zoomScale="75" zoomScaleNormal="75" zoomScaleSheetLayoutView="75" zoomScalePageLayoutView="0" workbookViewId="0" topLeftCell="A1">
      <selection activeCell="A1" sqref="A1:F1"/>
    </sheetView>
  </sheetViews>
  <sheetFormatPr defaultColWidth="9.140625" defaultRowHeight="22.5" customHeight="1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 customWidth="1"/>
  </cols>
  <sheetData>
    <row r="1" spans="1:6" ht="22.5" customHeight="1">
      <c r="A1" s="695" t="s">
        <v>594</v>
      </c>
      <c r="B1" s="696"/>
      <c r="C1" s="696"/>
      <c r="D1" s="696"/>
      <c r="E1" s="696"/>
      <c r="F1" s="697"/>
    </row>
    <row r="2" spans="1:6" ht="22.5" customHeight="1">
      <c r="A2" s="695" t="s">
        <v>116</v>
      </c>
      <c r="B2" s="696"/>
      <c r="C2" s="696"/>
      <c r="D2" s="696"/>
      <c r="E2" s="696"/>
      <c r="F2" s="697"/>
    </row>
    <row r="3" spans="1:6" ht="22.5" customHeight="1">
      <c r="A3" s="695" t="s">
        <v>117</v>
      </c>
      <c r="B3" s="696"/>
      <c r="C3" s="696"/>
      <c r="D3" s="696"/>
      <c r="E3" s="696"/>
      <c r="F3" s="697"/>
    </row>
    <row r="4" spans="1:6" ht="22.5" customHeight="1">
      <c r="A4" s="695" t="s">
        <v>596</v>
      </c>
      <c r="B4" s="696"/>
      <c r="C4" s="696"/>
      <c r="D4" s="696"/>
      <c r="E4" s="696"/>
      <c r="F4" s="697"/>
    </row>
    <row r="5" spans="1:6" ht="22.5" customHeight="1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6" ht="15.75" customHeight="1">
      <c r="A6" s="60"/>
      <c r="B6" s="58"/>
      <c r="C6" s="10" t="s">
        <v>119</v>
      </c>
      <c r="D6" s="10" t="s">
        <v>120</v>
      </c>
      <c r="E6" s="59" t="s">
        <v>121</v>
      </c>
      <c r="F6" s="59" t="s">
        <v>122</v>
      </c>
    </row>
    <row r="7" spans="1:8" ht="15.75" customHeight="1">
      <c r="A7" s="61" t="s">
        <v>123</v>
      </c>
      <c r="B7" s="62" t="s">
        <v>124</v>
      </c>
      <c r="C7" s="14" t="s">
        <v>125</v>
      </c>
      <c r="D7" s="14" t="s">
        <v>125</v>
      </c>
      <c r="E7" s="63" t="s">
        <v>126</v>
      </c>
      <c r="F7" s="63" t="s">
        <v>126</v>
      </c>
      <c r="G7" s="64"/>
      <c r="H7" s="65"/>
    </row>
    <row r="8" spans="1:6" ht="15.75" customHeight="1">
      <c r="A8" s="66"/>
      <c r="B8" s="66"/>
      <c r="C8" s="67"/>
      <c r="D8" s="67"/>
      <c r="E8" s="68"/>
      <c r="F8" s="68"/>
    </row>
    <row r="9" spans="1:6" ht="12.75" customHeight="1">
      <c r="A9" s="1"/>
      <c r="B9" s="1"/>
      <c r="C9" s="1"/>
      <c r="D9" s="1"/>
      <c r="E9" s="2"/>
      <c r="F9" s="2"/>
    </row>
    <row r="10" spans="1:6" ht="15.75" customHeight="1">
      <c r="A10" s="29"/>
      <c r="B10" s="30"/>
      <c r="C10" s="67"/>
      <c r="D10" s="67"/>
      <c r="E10" s="69"/>
      <c r="F10" s="69"/>
    </row>
    <row r="11" spans="1:6" ht="15.75" customHeight="1">
      <c r="A11" s="29" t="s">
        <v>129</v>
      </c>
      <c r="B11" s="30" t="s">
        <v>185</v>
      </c>
      <c r="C11" s="67"/>
      <c r="D11" s="67"/>
      <c r="E11" s="69"/>
      <c r="F11" s="69"/>
    </row>
    <row r="12" spans="1:6" ht="22.5" customHeight="1">
      <c r="A12" s="25">
        <v>1</v>
      </c>
      <c r="B12" s="48" t="s">
        <v>186</v>
      </c>
      <c r="C12" s="51">
        <v>989969524</v>
      </c>
      <c r="D12" s="51">
        <v>1157017320</v>
      </c>
      <c r="E12" s="51">
        <f aca="true" t="shared" si="0" ref="E12:E19">D12-C12</f>
        <v>167047796</v>
      </c>
      <c r="F12" s="70">
        <f aca="true" t="shared" si="1" ref="F12:F19">IF(C12=0,0,E12/C12)</f>
        <v>0.1687403419501629</v>
      </c>
    </row>
    <row r="13" spans="1:6" ht="22.5" customHeight="1">
      <c r="A13" s="25">
        <v>2</v>
      </c>
      <c r="B13" s="48" t="s">
        <v>187</v>
      </c>
      <c r="C13" s="51">
        <v>592285333</v>
      </c>
      <c r="D13" s="51">
        <v>729517692</v>
      </c>
      <c r="E13" s="51">
        <f t="shared" si="0"/>
        <v>137232359</v>
      </c>
      <c r="F13" s="70">
        <f t="shared" si="1"/>
        <v>0.2316997422591925</v>
      </c>
    </row>
    <row r="14" spans="1:6" ht="22.5" customHeight="1">
      <c r="A14" s="25">
        <v>3</v>
      </c>
      <c r="B14" s="48" t="s">
        <v>188</v>
      </c>
      <c r="C14" s="51">
        <v>15715201</v>
      </c>
      <c r="D14" s="51">
        <v>11909791</v>
      </c>
      <c r="E14" s="51">
        <f t="shared" si="0"/>
        <v>-3805410</v>
      </c>
      <c r="F14" s="70">
        <f t="shared" si="1"/>
        <v>-0.24214835050471198</v>
      </c>
    </row>
    <row r="15" spans="1:7" ht="22.5" customHeight="1">
      <c r="A15" s="25">
        <v>4</v>
      </c>
      <c r="B15" s="48" t="s">
        <v>189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6" ht="22.5" customHeight="1">
      <c r="A16" s="29"/>
      <c r="B16" s="71" t="s">
        <v>190</v>
      </c>
      <c r="C16" s="27">
        <f>C12-C13-C14-C15</f>
        <v>381968990</v>
      </c>
      <c r="D16" s="27">
        <f>D12-D13-D14-D15</f>
        <v>415589837</v>
      </c>
      <c r="E16" s="27">
        <f t="shared" si="0"/>
        <v>33620847</v>
      </c>
      <c r="F16" s="28">
        <f t="shared" si="1"/>
        <v>0.08801983375666177</v>
      </c>
    </row>
    <row r="17" spans="1:7" ht="22.5" customHeight="1">
      <c r="A17" s="25">
        <v>5</v>
      </c>
      <c r="B17" s="48" t="s">
        <v>191</v>
      </c>
      <c r="C17" s="51">
        <v>50030661</v>
      </c>
      <c r="D17" s="51">
        <v>63974821</v>
      </c>
      <c r="E17" s="51">
        <f t="shared" si="0"/>
        <v>13944160</v>
      </c>
      <c r="F17" s="70">
        <f t="shared" si="1"/>
        <v>0.2787122880507215</v>
      </c>
      <c r="G17" s="64"/>
    </row>
    <row r="18" spans="1:7" ht="33" customHeight="1">
      <c r="A18" s="25">
        <v>6</v>
      </c>
      <c r="B18" s="45" t="s">
        <v>192</v>
      </c>
      <c r="C18" s="51">
        <v>2119349</v>
      </c>
      <c r="D18" s="51">
        <v>2936450</v>
      </c>
      <c r="E18" s="51">
        <f t="shared" si="0"/>
        <v>817101</v>
      </c>
      <c r="F18" s="70">
        <f t="shared" si="1"/>
        <v>0.38554339091862644</v>
      </c>
      <c r="G18" s="64"/>
    </row>
    <row r="19" spans="1:6" ht="22.5" customHeight="1">
      <c r="A19" s="29"/>
      <c r="B19" s="71" t="s">
        <v>193</v>
      </c>
      <c r="C19" s="27">
        <f>SUM(C16:C18)</f>
        <v>434119000</v>
      </c>
      <c r="D19" s="27">
        <f>SUM(D16:D18)</f>
        <v>482501108</v>
      </c>
      <c r="E19" s="27">
        <f t="shared" si="0"/>
        <v>48382108</v>
      </c>
      <c r="F19" s="28">
        <f t="shared" si="1"/>
        <v>0.11144895293686755</v>
      </c>
    </row>
    <row r="20" spans="1:6" ht="15.75" customHeight="1">
      <c r="A20" s="25"/>
      <c r="B20" s="71"/>
      <c r="C20" s="51"/>
      <c r="D20" s="51"/>
      <c r="E20" s="51"/>
      <c r="F20" s="70"/>
    </row>
    <row r="21" spans="1:6" ht="22.5" customHeight="1">
      <c r="A21" s="29" t="s">
        <v>141</v>
      </c>
      <c r="B21" s="30" t="s">
        <v>194</v>
      </c>
      <c r="C21" s="51"/>
      <c r="D21" s="51"/>
      <c r="E21" s="51"/>
      <c r="F21" s="70"/>
    </row>
    <row r="22" spans="1:6" ht="22.5" customHeight="1">
      <c r="A22" s="25">
        <v>1</v>
      </c>
      <c r="B22" s="48" t="s">
        <v>195</v>
      </c>
      <c r="C22" s="51">
        <v>143065124</v>
      </c>
      <c r="D22" s="51">
        <v>162559991</v>
      </c>
      <c r="E22" s="51">
        <f aca="true" t="shared" si="2" ref="E22:E31">D22-C22</f>
        <v>19494867</v>
      </c>
      <c r="F22" s="70">
        <f aca="true" t="shared" si="3" ref="F22:F31">IF(C22=0,0,E22/C22)</f>
        <v>0.13626568415094653</v>
      </c>
    </row>
    <row r="23" spans="1:6" ht="22.5" customHeight="1">
      <c r="A23" s="25">
        <v>2</v>
      </c>
      <c r="B23" s="48" t="s">
        <v>196</v>
      </c>
      <c r="C23" s="51">
        <v>31319925</v>
      </c>
      <c r="D23" s="51">
        <v>35830866</v>
      </c>
      <c r="E23" s="51">
        <f t="shared" si="2"/>
        <v>4510941</v>
      </c>
      <c r="F23" s="70">
        <f t="shared" si="3"/>
        <v>0.1440278353156976</v>
      </c>
    </row>
    <row r="24" spans="1:7" ht="22.5" customHeight="1">
      <c r="A24" s="25">
        <v>3</v>
      </c>
      <c r="B24" s="48" t="s">
        <v>197</v>
      </c>
      <c r="C24" s="51">
        <v>7354387</v>
      </c>
      <c r="D24" s="51">
        <v>12588971</v>
      </c>
      <c r="E24" s="51">
        <f t="shared" si="2"/>
        <v>5234584</v>
      </c>
      <c r="F24" s="70">
        <f t="shared" si="3"/>
        <v>0.7117634685256569</v>
      </c>
      <c r="G24" s="64"/>
    </row>
    <row r="25" spans="1:6" ht="22.5" customHeight="1">
      <c r="A25" s="25">
        <v>4</v>
      </c>
      <c r="B25" s="48" t="s">
        <v>198</v>
      </c>
      <c r="C25" s="51">
        <v>36080725</v>
      </c>
      <c r="D25" s="51">
        <v>40693784</v>
      </c>
      <c r="E25" s="51">
        <f t="shared" si="2"/>
        <v>4613059</v>
      </c>
      <c r="F25" s="70">
        <f t="shared" si="3"/>
        <v>0.12785383331404787</v>
      </c>
    </row>
    <row r="26" spans="1:6" ht="22.5" customHeight="1">
      <c r="A26" s="25">
        <v>5</v>
      </c>
      <c r="B26" s="48" t="s">
        <v>199</v>
      </c>
      <c r="C26" s="51">
        <v>25519000</v>
      </c>
      <c r="D26" s="51">
        <v>33531205</v>
      </c>
      <c r="E26" s="51">
        <f t="shared" si="2"/>
        <v>8012205</v>
      </c>
      <c r="F26" s="70">
        <f t="shared" si="3"/>
        <v>0.31397017908225244</v>
      </c>
    </row>
    <row r="27" spans="1:6" ht="22.5" customHeight="1">
      <c r="A27" s="25">
        <v>6</v>
      </c>
      <c r="B27" s="48" t="s">
        <v>200</v>
      </c>
      <c r="C27" s="51">
        <v>44760000</v>
      </c>
      <c r="D27" s="51">
        <v>48303957</v>
      </c>
      <c r="E27" s="51">
        <f t="shared" si="2"/>
        <v>3543957</v>
      </c>
      <c r="F27" s="70">
        <f t="shared" si="3"/>
        <v>0.07917687667560322</v>
      </c>
    </row>
    <row r="28" spans="1:6" ht="22.5" customHeight="1">
      <c r="A28" s="25">
        <v>7</v>
      </c>
      <c r="B28" s="48" t="s">
        <v>201</v>
      </c>
      <c r="C28" s="51">
        <v>4900000</v>
      </c>
      <c r="D28" s="51">
        <v>5804981</v>
      </c>
      <c r="E28" s="51">
        <f t="shared" si="2"/>
        <v>904981</v>
      </c>
      <c r="F28" s="70">
        <f t="shared" si="3"/>
        <v>0.18469</v>
      </c>
    </row>
    <row r="29" spans="1:6" ht="22.5" customHeight="1">
      <c r="A29" s="25">
        <v>8</v>
      </c>
      <c r="B29" s="48" t="s">
        <v>202</v>
      </c>
      <c r="C29" s="51">
        <v>3378701</v>
      </c>
      <c r="D29" s="51">
        <v>2869713</v>
      </c>
      <c r="E29" s="51">
        <f t="shared" si="2"/>
        <v>-508988</v>
      </c>
      <c r="F29" s="70">
        <f t="shared" si="3"/>
        <v>-0.15064606190367244</v>
      </c>
    </row>
    <row r="30" spans="1:6" ht="22.5" customHeight="1">
      <c r="A30" s="25">
        <v>9</v>
      </c>
      <c r="B30" s="48" t="s">
        <v>203</v>
      </c>
      <c r="C30" s="51">
        <v>118686187</v>
      </c>
      <c r="D30" s="51">
        <v>115348848</v>
      </c>
      <c r="E30" s="51">
        <f t="shared" si="2"/>
        <v>-3337339</v>
      </c>
      <c r="F30" s="70">
        <f t="shared" si="3"/>
        <v>-0.028119017758991616</v>
      </c>
    </row>
    <row r="31" spans="1:6" ht="22.5" customHeight="1">
      <c r="A31" s="29"/>
      <c r="B31" s="71" t="s">
        <v>204</v>
      </c>
      <c r="C31" s="27">
        <f>SUM(C22:C30)</f>
        <v>415064049</v>
      </c>
      <c r="D31" s="27">
        <f>SUM(D22:D30)</f>
        <v>457532316</v>
      </c>
      <c r="E31" s="27">
        <f t="shared" si="2"/>
        <v>42468267</v>
      </c>
      <c r="F31" s="28">
        <f t="shared" si="3"/>
        <v>0.10231738234693509</v>
      </c>
    </row>
    <row r="32" spans="1:6" ht="15" customHeight="1">
      <c r="A32" s="25"/>
      <c r="B32" s="66"/>
      <c r="C32" s="51"/>
      <c r="D32" s="51"/>
      <c r="E32" s="51"/>
      <c r="F32" s="70"/>
    </row>
    <row r="33" spans="1:6" ht="22.5" customHeight="1">
      <c r="A33" s="20"/>
      <c r="B33" s="71" t="s">
        <v>205</v>
      </c>
      <c r="C33" s="27">
        <f>+C19-C31</f>
        <v>19054951</v>
      </c>
      <c r="D33" s="27">
        <f>+D19-D31</f>
        <v>24968792</v>
      </c>
      <c r="E33" s="27">
        <f>D33-C33</f>
        <v>5913841</v>
      </c>
      <c r="F33" s="28">
        <f>IF(C33=0,0,E33/C33)</f>
        <v>0.3103571874837149</v>
      </c>
    </row>
    <row r="34" spans="1:6" ht="15.75" customHeight="1">
      <c r="A34" s="72"/>
      <c r="B34" s="71"/>
      <c r="C34" s="51"/>
      <c r="D34" s="51"/>
      <c r="E34" s="51"/>
      <c r="F34" s="70"/>
    </row>
    <row r="35" spans="1:6" ht="15.75" customHeight="1">
      <c r="A35" s="29" t="s">
        <v>151</v>
      </c>
      <c r="B35" s="30" t="s">
        <v>206</v>
      </c>
      <c r="C35" s="51"/>
      <c r="D35" s="51"/>
      <c r="E35" s="51"/>
      <c r="F35" s="70"/>
    </row>
    <row r="36" spans="1:6" ht="22.5" customHeight="1">
      <c r="A36" s="44">
        <v>1</v>
      </c>
      <c r="B36" s="48" t="s">
        <v>207</v>
      </c>
      <c r="C36" s="51">
        <v>1131194</v>
      </c>
      <c r="D36" s="51">
        <v>842436</v>
      </c>
      <c r="E36" s="51">
        <f>D36-C36</f>
        <v>-288758</v>
      </c>
      <c r="F36" s="70">
        <f>IF(C36=0,0,E36/C36)</f>
        <v>-0.2552683270950871</v>
      </c>
    </row>
    <row r="37" spans="1:6" ht="22.5" customHeight="1">
      <c r="A37" s="44">
        <v>2</v>
      </c>
      <c r="B37" s="48" t="s">
        <v>208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2.5" customHeight="1">
      <c r="A38" s="44">
        <v>3</v>
      </c>
      <c r="B38" s="48" t="s">
        <v>209</v>
      </c>
      <c r="C38" s="51">
        <v>-16669145</v>
      </c>
      <c r="D38" s="51">
        <v>-6268483</v>
      </c>
      <c r="E38" s="51">
        <f>D38-C38</f>
        <v>10400662</v>
      </c>
      <c r="F38" s="70">
        <f>IF(C38=0,0,E38/C38)</f>
        <v>-0.6239469390901573</v>
      </c>
    </row>
    <row r="39" spans="1:6" ht="22.5" customHeight="1">
      <c r="A39" s="20"/>
      <c r="B39" s="71" t="s">
        <v>210</v>
      </c>
      <c r="C39" s="27">
        <f>SUM(C36:C38)</f>
        <v>-15537951</v>
      </c>
      <c r="D39" s="27">
        <f>SUM(D36:D38)</f>
        <v>-5426047</v>
      </c>
      <c r="E39" s="27">
        <f>D39-C39</f>
        <v>10111904</v>
      </c>
      <c r="F39" s="28">
        <f>IF(C39=0,0,E39/C39)</f>
        <v>-0.6507874815669067</v>
      </c>
    </row>
    <row r="40" spans="1:6" ht="15.75" customHeight="1">
      <c r="A40" s="44"/>
      <c r="B40" s="71"/>
      <c r="C40" s="42"/>
      <c r="D40" s="42"/>
      <c r="E40" s="42"/>
      <c r="F40" s="28"/>
    </row>
    <row r="41" spans="1:6" ht="33" customHeight="1">
      <c r="A41" s="20"/>
      <c r="B41" s="73" t="s">
        <v>211</v>
      </c>
      <c r="C41" s="27">
        <f>C33+C39</f>
        <v>3517000</v>
      </c>
      <c r="D41" s="27">
        <f>D33+D39</f>
        <v>19542745</v>
      </c>
      <c r="E41" s="27">
        <f>D41-C41</f>
        <v>16025745</v>
      </c>
      <c r="F41" s="28">
        <f>IF(C41=0,0,E41/C41)</f>
        <v>4.556651976116008</v>
      </c>
    </row>
    <row r="42" spans="1:6" ht="15.75" customHeight="1">
      <c r="A42" s="35"/>
      <c r="B42" s="22"/>
      <c r="C42" s="48"/>
      <c r="D42" s="48"/>
      <c r="E42" s="27"/>
      <c r="F42" s="28"/>
    </row>
    <row r="43" spans="1:6" ht="22.5" customHeight="1">
      <c r="A43" s="20"/>
      <c r="B43" s="71" t="s">
        <v>212</v>
      </c>
      <c r="C43" s="27"/>
      <c r="D43" s="27"/>
      <c r="E43" s="27"/>
      <c r="F43" s="28"/>
    </row>
    <row r="44" spans="1:6" ht="22.5" customHeight="1">
      <c r="A44" s="44"/>
      <c r="B44" s="48" t="s">
        <v>213</v>
      </c>
      <c r="C44" s="51">
        <v>0</v>
      </c>
      <c r="D44" s="51">
        <v>2126742</v>
      </c>
      <c r="E44" s="51">
        <f>D44-C44</f>
        <v>2126742</v>
      </c>
      <c r="F44" s="70">
        <f>IF(C44=0,0,E44/C44)</f>
        <v>0</v>
      </c>
    </row>
    <row r="45" spans="1:6" ht="22.5" customHeight="1">
      <c r="A45" s="44"/>
      <c r="B45" s="48" t="s">
        <v>214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2.5" customHeight="1">
      <c r="A46" s="20"/>
      <c r="B46" s="74" t="s">
        <v>215</v>
      </c>
      <c r="C46" s="27">
        <f>SUM(C44:C45)</f>
        <v>0</v>
      </c>
      <c r="D46" s="27">
        <f>SUM(D44:D45)</f>
        <v>2126742</v>
      </c>
      <c r="E46" s="27">
        <f>D46-C46</f>
        <v>2126742</v>
      </c>
      <c r="F46" s="28">
        <f>IF(C46=0,0,E46/C46)</f>
        <v>0</v>
      </c>
    </row>
    <row r="47" spans="1:6" ht="15.75" customHeight="1">
      <c r="A47" s="20"/>
      <c r="B47" s="74"/>
      <c r="C47" s="27"/>
      <c r="D47" s="27"/>
      <c r="E47" s="27"/>
      <c r="F47" s="28"/>
    </row>
    <row r="48" spans="1:6" ht="22.5" customHeight="1">
      <c r="A48" s="20"/>
      <c r="B48" s="74" t="s">
        <v>216</v>
      </c>
      <c r="C48" s="27">
        <f>C41+C46</f>
        <v>3517000</v>
      </c>
      <c r="D48" s="27">
        <f>D41+D46</f>
        <v>21669487</v>
      </c>
      <c r="E48" s="27">
        <f>D48-C48</f>
        <v>18152487</v>
      </c>
      <c r="F48" s="28">
        <f>IF(C48=0,0,E48/C48)</f>
        <v>5.1613554165481945</v>
      </c>
    </row>
    <row r="49" spans="1:6" ht="22.5" customHeight="1">
      <c r="A49" s="44"/>
      <c r="B49" s="71"/>
      <c r="C49" s="27"/>
      <c r="D49" s="27"/>
      <c r="E49" s="53"/>
      <c r="F49" s="28"/>
    </row>
  </sheetData>
  <sheetProtection/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horizontalDpi="1200" verticalDpi="1200" orientation="portrait" paperSize="9" scale="74"/>
  <headerFooter alignWithMargins="0">
    <oddHeader>&amp;L&amp;8OFFICE OF HEALTH CARE ACCESS&amp;C&amp;8TWELVE MONTHS ACTUAL FILING&amp;R&amp;8STAMFORD HEALTH SYSTEM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Ciesones</dc:creator>
  <cp:keywords/>
  <dc:description/>
  <cp:lastModifiedBy>ciesones</cp:lastModifiedBy>
  <cp:lastPrinted>2010-08-13T14:48:37Z</cp:lastPrinted>
  <dcterms:created xsi:type="dcterms:W3CDTF">2006-08-03T13:49:12Z</dcterms:created>
  <dcterms:modified xsi:type="dcterms:W3CDTF">2010-08-13T14:48:43Z</dcterms:modified>
  <cp:category/>
  <cp:version/>
  <cp:contentType/>
  <cp:contentStatus/>
</cp:coreProperties>
</file>